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pc19669\PRESUPUESTO\Trabajo 2020\INFORMES SEMESTRALES\PRIMER SEMESTRE\FINAL\"/>
    </mc:Choice>
  </mc:AlternateContent>
  <bookViews>
    <workbookView xWindow="0" yWindow="0" windowWidth="20730" windowHeight="9735" tabRatio="603"/>
  </bookViews>
  <sheets>
    <sheet name="FONAVIS RESUMIDO" sheetId="25" r:id="rId1"/>
    <sheet name="Resumen llamados 2019" sheetId="26" r:id="rId2"/>
    <sheet name="Sit. de Obras Fonavis" sheetId="27" r:id="rId3"/>
    <sheet name="Sit. de Obras Fonavis (2)" sheetId="30" r:id="rId4"/>
    <sheet name="A INICIAR D.DURAN" sheetId="19" r:id="rId5"/>
    <sheet name="Hoja2" sheetId="29" r:id="rId6"/>
    <sheet name="FONAVIS RESUMIDO (2)" sheetId="31" r:id="rId7"/>
  </sheets>
  <definedNames>
    <definedName name="_xlnm._FilterDatabase" localSheetId="4" hidden="1">'A INICIAR D.DURAN'!$A$3:$S$397</definedName>
    <definedName name="_xlnm._FilterDatabase" localSheetId="0" hidden="1">'FONAVIS RESUMIDO'!$A$6:$XBT$1249</definedName>
    <definedName name="_xlnm._FilterDatabase" localSheetId="6" hidden="1">'FONAVIS RESUMIDO (2)'!$A$5:$XFC$1239</definedName>
    <definedName name="_xlnm._FilterDatabase" localSheetId="2" hidden="1">'Sit. de Obras Fonavis'!$A$1:$I$130</definedName>
    <definedName name="_xlnm._FilterDatabase" localSheetId="3" hidden="1">'Sit. de Obras Fonavis (2)'!$A$1:$I$23</definedName>
    <definedName name="_xlnm.Print_Area" localSheetId="0">'FONAVIS RESUMIDO'!$A$2:$AV$1267</definedName>
    <definedName name="_xlnm.Print_Area" localSheetId="6">'FONAVIS RESUMIDO (2)'!$A$1:$BF$1236</definedName>
    <definedName name="_xlnm.Print_Area" localSheetId="1">'Resumen llamados 2019'!$A$1:$D$32</definedName>
    <definedName name="_xlnm.Print_Area" localSheetId="2">'Sit. de Obras Fonavis'!$A$1:$I$152</definedName>
    <definedName name="_xlnm.Print_Area" localSheetId="3">'Sit. de Obras Fonavis (2)'!$A$1:$I$45</definedName>
    <definedName name="_xlnm.Print_Titles" localSheetId="0">'FONAVIS RESUMIDO'!$6:$6</definedName>
    <definedName name="_xlnm.Print_Titles" localSheetId="6">'FONAVIS RESUMIDO (2)'!$5:$5</definedName>
    <definedName name="_xlnm.Print_Titles" localSheetId="2">'Sit. de Obras Fonavis'!$1:$4</definedName>
    <definedName name="_xlnm.Print_Titles" localSheetId="3">'Sit. de Obras Fonavis (2)'!$1:$4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266" i="25" l="1"/>
  <c r="H1265" i="25"/>
  <c r="H1264" i="25"/>
  <c r="D1264" i="25"/>
  <c r="H1261" i="25" l="1"/>
  <c r="H1267" i="25" s="1"/>
  <c r="H1253" i="25"/>
  <c r="H1252" i="25"/>
  <c r="E119" i="29" l="1"/>
  <c r="E130" i="29" l="1"/>
  <c r="D130" i="29"/>
  <c r="F129" i="29"/>
  <c r="E129" i="29"/>
  <c r="D129" i="29"/>
  <c r="F128" i="29"/>
  <c r="D128" i="29"/>
  <c r="E127" i="29"/>
  <c r="F126" i="29"/>
  <c r="E126" i="29"/>
  <c r="D126" i="29"/>
  <c r="E125" i="29"/>
  <c r="D125" i="29"/>
  <c r="D124" i="29"/>
  <c r="G123" i="29"/>
  <c r="F123" i="29"/>
  <c r="E123" i="29"/>
  <c r="G122" i="29"/>
  <c r="F122" i="29"/>
  <c r="E122" i="29"/>
  <c r="D122" i="29"/>
  <c r="F121" i="29"/>
  <c r="E121" i="29"/>
  <c r="D121" i="29"/>
  <c r="E120" i="29"/>
  <c r="F118" i="29"/>
  <c r="E118" i="29"/>
  <c r="D118" i="29"/>
  <c r="F117" i="29"/>
  <c r="E117" i="29"/>
  <c r="D117" i="29"/>
  <c r="E116" i="29"/>
  <c r="D116" i="29"/>
  <c r="F115" i="29"/>
  <c r="E115" i="29"/>
  <c r="D115" i="29"/>
  <c r="F114" i="29"/>
  <c r="E114" i="29"/>
  <c r="D114" i="29"/>
  <c r="F113" i="29"/>
  <c r="E113" i="29"/>
  <c r="D113" i="29"/>
  <c r="E112" i="29"/>
  <c r="D112" i="29"/>
  <c r="E111" i="29"/>
  <c r="G110" i="29"/>
  <c r="E110" i="29"/>
  <c r="D109" i="29"/>
  <c r="E108" i="29"/>
  <c r="D108" i="29"/>
  <c r="E107" i="29"/>
  <c r="D107" i="29"/>
  <c r="E106" i="29"/>
  <c r="D106" i="29"/>
  <c r="F105" i="29"/>
  <c r="E105" i="29"/>
  <c r="I104" i="29"/>
  <c r="G104" i="29"/>
  <c r="E104" i="29"/>
  <c r="D104" i="29"/>
  <c r="F103" i="29"/>
  <c r="D103" i="29"/>
  <c r="F102" i="29"/>
  <c r="E102" i="29"/>
  <c r="D102" i="29"/>
  <c r="F101" i="29"/>
  <c r="E101" i="29"/>
  <c r="D101" i="29"/>
  <c r="I100" i="29"/>
  <c r="G100" i="29"/>
  <c r="E100" i="29"/>
  <c r="D100" i="29"/>
  <c r="E99" i="29"/>
  <c r="D99" i="29"/>
  <c r="F98" i="29"/>
  <c r="E98" i="29"/>
  <c r="D98" i="29"/>
  <c r="F97" i="29"/>
  <c r="E97" i="29"/>
  <c r="D97" i="29"/>
  <c r="E96" i="29"/>
  <c r="D96" i="29"/>
  <c r="F95" i="29"/>
  <c r="E95" i="29"/>
  <c r="D95" i="29"/>
  <c r="F94" i="29"/>
  <c r="E94" i="29"/>
  <c r="D94" i="29"/>
  <c r="F93" i="29"/>
  <c r="E93" i="29"/>
  <c r="D93" i="29"/>
  <c r="F92" i="29"/>
  <c r="E92" i="29"/>
  <c r="D92" i="29"/>
  <c r="E91" i="29"/>
  <c r="D91" i="29"/>
  <c r="E90" i="29"/>
  <c r="D90" i="29"/>
  <c r="E89" i="29"/>
  <c r="D89" i="29"/>
  <c r="E88" i="29"/>
  <c r="D88" i="29"/>
  <c r="E87" i="29"/>
  <c r="D87" i="29"/>
  <c r="F86" i="29"/>
  <c r="E86" i="29"/>
  <c r="D86" i="29"/>
  <c r="E85" i="29"/>
  <c r="D85" i="29"/>
  <c r="H84" i="29"/>
  <c r="E84" i="29"/>
  <c r="D84" i="29"/>
  <c r="E81" i="29"/>
  <c r="D81" i="29"/>
  <c r="H80" i="29"/>
  <c r="E79" i="29"/>
  <c r="D79" i="29"/>
  <c r="F78" i="29"/>
  <c r="D78" i="29"/>
  <c r="H77" i="29"/>
  <c r="G77" i="29"/>
  <c r="E77" i="29"/>
  <c r="D76" i="29"/>
  <c r="D75" i="29"/>
  <c r="F74" i="29"/>
  <c r="E74" i="29"/>
  <c r="D74" i="29"/>
  <c r="E73" i="29"/>
  <c r="D73" i="29"/>
  <c r="E71" i="29"/>
  <c r="E70" i="29"/>
  <c r="D70" i="29"/>
  <c r="E69" i="29"/>
  <c r="D69" i="29"/>
  <c r="E68" i="29"/>
  <c r="D68" i="29"/>
  <c r="E67" i="29"/>
  <c r="E66" i="29"/>
  <c r="E65" i="29"/>
  <c r="D65" i="29"/>
  <c r="E64" i="29"/>
  <c r="D64" i="29"/>
  <c r="G63" i="29"/>
  <c r="F63" i="29"/>
  <c r="E63" i="29"/>
  <c r="D63" i="29"/>
  <c r="E62" i="29"/>
  <c r="D62" i="29"/>
  <c r="D61" i="29"/>
  <c r="E60" i="29"/>
  <c r="D60" i="29"/>
  <c r="E59" i="29"/>
  <c r="F58" i="29"/>
  <c r="E58" i="29"/>
  <c r="D58" i="29"/>
  <c r="G57" i="29"/>
  <c r="E57" i="29"/>
  <c r="D57" i="29"/>
  <c r="E56" i="29"/>
  <c r="F55" i="29"/>
  <c r="E55" i="29"/>
  <c r="D55" i="29"/>
  <c r="E54" i="29"/>
  <c r="D54" i="29"/>
  <c r="E52" i="29"/>
  <c r="E50" i="29"/>
  <c r="D50" i="29"/>
  <c r="E49" i="29"/>
  <c r="F48" i="29"/>
  <c r="E48" i="29"/>
  <c r="F47" i="29"/>
  <c r="E47" i="29"/>
  <c r="E46" i="29"/>
  <c r="E45" i="29"/>
  <c r="D45" i="29"/>
  <c r="H44" i="29"/>
  <c r="G44" i="29"/>
  <c r="D44" i="29"/>
  <c r="E43" i="29"/>
  <c r="G42" i="29"/>
  <c r="F41" i="29"/>
  <c r="E41" i="29"/>
  <c r="D41" i="29"/>
  <c r="E40" i="29"/>
  <c r="D40" i="29"/>
  <c r="I39" i="29"/>
  <c r="G39" i="29"/>
  <c r="E39" i="29"/>
  <c r="D39" i="29"/>
  <c r="E37" i="29"/>
  <c r="D37" i="29"/>
  <c r="I36" i="29"/>
  <c r="I131" i="29" s="1"/>
  <c r="E36" i="29"/>
  <c r="D36" i="29"/>
  <c r="H35" i="29"/>
  <c r="E35" i="29"/>
  <c r="D35" i="29"/>
  <c r="D34" i="29"/>
  <c r="E33" i="29"/>
  <c r="D32" i="29"/>
  <c r="D31" i="29"/>
  <c r="E30" i="29"/>
  <c r="D30" i="29"/>
  <c r="E29" i="29"/>
  <c r="D29" i="29"/>
  <c r="E28" i="29"/>
  <c r="D28" i="29"/>
  <c r="G27" i="29"/>
  <c r="G131" i="29" s="1"/>
  <c r="F26" i="29"/>
  <c r="D26" i="29"/>
  <c r="E25" i="29"/>
  <c r="D25" i="29"/>
  <c r="E24" i="29"/>
  <c r="E23" i="29"/>
  <c r="D23" i="29"/>
  <c r="E22" i="29"/>
  <c r="D22" i="29"/>
  <c r="E21" i="29"/>
  <c r="D21" i="29"/>
  <c r="E20" i="29"/>
  <c r="D20" i="29"/>
  <c r="E19" i="29"/>
  <c r="D19" i="29"/>
  <c r="F18" i="29"/>
  <c r="E18" i="29"/>
  <c r="D18" i="29"/>
  <c r="E17" i="29"/>
  <c r="D17" i="29"/>
  <c r="E16" i="29"/>
  <c r="E15" i="29"/>
  <c r="E14" i="29"/>
  <c r="D14" i="29"/>
  <c r="E13" i="29"/>
  <c r="F12" i="29"/>
  <c r="E12" i="29"/>
  <c r="D12" i="29"/>
  <c r="E11" i="29"/>
  <c r="D11" i="29"/>
  <c r="E10" i="29"/>
  <c r="D10" i="29"/>
  <c r="F9" i="29"/>
  <c r="E9" i="29"/>
  <c r="D9" i="29"/>
  <c r="E8" i="29"/>
  <c r="D8" i="29"/>
  <c r="F6" i="29"/>
  <c r="E6" i="29"/>
  <c r="D6" i="29"/>
  <c r="F5" i="29"/>
  <c r="E5" i="29"/>
  <c r="D5" i="29"/>
  <c r="D131" i="29" l="1"/>
  <c r="H131" i="29"/>
  <c r="E131" i="29"/>
  <c r="F131" i="29"/>
  <c r="Q537" i="25" l="1"/>
  <c r="Q536" i="25"/>
  <c r="Q406" i="25"/>
  <c r="Q405" i="25"/>
  <c r="Q404" i="25"/>
  <c r="Q368" i="25"/>
  <c r="Q289" i="25"/>
  <c r="Q985" i="25"/>
  <c r="Q984" i="25"/>
  <c r="Q983" i="25"/>
  <c r="Q981" i="25"/>
  <c r="Q979" i="25"/>
  <c r="Q703" i="25"/>
  <c r="Q702" i="25"/>
  <c r="Q701" i="25"/>
  <c r="Q665" i="25"/>
  <c r="Q540" i="25"/>
  <c r="Q539" i="25"/>
  <c r="Q538" i="25"/>
  <c r="Q534" i="25"/>
  <c r="Q403" i="25"/>
  <c r="Q367" i="25"/>
  <c r="Q291" i="25"/>
  <c r="Q290" i="25"/>
  <c r="Q288" i="25"/>
  <c r="Q102" i="25"/>
  <c r="Q101" i="25"/>
  <c r="Q99" i="25"/>
  <c r="Q96" i="25"/>
  <c r="Q91" i="25"/>
  <c r="Q97" i="25"/>
  <c r="Q95" i="25"/>
  <c r="Q94" i="25"/>
  <c r="Q93" i="25"/>
  <c r="Q92" i="25"/>
  <c r="Q90" i="25"/>
  <c r="Q89" i="25"/>
  <c r="Q87" i="25"/>
  <c r="Q85" i="25"/>
  <c r="Q84" i="25"/>
  <c r="Q77" i="25"/>
  <c r="Q72" i="25"/>
  <c r="Q60" i="25"/>
  <c r="Q61" i="25"/>
  <c r="Q59" i="25"/>
  <c r="Q52" i="25"/>
  <c r="Q51" i="25"/>
  <c r="Q50" i="25"/>
  <c r="Q49" i="25"/>
  <c r="Q48" i="25"/>
  <c r="Q47" i="25"/>
  <c r="Q46" i="25"/>
  <c r="Q45" i="25"/>
  <c r="Q42" i="25"/>
  <c r="Q41" i="25"/>
  <c r="Q44" i="25"/>
  <c r="Q40" i="25"/>
  <c r="Q38" i="25"/>
  <c r="Q37" i="25"/>
  <c r="Q35" i="25"/>
  <c r="Q34" i="25"/>
  <c r="Q33" i="25"/>
  <c r="Q32" i="25"/>
  <c r="Q30" i="25"/>
  <c r="AN760" i="25" l="1"/>
  <c r="BA760" i="25" l="1"/>
  <c r="AZ635" i="25" l="1"/>
  <c r="BC760" i="25" l="1"/>
  <c r="BC752" i="25"/>
  <c r="BC733" i="25"/>
  <c r="BC681" i="25"/>
  <c r="BC646" i="25"/>
  <c r="BC638" i="25"/>
  <c r="AY635" i="25"/>
  <c r="BC635" i="25"/>
  <c r="BC435" i="25"/>
  <c r="BC380" i="25"/>
  <c r="BC354" i="25"/>
  <c r="BC341" i="25"/>
  <c r="BC307" i="25"/>
  <c r="BC267" i="25"/>
  <c r="BC169" i="25"/>
  <c r="BC138" i="25"/>
  <c r="BC107" i="25"/>
  <c r="BC55" i="25"/>
  <c r="BC7" i="25"/>
  <c r="BC1247" i="25" l="1"/>
  <c r="U1245" i="25"/>
  <c r="Z966" i="25"/>
  <c r="U1099" i="25" l="1"/>
  <c r="Z1259" i="25" l="1"/>
  <c r="Z1253" i="25"/>
  <c r="U1253" i="25"/>
  <c r="Z1089" i="25"/>
  <c r="AB1282" i="25" l="1"/>
  <c r="U1268" i="25"/>
  <c r="AB1268" i="25"/>
  <c r="U764" i="25" l="1"/>
  <c r="U1269" i="25" s="1"/>
  <c r="AB1269" i="25" s="1"/>
  <c r="AB1270" i="25" s="1"/>
  <c r="U1265" i="25" l="1"/>
  <c r="AB1265" i="25" s="1"/>
  <c r="AB1267" i="25" s="1"/>
  <c r="U1263" i="25"/>
  <c r="AB1263" i="25" s="1"/>
  <c r="U1262" i="25"/>
  <c r="AB1262" i="25" s="1"/>
  <c r="U1261" i="25"/>
  <c r="AB1261" i="25" s="1"/>
  <c r="U1259" i="25"/>
  <c r="AB1259" i="25" s="1"/>
  <c r="Z219" i="25"/>
  <c r="AB1253" i="25" l="1"/>
  <c r="AK1244" i="25" l="1"/>
  <c r="AI1246" i="25"/>
  <c r="AO435" i="25"/>
  <c r="AK426" i="25"/>
  <c r="U425" i="25"/>
  <c r="AN354" i="25"/>
  <c r="BA322" i="25"/>
  <c r="BD322" i="25"/>
  <c r="AP322" i="25"/>
  <c r="AN307" i="25"/>
  <c r="AO169" i="25"/>
  <c r="AN138" i="25"/>
  <c r="AN55" i="25"/>
  <c r="U264" i="25" l="1"/>
  <c r="AK264" i="25" s="1"/>
  <c r="P729" i="25" l="1"/>
  <c r="AK634" i="25" l="1"/>
  <c r="BE7" i="25" l="1"/>
  <c r="BA7" i="25"/>
  <c r="AS7" i="25"/>
  <c r="AR7" i="25"/>
  <c r="AQ7" i="25"/>
  <c r="AO7" i="25"/>
  <c r="AN7" i="25"/>
  <c r="O7" i="25"/>
  <c r="N7" i="25"/>
  <c r="BE354" i="25"/>
  <c r="BA354" i="25"/>
  <c r="AS354" i="25"/>
  <c r="AR354" i="25"/>
  <c r="AQ354" i="25"/>
  <c r="AP354" i="25"/>
  <c r="AO354" i="25"/>
  <c r="O354" i="25"/>
  <c r="N354" i="25"/>
  <c r="O646" i="25"/>
  <c r="N646" i="25"/>
  <c r="AS646" i="25"/>
  <c r="AR646" i="25"/>
  <c r="AQ646" i="25"/>
  <c r="AP646" i="25"/>
  <c r="AO646" i="25"/>
  <c r="AN646" i="25"/>
  <c r="BE646" i="25"/>
  <c r="BD646" i="25"/>
  <c r="BA646" i="25"/>
  <c r="P680" i="25"/>
  <c r="AK680" i="25" s="1"/>
  <c r="O681" i="25"/>
  <c r="N681" i="25"/>
  <c r="AS681" i="25"/>
  <c r="AR681" i="25"/>
  <c r="AQ681" i="25"/>
  <c r="AP681" i="25"/>
  <c r="AO681" i="25"/>
  <c r="AN681" i="25"/>
  <c r="BE681" i="25"/>
  <c r="BB681" i="25"/>
  <c r="BA681" i="25"/>
  <c r="AZ681" i="25"/>
  <c r="AY681" i="25"/>
  <c r="AX681" i="25"/>
  <c r="AW681" i="25"/>
  <c r="P732" i="25"/>
  <c r="AK732" i="25" s="1"/>
  <c r="P731" i="25"/>
  <c r="AK731" i="25" s="1"/>
  <c r="P54" i="25"/>
  <c r="Q54" i="25" s="1"/>
  <c r="AK54" i="25" l="1"/>
  <c r="AF54" i="25"/>
  <c r="P379" i="25"/>
  <c r="P378" i="25"/>
  <c r="AK378" i="25" l="1"/>
  <c r="AF378" i="25"/>
  <c r="AK379" i="25"/>
  <c r="AF379" i="25"/>
  <c r="Z318" i="25" l="1"/>
  <c r="AF316" i="25"/>
  <c r="AK316" i="25" s="1"/>
  <c r="Z682" i="25" l="1"/>
  <c r="U1257" i="25" l="1"/>
  <c r="Z1257" i="25"/>
  <c r="N1246" i="25"/>
  <c r="U1278" i="25"/>
  <c r="Z294" i="25"/>
  <c r="U1298" i="25"/>
  <c r="AB1298" i="25" s="1"/>
  <c r="R1299" i="25"/>
  <c r="U1297" i="25"/>
  <c r="AB1297" i="25" s="1"/>
  <c r="U1296" i="25"/>
  <c r="AB1296" i="25" s="1"/>
  <c r="U499" i="25"/>
  <c r="AB1257" i="25" l="1"/>
  <c r="U1299" i="25"/>
  <c r="AB1299" i="25" s="1"/>
  <c r="AA1295" i="25"/>
  <c r="Z1274" i="25"/>
  <c r="U1274" i="25"/>
  <c r="U566" i="25"/>
  <c r="Z1256" i="25" l="1"/>
  <c r="U1256" i="25"/>
  <c r="U1255" i="25"/>
  <c r="Z1255" i="25"/>
  <c r="P580" i="25"/>
  <c r="Z1254" i="25"/>
  <c r="AB1256" i="25" l="1"/>
  <c r="AB1255" i="25"/>
  <c r="R1315" i="25"/>
  <c r="R1314" i="25"/>
  <c r="AK717" i="25" l="1"/>
  <c r="U1273" i="25" l="1"/>
  <c r="AK1253" i="25" l="1"/>
  <c r="AK59" i="25"/>
  <c r="AK1146" i="25"/>
  <c r="AK1049" i="25" l="1"/>
  <c r="AF1125" i="25"/>
  <c r="P682" i="25" l="1"/>
  <c r="R682" i="25"/>
  <c r="Z601" i="25" l="1"/>
  <c r="AK172" i="25"/>
  <c r="P165" i="25"/>
  <c r="AK619" i="25" l="1"/>
  <c r="AK272" i="25" l="1"/>
  <c r="AK181" i="25" l="1"/>
  <c r="V1302" i="25"/>
  <c r="AF619" i="25"/>
  <c r="AF405" i="25"/>
  <c r="AK958" i="25"/>
  <c r="AK724" i="25"/>
  <c r="AK723" i="25"/>
  <c r="AF717" i="25"/>
  <c r="AF645" i="25"/>
  <c r="AF616" i="25"/>
  <c r="AF615" i="25"/>
  <c r="AF422" i="25"/>
  <c r="AF303" i="25"/>
  <c r="AF294" i="25"/>
  <c r="AF258" i="25"/>
  <c r="AF257" i="25"/>
  <c r="AF256" i="25"/>
  <c r="AF254" i="25"/>
  <c r="AK254" i="25"/>
  <c r="AF253" i="25"/>
  <c r="AF249" i="25"/>
  <c r="AK168" i="25"/>
  <c r="AF168" i="25"/>
  <c r="AF1197" i="25"/>
  <c r="N380" i="25"/>
  <c r="AK688" i="25"/>
  <c r="AK687" i="25"/>
  <c r="BE760" i="25"/>
  <c r="BD760" i="25"/>
  <c r="BB760" i="25"/>
  <c r="BE752" i="25"/>
  <c r="BD752" i="25"/>
  <c r="BB752" i="25"/>
  <c r="BA752" i="25"/>
  <c r="BE733" i="25"/>
  <c r="BD733" i="25"/>
  <c r="BB733" i="25"/>
  <c r="BA733" i="25"/>
  <c r="BB646" i="25"/>
  <c r="BE638" i="25"/>
  <c r="BD638" i="25"/>
  <c r="BB638" i="25"/>
  <c r="BA638" i="25"/>
  <c r="AS638" i="25"/>
  <c r="BE635" i="25"/>
  <c r="BD635" i="25"/>
  <c r="BB635" i="25"/>
  <c r="BA635" i="25"/>
  <c r="BE435" i="25"/>
  <c r="BB435" i="25"/>
  <c r="BA435" i="25"/>
  <c r="BE380" i="25"/>
  <c r="BB380" i="25"/>
  <c r="BA380" i="25"/>
  <c r="BB354" i="25"/>
  <c r="BE341" i="25"/>
  <c r="BD341" i="25"/>
  <c r="BB341" i="25"/>
  <c r="BA341" i="25"/>
  <c r="BE307" i="25"/>
  <c r="BB307" i="25"/>
  <c r="BA307" i="25"/>
  <c r="BE267" i="25"/>
  <c r="BD267" i="25"/>
  <c r="BB267" i="25"/>
  <c r="BA267" i="25"/>
  <c r="BE169" i="25"/>
  <c r="BB169" i="25"/>
  <c r="BA169" i="25"/>
  <c r="BE138" i="25"/>
  <c r="BB138" i="25"/>
  <c r="BA138" i="25"/>
  <c r="BE107" i="25"/>
  <c r="BB107" i="25"/>
  <c r="BA107" i="25"/>
  <c r="BE55" i="25"/>
  <c r="BB55" i="25"/>
  <c r="BA55" i="25"/>
  <c r="BB7" i="25"/>
  <c r="AK1097" i="25"/>
  <c r="BB1247" i="25" l="1"/>
  <c r="BE1247" i="25"/>
  <c r="BA1247" i="25"/>
  <c r="AK1239" i="25"/>
  <c r="P1238" i="25"/>
  <c r="AK158" i="25" l="1"/>
  <c r="AK157" i="25"/>
  <c r="AK89" i="25"/>
  <c r="AK709" i="25"/>
  <c r="AK230" i="25"/>
  <c r="AF230" i="25"/>
  <c r="AF709" i="25"/>
  <c r="AS760" i="25"/>
  <c r="AR760" i="25"/>
  <c r="AQ760" i="25"/>
  <c r="AP760" i="25"/>
  <c r="AO760" i="25"/>
  <c r="O760" i="25"/>
  <c r="N760" i="25"/>
  <c r="N733" i="25"/>
  <c r="AS435" i="25"/>
  <c r="AR435" i="25"/>
  <c r="AQ435" i="25"/>
  <c r="AP435" i="25"/>
  <c r="O435" i="25"/>
  <c r="N435" i="25"/>
  <c r="AS380" i="25"/>
  <c r="AR380" i="25"/>
  <c r="AQ380" i="25"/>
  <c r="AP380" i="25"/>
  <c r="AO380" i="25"/>
  <c r="O380" i="25"/>
  <c r="AS341" i="25"/>
  <c r="AR341" i="25"/>
  <c r="AQ341" i="25"/>
  <c r="AP341" i="25"/>
  <c r="AO341" i="25"/>
  <c r="AN341" i="25"/>
  <c r="O341" i="25"/>
  <c r="N341" i="25"/>
  <c r="AS307" i="25"/>
  <c r="AR307" i="25"/>
  <c r="AQ307" i="25"/>
  <c r="AP307" i="25"/>
  <c r="O307" i="25"/>
  <c r="N307" i="25"/>
  <c r="AS267" i="25"/>
  <c r="AR267" i="25"/>
  <c r="AQ267" i="25"/>
  <c r="AP267" i="25"/>
  <c r="AO267" i="25"/>
  <c r="AN267" i="25"/>
  <c r="O267" i="25"/>
  <c r="N267" i="25"/>
  <c r="AS169" i="25"/>
  <c r="AR169" i="25"/>
  <c r="AQ169" i="25"/>
  <c r="AP169" i="25"/>
  <c r="AN169" i="25"/>
  <c r="O169" i="25"/>
  <c r="N169" i="25"/>
  <c r="O138" i="25"/>
  <c r="N138" i="25"/>
  <c r="N55" i="25"/>
  <c r="AS55" i="25"/>
  <c r="AR55" i="25"/>
  <c r="AQ55" i="25"/>
  <c r="AP55" i="25"/>
  <c r="AO55" i="25"/>
  <c r="P342" i="25" l="1"/>
  <c r="AF342" i="25" l="1"/>
  <c r="AK342" i="25" l="1"/>
  <c r="AK347" i="25"/>
  <c r="AK346" i="25"/>
  <c r="AK345" i="25"/>
  <c r="AK344" i="25"/>
  <c r="AK343" i="25"/>
  <c r="AD338" i="25"/>
  <c r="P337" i="25"/>
  <c r="AF337" i="25" s="1"/>
  <c r="AK836" i="25" l="1"/>
  <c r="AK1246" i="25"/>
  <c r="AK1243" i="25"/>
  <c r="AK1242" i="25"/>
  <c r="AK1241" i="25"/>
  <c r="AK1240" i="25"/>
  <c r="AK1238" i="25"/>
  <c r="AK1237" i="25"/>
  <c r="AK1236" i="25"/>
  <c r="AK1235" i="25"/>
  <c r="AK1234" i="25"/>
  <c r="AK1233" i="25"/>
  <c r="AK1232" i="25"/>
  <c r="AK1231" i="25"/>
  <c r="AK1230" i="25"/>
  <c r="AK1229" i="25"/>
  <c r="AK1228" i="25"/>
  <c r="AK1227" i="25"/>
  <c r="AK1225" i="25"/>
  <c r="AK1221" i="25"/>
  <c r="AK1219" i="25"/>
  <c r="AK1218" i="25"/>
  <c r="AK1216" i="25"/>
  <c r="AK1214" i="25"/>
  <c r="AK1213" i="25"/>
  <c r="AK1212" i="25"/>
  <c r="AK1211" i="25"/>
  <c r="AK1210" i="25"/>
  <c r="AK1209" i="25"/>
  <c r="AK1208" i="25"/>
  <c r="AK1207" i="25"/>
  <c r="AK1206" i="25"/>
  <c r="AK1205" i="25"/>
  <c r="AK1204" i="25"/>
  <c r="AK1203" i="25"/>
  <c r="AK1202" i="25"/>
  <c r="AK1201" i="25"/>
  <c r="AK1200" i="25"/>
  <c r="AK1199" i="25"/>
  <c r="AK1198" i="25"/>
  <c r="AK1197" i="25"/>
  <c r="AK1196" i="25"/>
  <c r="AK1195" i="25"/>
  <c r="AK1194" i="25"/>
  <c r="AK1184" i="25"/>
  <c r="AK1179" i="25"/>
  <c r="AK1176" i="25"/>
  <c r="AK1173" i="25"/>
  <c r="AK1171" i="25"/>
  <c r="AK1170" i="25"/>
  <c r="AK1169" i="25"/>
  <c r="AK1168" i="25"/>
  <c r="AK1167" i="25"/>
  <c r="AK1165" i="25"/>
  <c r="AK1158" i="25"/>
  <c r="AK1156" i="25"/>
  <c r="AK1155" i="25"/>
  <c r="AK1153" i="25"/>
  <c r="AK1151" i="25"/>
  <c r="AK1147" i="25"/>
  <c r="AK1142" i="25"/>
  <c r="AK1140" i="25"/>
  <c r="AK1139" i="25"/>
  <c r="AK1138" i="25"/>
  <c r="AK1137" i="25"/>
  <c r="AK1135" i="25"/>
  <c r="AK1134" i="25"/>
  <c r="AK1133" i="25"/>
  <c r="AK1131" i="25"/>
  <c r="AK1125" i="25"/>
  <c r="AK1124" i="25"/>
  <c r="AK1108" i="25"/>
  <c r="AK1107" i="25"/>
  <c r="AK1106" i="25"/>
  <c r="AK1105" i="25"/>
  <c r="AK1104" i="25"/>
  <c r="AK1103" i="25"/>
  <c r="AK1102" i="25"/>
  <c r="AK1100" i="25"/>
  <c r="AK1098" i="25"/>
  <c r="AK1093" i="25"/>
  <c r="AK1092" i="25"/>
  <c r="AK1088" i="25"/>
  <c r="AK1074" i="25"/>
  <c r="AK1073" i="25"/>
  <c r="AK1072" i="25"/>
  <c r="AK1071" i="25"/>
  <c r="AK1046" i="25"/>
  <c r="AK1025" i="25"/>
  <c r="AK996" i="25"/>
  <c r="AK985" i="25"/>
  <c r="AK983" i="25"/>
  <c r="AK981" i="25"/>
  <c r="AK979" i="25"/>
  <c r="AK964" i="25"/>
  <c r="AK962" i="25"/>
  <c r="AK961" i="25"/>
  <c r="AK959" i="25"/>
  <c r="AK892" i="25"/>
  <c r="AK852" i="25"/>
  <c r="AK851" i="25"/>
  <c r="AK850" i="25"/>
  <c r="AK845" i="25"/>
  <c r="AK844" i="25"/>
  <c r="AK843" i="25"/>
  <c r="AK833" i="25"/>
  <c r="AK830" i="25"/>
  <c r="AK829" i="25"/>
  <c r="AK827" i="25"/>
  <c r="AK765" i="25"/>
  <c r="AK759" i="25"/>
  <c r="AK751" i="25"/>
  <c r="AK750" i="25"/>
  <c r="AK730" i="25"/>
  <c r="AK729" i="25"/>
  <c r="AK726" i="25"/>
  <c r="AK722" i="25"/>
  <c r="AK719" i="25"/>
  <c r="AK718" i="25"/>
  <c r="AK715" i="25"/>
  <c r="AK714" i="25"/>
  <c r="AK711" i="25"/>
  <c r="AK708" i="25"/>
  <c r="AK706" i="25"/>
  <c r="AK693" i="25"/>
  <c r="AK692" i="25"/>
  <c r="AK683" i="25"/>
  <c r="AK679" i="25"/>
  <c r="AK677" i="25"/>
  <c r="AK676" i="25"/>
  <c r="AK675" i="25"/>
  <c r="AK673" i="25"/>
  <c r="AK672" i="25"/>
  <c r="AK668" i="25"/>
  <c r="AK667" i="25"/>
  <c r="AK666" i="25"/>
  <c r="AK663" i="25"/>
  <c r="AK645" i="25"/>
  <c r="AK644" i="25"/>
  <c r="AK642" i="25"/>
  <c r="AK641" i="25"/>
  <c r="AK640" i="25"/>
  <c r="AK639" i="25"/>
  <c r="AK637" i="25"/>
  <c r="AK636" i="25"/>
  <c r="AK631" i="25"/>
  <c r="AK627" i="25"/>
  <c r="AK626" i="25"/>
  <c r="AK625" i="25"/>
  <c r="AK624" i="25"/>
  <c r="AK623" i="25"/>
  <c r="AK622" i="25"/>
  <c r="AK621" i="25"/>
  <c r="AK620" i="25"/>
  <c r="AK618" i="25"/>
  <c r="AK617" i="25"/>
  <c r="AK616" i="25"/>
  <c r="AK615" i="25"/>
  <c r="AK614" i="25"/>
  <c r="AK613" i="25"/>
  <c r="AK612" i="25"/>
  <c r="AK611" i="25"/>
  <c r="AK609" i="25"/>
  <c r="AK608" i="25"/>
  <c r="AK607" i="25"/>
  <c r="AK606" i="25"/>
  <c r="AK604" i="25"/>
  <c r="AK603" i="25"/>
  <c r="AK593" i="25"/>
  <c r="AK591" i="25"/>
  <c r="AK590" i="25"/>
  <c r="AK589" i="25"/>
  <c r="AK587" i="25"/>
  <c r="AK581" i="25"/>
  <c r="AK572" i="25"/>
  <c r="AK570" i="25"/>
  <c r="AK547" i="25"/>
  <c r="AK503" i="25"/>
  <c r="AK448" i="25"/>
  <c r="AK447" i="25"/>
  <c r="AK433" i="25"/>
  <c r="AK429" i="25"/>
  <c r="AK428" i="25"/>
  <c r="AK424" i="25"/>
  <c r="AK423" i="25"/>
  <c r="AK422" i="25"/>
  <c r="AK421" i="25"/>
  <c r="AK419" i="25"/>
  <c r="AK418" i="25"/>
  <c r="AK417" i="25"/>
  <c r="AK415" i="25"/>
  <c r="AK414" i="25"/>
  <c r="AK412" i="25"/>
  <c r="AK408" i="25"/>
  <c r="AK406" i="25"/>
  <c r="AK405" i="25"/>
  <c r="AK381" i="25"/>
  <c r="AK375" i="25"/>
  <c r="AK373" i="25"/>
  <c r="AK372" i="25"/>
  <c r="AK371" i="25"/>
  <c r="AK369" i="25"/>
  <c r="AK364" i="25"/>
  <c r="AK363" i="25"/>
  <c r="AK353" i="25"/>
  <c r="AK351" i="25"/>
  <c r="AK349" i="25"/>
  <c r="AK339" i="25"/>
  <c r="AK337" i="25"/>
  <c r="AK336" i="25"/>
  <c r="AK334" i="25"/>
  <c r="AK331" i="25"/>
  <c r="AK329" i="25"/>
  <c r="AK321" i="25"/>
  <c r="AK311" i="25"/>
  <c r="AK305" i="25"/>
  <c r="AK304" i="25"/>
  <c r="AK303" i="25"/>
  <c r="AK302" i="25"/>
  <c r="AK301" i="25"/>
  <c r="AK299" i="25"/>
  <c r="AK297" i="25"/>
  <c r="AK294" i="25"/>
  <c r="AK284" i="25"/>
  <c r="AK257" i="25"/>
  <c r="AK253" i="25"/>
  <c r="AK252" i="25"/>
  <c r="AK251" i="25"/>
  <c r="AK249" i="25"/>
  <c r="AK246" i="25"/>
  <c r="AK238" i="25"/>
  <c r="AK233" i="25"/>
  <c r="AK226" i="25"/>
  <c r="AK223" i="25"/>
  <c r="AK209" i="25"/>
  <c r="AK185" i="25"/>
  <c r="AK166" i="25"/>
  <c r="AK164" i="25"/>
  <c r="AK163" i="25"/>
  <c r="AK155" i="25"/>
  <c r="AK136" i="25"/>
  <c r="AK135" i="25"/>
  <c r="AK133" i="25"/>
  <c r="AK132" i="25"/>
  <c r="AK113" i="25"/>
  <c r="AK102" i="25"/>
  <c r="AK101" i="25"/>
  <c r="AK99" i="25"/>
  <c r="AK97" i="25"/>
  <c r="AK96" i="25"/>
  <c r="AK91" i="25"/>
  <c r="AK87" i="25"/>
  <c r="AK72" i="25"/>
  <c r="AK61" i="25"/>
  <c r="AK52" i="25"/>
  <c r="AK51" i="25"/>
  <c r="AK50" i="25"/>
  <c r="AK49" i="25"/>
  <c r="AK46" i="25"/>
  <c r="AK45" i="25"/>
  <c r="AK44" i="25"/>
  <c r="AK42" i="25"/>
  <c r="AK41" i="25"/>
  <c r="AK40" i="25"/>
  <c r="AK37" i="25"/>
  <c r="AK32" i="25"/>
  <c r="AF136" i="25"/>
  <c r="AK152" i="25"/>
  <c r="AK144" i="25"/>
  <c r="AK143" i="25"/>
  <c r="AK142" i="25"/>
  <c r="AK141" i="25"/>
  <c r="AK140" i="25"/>
  <c r="AK127" i="25"/>
  <c r="AK124" i="25"/>
  <c r="AK122" i="25"/>
  <c r="AK121" i="25"/>
  <c r="AK120" i="25"/>
  <c r="AK119" i="25"/>
  <c r="AK115" i="25"/>
  <c r="AK114" i="25"/>
  <c r="AK112" i="25"/>
  <c r="AK111" i="25"/>
  <c r="AK110" i="25"/>
  <c r="AK109" i="25"/>
  <c r="AK108" i="25"/>
  <c r="AK79" i="25"/>
  <c r="AK78" i="25"/>
  <c r="AK76" i="25"/>
  <c r="AK75" i="25"/>
  <c r="AK74" i="25"/>
  <c r="AK73" i="25"/>
  <c r="AK71" i="25"/>
  <c r="AK70" i="25"/>
  <c r="AK69" i="25"/>
  <c r="AK68" i="25"/>
  <c r="AK67" i="25"/>
  <c r="AK66" i="25"/>
  <c r="AK65" i="25"/>
  <c r="AK64" i="25"/>
  <c r="AK63" i="25"/>
  <c r="AK58" i="25"/>
  <c r="AK57" i="25"/>
  <c r="AK56" i="25"/>
  <c r="AF1219" i="25"/>
  <c r="AF829" i="25"/>
  <c r="AF730" i="25"/>
  <c r="AF708" i="25"/>
  <c r="AF620" i="25"/>
  <c r="AF618" i="25"/>
  <c r="AF679" i="25"/>
  <c r="AF677" i="25"/>
  <c r="AF676" i="25"/>
  <c r="AF627" i="25"/>
  <c r="AF626" i="25"/>
  <c r="AF625" i="25"/>
  <c r="AF624" i="25"/>
  <c r="AF623" i="25"/>
  <c r="AF622" i="25"/>
  <c r="AF621" i="25"/>
  <c r="AF612" i="25"/>
  <c r="AF429" i="25"/>
  <c r="AF424" i="25"/>
  <c r="AF423" i="25"/>
  <c r="AF418" i="25"/>
  <c r="AF352" i="25"/>
  <c r="AF353" i="25"/>
  <c r="AF251" i="25"/>
  <c r="AF339" i="25"/>
  <c r="AF304" i="25"/>
  <c r="AF301" i="25"/>
  <c r="AF252" i="25"/>
  <c r="AF166" i="25"/>
  <c r="AF164" i="25"/>
  <c r="AF133" i="25"/>
  <c r="AF52" i="25"/>
  <c r="AF101" i="25"/>
  <c r="AF51" i="25"/>
  <c r="AF50" i="25"/>
  <c r="AF49" i="25"/>
  <c r="AF46" i="25"/>
  <c r="AF672" i="25"/>
  <c r="AF1243" i="25"/>
  <c r="AF1238" i="25"/>
  <c r="AF1235" i="25"/>
  <c r="AF1232" i="25"/>
  <c r="AF1230" i="25"/>
  <c r="AF1228" i="25"/>
  <c r="AF1213" i="25"/>
  <c r="AF1212" i="25"/>
  <c r="AF1210" i="25"/>
  <c r="AF1208" i="25"/>
  <c r="AF1207" i="25"/>
  <c r="AF1205" i="25"/>
  <c r="AF1204" i="25"/>
  <c r="AF1203" i="25"/>
  <c r="AF1199" i="25"/>
  <c r="AF1198" i="25"/>
  <c r="AF1196" i="25"/>
  <c r="AF1168" i="25"/>
  <c r="AF1167" i="25"/>
  <c r="AF1158" i="25"/>
  <c r="AF1075" i="25"/>
  <c r="AF959" i="25"/>
  <c r="AF833" i="25"/>
  <c r="AF728" i="25"/>
  <c r="AF590" i="25"/>
  <c r="AF589" i="25"/>
  <c r="AF376" i="25"/>
  <c r="AF305" i="25"/>
  <c r="AF135" i="25"/>
  <c r="AF637" i="25"/>
  <c r="AF631" i="25"/>
  <c r="AF351" i="25"/>
  <c r="AH636" i="25"/>
  <c r="AF636" i="25" s="1"/>
  <c r="AF89" i="25" l="1"/>
  <c r="AF59" i="25"/>
  <c r="AF40" i="25"/>
  <c r="P978" i="25" l="1"/>
  <c r="Q978" i="25" s="1"/>
  <c r="AF978" i="25" l="1"/>
  <c r="AK978" i="25"/>
  <c r="B1304" i="31"/>
  <c r="B1303" i="31"/>
  <c r="W1302" i="31"/>
  <c r="V1302" i="31"/>
  <c r="X1302" i="31" s="1"/>
  <c r="B1302" i="31"/>
  <c r="W1301" i="31"/>
  <c r="V1301" i="31"/>
  <c r="X1301" i="31" s="1"/>
  <c r="B1301" i="31"/>
  <c r="W1300" i="31"/>
  <c r="V1300" i="31"/>
  <c r="X1300" i="31" s="1"/>
  <c r="X1299" i="31"/>
  <c r="W1299" i="31"/>
  <c r="V1299" i="31"/>
  <c r="B1299" i="31"/>
  <c r="AA1298" i="31"/>
  <c r="W1298" i="31"/>
  <c r="V1298" i="31"/>
  <c r="X1298" i="31" s="1"/>
  <c r="W1297" i="31"/>
  <c r="X1297" i="31" s="1"/>
  <c r="V1297" i="31"/>
  <c r="W1296" i="31"/>
  <c r="V1296" i="31"/>
  <c r="X1296" i="31" s="1"/>
  <c r="U1295" i="31"/>
  <c r="T1295" i="31"/>
  <c r="S1295" i="31"/>
  <c r="W1295" i="31" s="1"/>
  <c r="AA1295" i="31" s="1"/>
  <c r="R1295" i="31"/>
  <c r="D1295" i="31"/>
  <c r="B1295" i="31"/>
  <c r="U1294" i="31"/>
  <c r="T1294" i="31"/>
  <c r="S1294" i="31"/>
  <c r="R1294" i="31"/>
  <c r="V1294" i="31" s="1"/>
  <c r="Q1294" i="31"/>
  <c r="P1294" i="31"/>
  <c r="H1294" i="31"/>
  <c r="B1294" i="31"/>
  <c r="V1293" i="31"/>
  <c r="U1293" i="31"/>
  <c r="R1293" i="31"/>
  <c r="B1293" i="31"/>
  <c r="U1292" i="31"/>
  <c r="S1292" i="31"/>
  <c r="R1292" i="31"/>
  <c r="P1292" i="31"/>
  <c r="V1292" i="31" s="1"/>
  <c r="B1292" i="31"/>
  <c r="B1296" i="31" s="1"/>
  <c r="U1291" i="31"/>
  <c r="S1291" i="31"/>
  <c r="W1291" i="31" s="1"/>
  <c r="AA1288" i="31"/>
  <c r="Y1288" i="31"/>
  <c r="T1288" i="31"/>
  <c r="Q1288" i="31"/>
  <c r="Y1287" i="31"/>
  <c r="Q1287" i="31"/>
  <c r="Q1286" i="31"/>
  <c r="Q1285" i="31"/>
  <c r="Q1284" i="31"/>
  <c r="T1283" i="31"/>
  <c r="Q1283" i="31"/>
  <c r="Y1282" i="31"/>
  <c r="T1282" i="31"/>
  <c r="AA1282" i="31" s="1"/>
  <c r="Y1281" i="31"/>
  <c r="T1281" i="31"/>
  <c r="Y1280" i="31"/>
  <c r="AA1280" i="31" s="1"/>
  <c r="T1280" i="31"/>
  <c r="AA1278" i="31"/>
  <c r="Y1278" i="31"/>
  <c r="T1278" i="31"/>
  <c r="Q1278" i="31"/>
  <c r="T1277" i="31"/>
  <c r="AA1277" i="31" s="1"/>
  <c r="AA1276" i="31"/>
  <c r="AE1276" i="31" s="1"/>
  <c r="AA1275" i="31"/>
  <c r="Y1274" i="31"/>
  <c r="T1274" i="31"/>
  <c r="AA1274" i="31" s="1"/>
  <c r="Y1273" i="31"/>
  <c r="AA1273" i="31" s="1"/>
  <c r="T1273" i="31"/>
  <c r="Y1272" i="31"/>
  <c r="T1272" i="31"/>
  <c r="AA1272" i="31" s="1"/>
  <c r="Y1271" i="31"/>
  <c r="T1271" i="31"/>
  <c r="Y1270" i="31"/>
  <c r="T1269" i="31"/>
  <c r="AE1268" i="31"/>
  <c r="Y1268" i="31"/>
  <c r="T1268" i="31"/>
  <c r="T1267" i="31"/>
  <c r="AQ1266" i="31"/>
  <c r="AG1266" i="31"/>
  <c r="D1263" i="31"/>
  <c r="D1262" i="31"/>
  <c r="D1261" i="31"/>
  <c r="D1260" i="31"/>
  <c r="D1259" i="31"/>
  <c r="D1264" i="31" s="1"/>
  <c r="D1256" i="31"/>
  <c r="D1255" i="31"/>
  <c r="D1254" i="31"/>
  <c r="D1253" i="31"/>
  <c r="D1252" i="31"/>
  <c r="D1251" i="31"/>
  <c r="D1250" i="31"/>
  <c r="T1249" i="31"/>
  <c r="D1246" i="31"/>
  <c r="D1245" i="31"/>
  <c r="D1244" i="31"/>
  <c r="D1243" i="31"/>
  <c r="D1242" i="31"/>
  <c r="D1247" i="31" s="1"/>
  <c r="N1235" i="31"/>
  <c r="AE1229" i="31"/>
  <c r="AJ1229" i="31" s="1"/>
  <c r="AE1228" i="31"/>
  <c r="AJ1228" i="31" s="1"/>
  <c r="AJ1227" i="31"/>
  <c r="AE1227" i="31"/>
  <c r="AE1226" i="31"/>
  <c r="AJ1226" i="31" s="1"/>
  <c r="AE1225" i="31"/>
  <c r="AJ1225" i="31" s="1"/>
  <c r="AE1224" i="31"/>
  <c r="AJ1224" i="31" s="1"/>
  <c r="AE1223" i="31"/>
  <c r="AJ1223" i="31" s="1"/>
  <c r="AE1222" i="31"/>
  <c r="AJ1222" i="31" s="1"/>
  <c r="AE1221" i="31"/>
  <c r="AJ1221" i="31" s="1"/>
  <c r="AE1220" i="31"/>
  <c r="AJ1220" i="31" s="1"/>
  <c r="AJ1219" i="31"/>
  <c r="AE1219" i="31"/>
  <c r="AE1218" i="31"/>
  <c r="AJ1218" i="31" s="1"/>
  <c r="AE1217" i="31"/>
  <c r="AJ1217" i="31" s="1"/>
  <c r="AE1216" i="31"/>
  <c r="AJ1216" i="31" s="1"/>
  <c r="AE1215" i="31"/>
  <c r="AJ1215" i="31" s="1"/>
  <c r="T1214" i="31"/>
  <c r="AE1214" i="31" s="1"/>
  <c r="AJ1214" i="31" s="1"/>
  <c r="P1214" i="31"/>
  <c r="AE1213" i="31"/>
  <c r="AJ1213" i="31" s="1"/>
  <c r="T1212" i="31"/>
  <c r="P1212" i="31"/>
  <c r="AE1211" i="31"/>
  <c r="AJ1211" i="31" s="1"/>
  <c r="AE1210" i="31"/>
  <c r="AE1238" i="31" s="1"/>
  <c r="T1209" i="31"/>
  <c r="P1209" i="31"/>
  <c r="AE1209" i="31" s="1"/>
  <c r="AJ1209" i="31" s="1"/>
  <c r="AE1208" i="31"/>
  <c r="AJ1208" i="31" s="1"/>
  <c r="AG1207" i="31"/>
  <c r="AE1207" i="31"/>
  <c r="AJ1207" i="31" s="1"/>
  <c r="AE1206" i="31"/>
  <c r="AJ1206" i="31" s="1"/>
  <c r="AE1205" i="31"/>
  <c r="AJ1205" i="31" s="1"/>
  <c r="AE1204" i="31"/>
  <c r="AJ1204" i="31" s="1"/>
  <c r="AE1203" i="31"/>
  <c r="AJ1203" i="31" s="1"/>
  <c r="AE1202" i="31"/>
  <c r="AJ1202" i="31" s="1"/>
  <c r="AE1201" i="31"/>
  <c r="AJ1201" i="31" s="1"/>
  <c r="AJ1200" i="31"/>
  <c r="AE1200" i="31"/>
  <c r="AG1199" i="31"/>
  <c r="AE1199" i="31" s="1"/>
  <c r="AJ1199" i="31" s="1"/>
  <c r="AE1198" i="31"/>
  <c r="AJ1198" i="31" s="1"/>
  <c r="AJ1197" i="31"/>
  <c r="AE1197" i="31"/>
  <c r="AE1196" i="31"/>
  <c r="AJ1196" i="31" s="1"/>
  <c r="AE1195" i="31"/>
  <c r="AJ1195" i="31" s="1"/>
  <c r="AE1194" i="31"/>
  <c r="AJ1194" i="31" s="1"/>
  <c r="AE1193" i="31"/>
  <c r="AJ1193" i="31" s="1"/>
  <c r="AE1192" i="31"/>
  <c r="AJ1192" i="31" s="1"/>
  <c r="AE1191" i="31"/>
  <c r="AJ1191" i="31" s="1"/>
  <c r="AE1190" i="31"/>
  <c r="AJ1190" i="31" s="1"/>
  <c r="AJ1189" i="31"/>
  <c r="AE1189" i="31"/>
  <c r="AE1188" i="31"/>
  <c r="AJ1188" i="31" s="1"/>
  <c r="AE1187" i="31"/>
  <c r="AJ1187" i="31" s="1"/>
  <c r="AE1186" i="31"/>
  <c r="AJ1186" i="31" s="1"/>
  <c r="P1185" i="31"/>
  <c r="AE1185" i="31" s="1"/>
  <c r="AJ1185" i="31" s="1"/>
  <c r="P1184" i="31"/>
  <c r="AE1184" i="31" s="1"/>
  <c r="AJ1184" i="31" s="1"/>
  <c r="P1183" i="31"/>
  <c r="AE1183" i="31" s="1"/>
  <c r="AJ1183" i="31" s="1"/>
  <c r="AJ1182" i="31"/>
  <c r="AE1182" i="31"/>
  <c r="P1181" i="31"/>
  <c r="AE1181" i="31" s="1"/>
  <c r="AJ1181" i="31" s="1"/>
  <c r="AE1180" i="31"/>
  <c r="AJ1180" i="31" s="1"/>
  <c r="AE1179" i="31"/>
  <c r="AJ1179" i="31" s="1"/>
  <c r="AE1178" i="31"/>
  <c r="AJ1178" i="31" s="1"/>
  <c r="AJ1177" i="31"/>
  <c r="AE1177" i="31"/>
  <c r="AE1176" i="31"/>
  <c r="AJ1176" i="31" s="1"/>
  <c r="AE1175" i="31"/>
  <c r="AJ1175" i="31" s="1"/>
  <c r="AE1174" i="31"/>
  <c r="AJ1174" i="31" s="1"/>
  <c r="AE1173" i="31"/>
  <c r="AJ1173" i="31" s="1"/>
  <c r="AE1172" i="31"/>
  <c r="AJ1172" i="31" s="1"/>
  <c r="AE1171" i="31"/>
  <c r="AJ1171" i="31" s="1"/>
  <c r="AE1170" i="31"/>
  <c r="AJ1170" i="31" s="1"/>
  <c r="AJ1169" i="31"/>
  <c r="AE1169" i="31"/>
  <c r="AE1168" i="31"/>
  <c r="AJ1168" i="31" s="1"/>
  <c r="AE1167" i="31"/>
  <c r="AJ1167" i="31" s="1"/>
  <c r="AE1166" i="31"/>
  <c r="AJ1166" i="31" s="1"/>
  <c r="AE1165" i="31"/>
  <c r="AJ1165" i="31" s="1"/>
  <c r="AE1164" i="31"/>
  <c r="AJ1164" i="31" s="1"/>
  <c r="AE1163" i="31"/>
  <c r="AJ1163" i="31" s="1"/>
  <c r="AE1162" i="31"/>
  <c r="AJ1162" i="31" s="1"/>
  <c r="AJ1161" i="31"/>
  <c r="AE1161" i="31"/>
  <c r="AE1160" i="31"/>
  <c r="AJ1160" i="31" s="1"/>
  <c r="AE1159" i="31"/>
  <c r="AJ1159" i="31" s="1"/>
  <c r="AE1158" i="31"/>
  <c r="AJ1158" i="31" s="1"/>
  <c r="AE1157" i="31"/>
  <c r="AJ1157" i="31" s="1"/>
  <c r="AE1156" i="31"/>
  <c r="AJ1156" i="31" s="1"/>
  <c r="AE1152" i="31"/>
  <c r="AJ1152" i="31" s="1"/>
  <c r="AE1151" i="31"/>
  <c r="AJ1151" i="31" s="1"/>
  <c r="AJ1150" i="31"/>
  <c r="AE1150" i="31"/>
  <c r="AE1149" i="31"/>
  <c r="AJ1149" i="31" s="1"/>
  <c r="AE1148" i="31"/>
  <c r="AJ1148" i="31" s="1"/>
  <c r="AE1147" i="31"/>
  <c r="AJ1147" i="31" s="1"/>
  <c r="AE1146" i="31"/>
  <c r="AJ1146" i="31" s="1"/>
  <c r="AE1145" i="31"/>
  <c r="AJ1145" i="31" s="1"/>
  <c r="AE1144" i="31"/>
  <c r="AJ1144" i="31" s="1"/>
  <c r="AE1143" i="31"/>
  <c r="AJ1143" i="31" s="1"/>
  <c r="AJ1142" i="31"/>
  <c r="AE1142" i="31"/>
  <c r="AE1141" i="31"/>
  <c r="AJ1141" i="31" s="1"/>
  <c r="T1140" i="31"/>
  <c r="P1140" i="31"/>
  <c r="AE1139" i="31"/>
  <c r="AJ1139" i="31" s="1"/>
  <c r="AE1138" i="31"/>
  <c r="AJ1138" i="31" s="1"/>
  <c r="AE1134" i="31"/>
  <c r="AJ1134" i="31" s="1"/>
  <c r="AE1132" i="31"/>
  <c r="AJ1132" i="31" s="1"/>
  <c r="AJ1131" i="31"/>
  <c r="AE1131" i="31"/>
  <c r="AE1130" i="31"/>
  <c r="AJ1130" i="31" s="1"/>
  <c r="AE1129" i="31"/>
  <c r="AJ1129" i="31" s="1"/>
  <c r="P1128" i="31"/>
  <c r="AE1128" i="31" s="1"/>
  <c r="AJ1128" i="31" s="1"/>
  <c r="AE1127" i="31"/>
  <c r="AJ1127" i="31" s="1"/>
  <c r="AE1126" i="31"/>
  <c r="AJ1126" i="31" s="1"/>
  <c r="AE1125" i="31"/>
  <c r="AJ1125" i="31" s="1"/>
  <c r="AE1124" i="31"/>
  <c r="AJ1124" i="31" s="1"/>
  <c r="AJ1123" i="31"/>
  <c r="AE1123" i="31"/>
  <c r="AE1119" i="31"/>
  <c r="AJ1119" i="31" s="1"/>
  <c r="AE1117" i="31"/>
  <c r="AJ1117" i="31" s="1"/>
  <c r="AE1116" i="31"/>
  <c r="AJ1116" i="31" s="1"/>
  <c r="AE1107" i="31"/>
  <c r="AJ1107" i="31" s="1"/>
  <c r="AE1100" i="31"/>
  <c r="AJ1100" i="31" s="1"/>
  <c r="AE1099" i="31"/>
  <c r="AJ1099" i="31" s="1"/>
  <c r="AE1098" i="31"/>
  <c r="AJ1098" i="31" s="1"/>
  <c r="AJ1097" i="31"/>
  <c r="AE1097" i="31"/>
  <c r="AE1096" i="31"/>
  <c r="AJ1096" i="31" s="1"/>
  <c r="AE1095" i="31"/>
  <c r="AJ1095" i="31" s="1"/>
  <c r="AE1094" i="31"/>
  <c r="AJ1094" i="31" s="1"/>
  <c r="Y1093" i="31"/>
  <c r="AE1093" i="31" s="1"/>
  <c r="AJ1093" i="31" s="1"/>
  <c r="AE1092" i="31"/>
  <c r="AJ1092" i="31" s="1"/>
  <c r="T1091" i="31"/>
  <c r="T1287" i="31" s="1"/>
  <c r="AE1090" i="31"/>
  <c r="AJ1090" i="31" s="1"/>
  <c r="AE1089" i="31"/>
  <c r="AJ1089" i="31" s="1"/>
  <c r="T1088" i="31"/>
  <c r="P1088" i="31"/>
  <c r="AG1088" i="31" s="1"/>
  <c r="AE1087" i="31"/>
  <c r="AJ1087" i="31" s="1"/>
  <c r="AE1086" i="31"/>
  <c r="AJ1086" i="31" s="1"/>
  <c r="AE1085" i="31"/>
  <c r="AJ1085" i="31" s="1"/>
  <c r="AJ1084" i="31"/>
  <c r="AE1084" i="31"/>
  <c r="AE1083" i="31"/>
  <c r="AJ1083" i="31" s="1"/>
  <c r="AE1082" i="31"/>
  <c r="AJ1082" i="31" s="1"/>
  <c r="P1082" i="31"/>
  <c r="AE1081" i="31"/>
  <c r="AJ1081" i="31" s="1"/>
  <c r="AE1080" i="31"/>
  <c r="AJ1080" i="31" s="1"/>
  <c r="P1079" i="31"/>
  <c r="AE1079" i="31" s="1"/>
  <c r="AJ1079" i="31" s="1"/>
  <c r="AE1077" i="31"/>
  <c r="AJ1077" i="31" s="1"/>
  <c r="AJ1076" i="31"/>
  <c r="AE1076" i="31"/>
  <c r="AE1074" i="31"/>
  <c r="AJ1074" i="31" s="1"/>
  <c r="AE1068" i="31"/>
  <c r="AJ1068" i="31" s="1"/>
  <c r="P1068" i="31"/>
  <c r="T1067" i="31"/>
  <c r="AE1067" i="31" s="1"/>
  <c r="AJ1067" i="31" s="1"/>
  <c r="AE1066" i="31"/>
  <c r="AJ1066" i="31" s="1"/>
  <c r="AE1065" i="31"/>
  <c r="AJ1065" i="31" s="1"/>
  <c r="AE1064" i="31"/>
  <c r="AJ1064" i="31" s="1"/>
  <c r="AJ1063" i="31"/>
  <c r="AE1063" i="31"/>
  <c r="AE1051" i="31"/>
  <c r="AJ1051" i="31" s="1"/>
  <c r="AE1046" i="31"/>
  <c r="AJ1046" i="31" s="1"/>
  <c r="AE1043" i="31"/>
  <c r="AJ1043" i="31" s="1"/>
  <c r="AE1041" i="31"/>
  <c r="AJ1041" i="31" s="1"/>
  <c r="AE1038" i="31"/>
  <c r="AJ1038" i="31" s="1"/>
  <c r="AE1037" i="31"/>
  <c r="AJ1037" i="31" s="1"/>
  <c r="AE1021" i="31"/>
  <c r="AJ1021" i="31" s="1"/>
  <c r="AJ1019" i="31"/>
  <c r="AE1019" i="31"/>
  <c r="AE1017" i="31"/>
  <c r="AJ1017" i="31" s="1"/>
  <c r="AE989" i="31"/>
  <c r="AJ989" i="31" s="1"/>
  <c r="T989" i="31"/>
  <c r="AE988" i="31"/>
  <c r="AJ988" i="31" s="1"/>
  <c r="AJ977" i="31"/>
  <c r="AE977" i="31"/>
  <c r="AE976" i="31"/>
  <c r="AJ976" i="31" s="1"/>
  <c r="AJ975" i="31"/>
  <c r="AE975" i="31"/>
  <c r="T974" i="31"/>
  <c r="AE974" i="31" s="1"/>
  <c r="AJ974" i="31" s="1"/>
  <c r="P974" i="31"/>
  <c r="AE973" i="31"/>
  <c r="AJ973" i="31" s="1"/>
  <c r="T972" i="31"/>
  <c r="P972" i="31"/>
  <c r="AE971" i="31"/>
  <c r="AJ971" i="31" s="1"/>
  <c r="AE970" i="31"/>
  <c r="AJ970" i="31" s="1"/>
  <c r="AE961" i="31"/>
  <c r="AJ961" i="31" s="1"/>
  <c r="AE960" i="31"/>
  <c r="AJ960" i="31" s="1"/>
  <c r="AJ959" i="31"/>
  <c r="AE959" i="31"/>
  <c r="AE958" i="31"/>
  <c r="AJ958" i="31" s="1"/>
  <c r="AE956" i="31"/>
  <c r="AJ956" i="31" s="1"/>
  <c r="AE954" i="31"/>
  <c r="AJ954" i="31" s="1"/>
  <c r="AE953" i="31"/>
  <c r="AJ953" i="31" s="1"/>
  <c r="AE952" i="31"/>
  <c r="AJ952" i="31" s="1"/>
  <c r="AE951" i="31"/>
  <c r="AJ951" i="31" s="1"/>
  <c r="AE950" i="31"/>
  <c r="AJ950" i="31" s="1"/>
  <c r="AJ949" i="31"/>
  <c r="AE949" i="31"/>
  <c r="AE948" i="31"/>
  <c r="AJ948" i="31" s="1"/>
  <c r="Y928" i="31"/>
  <c r="AE928" i="31" s="1"/>
  <c r="AE885" i="31"/>
  <c r="AJ885" i="31" s="1"/>
  <c r="AE884" i="31"/>
  <c r="AJ884" i="31" s="1"/>
  <c r="M884" i="31"/>
  <c r="AE882" i="31"/>
  <c r="AE849" i="31"/>
  <c r="AJ849" i="31" s="1"/>
  <c r="AE848" i="31"/>
  <c r="AJ848" i="31" s="1"/>
  <c r="AE847" i="31"/>
  <c r="AJ847" i="31" s="1"/>
  <c r="AE844" i="31"/>
  <c r="AJ844" i="31" s="1"/>
  <c r="M844" i="31"/>
  <c r="AE843" i="31"/>
  <c r="AJ843" i="31" s="1"/>
  <c r="AE842" i="31"/>
  <c r="AJ842" i="31" s="1"/>
  <c r="T840" i="31"/>
  <c r="AE840" i="31" s="1"/>
  <c r="AJ840" i="31" s="1"/>
  <c r="P840" i="31"/>
  <c r="T839" i="31"/>
  <c r="P839" i="31"/>
  <c r="AE837" i="31"/>
  <c r="AJ837" i="31" s="1"/>
  <c r="AE836" i="31"/>
  <c r="AJ836" i="31" s="1"/>
  <c r="AE835" i="31"/>
  <c r="AJ835" i="31" s="1"/>
  <c r="T834" i="31"/>
  <c r="AE834" i="31" s="1"/>
  <c r="AJ834" i="31" s="1"/>
  <c r="P834" i="31"/>
  <c r="Y832" i="31"/>
  <c r="Y1286" i="31" s="1"/>
  <c r="P832" i="31"/>
  <c r="AE832" i="31" s="1"/>
  <c r="AJ832" i="31" s="1"/>
  <c r="AE831" i="31"/>
  <c r="AJ831" i="31" s="1"/>
  <c r="AE829" i="31"/>
  <c r="AJ829" i="31" s="1"/>
  <c r="AE828" i="31"/>
  <c r="AJ828" i="31" s="1"/>
  <c r="AE827" i="31"/>
  <c r="AJ827" i="31" s="1"/>
  <c r="P826" i="31"/>
  <c r="AE826" i="31" s="1"/>
  <c r="AJ826" i="31" s="1"/>
  <c r="AE825" i="31"/>
  <c r="AJ825" i="31" s="1"/>
  <c r="AE824" i="31"/>
  <c r="AJ824" i="31" s="1"/>
  <c r="AE823" i="31"/>
  <c r="AE822" i="31"/>
  <c r="AJ822" i="31" s="1"/>
  <c r="AE821" i="31"/>
  <c r="AJ821" i="31" s="1"/>
  <c r="AE820" i="31"/>
  <c r="AJ820" i="31" s="1"/>
  <c r="AE819" i="31"/>
  <c r="AJ819" i="31" s="1"/>
  <c r="AJ757" i="31"/>
  <c r="AE757" i="31"/>
  <c r="BC752" i="31"/>
  <c r="BB752" i="31"/>
  <c r="BA752" i="31"/>
  <c r="AY752" i="31"/>
  <c r="AX752" i="31"/>
  <c r="AW752" i="31"/>
  <c r="AV752" i="31"/>
  <c r="AR752" i="31"/>
  <c r="AQ752" i="31"/>
  <c r="AP752" i="31"/>
  <c r="AO752" i="31"/>
  <c r="AN752" i="31"/>
  <c r="AM752" i="31"/>
  <c r="O752" i="31"/>
  <c r="N752" i="31"/>
  <c r="L752" i="31"/>
  <c r="K752" i="31"/>
  <c r="AE751" i="31"/>
  <c r="AJ751" i="31" s="1"/>
  <c r="AE750" i="31"/>
  <c r="AJ750" i="31" s="1"/>
  <c r="AE749" i="31"/>
  <c r="AJ749" i="31" s="1"/>
  <c r="AE747" i="31"/>
  <c r="AJ747" i="31" s="1"/>
  <c r="AE746" i="31"/>
  <c r="BC744" i="31"/>
  <c r="BB744" i="31"/>
  <c r="BA744" i="31"/>
  <c r="AY744" i="31"/>
  <c r="AX744" i="31"/>
  <c r="AW744" i="31"/>
  <c r="AV744" i="31"/>
  <c r="AR744" i="31"/>
  <c r="AQ744" i="31"/>
  <c r="AP744" i="31"/>
  <c r="AO744" i="31"/>
  <c r="AN744" i="31"/>
  <c r="AM744" i="31"/>
  <c r="O744" i="31"/>
  <c r="N744" i="31"/>
  <c r="M744" i="31"/>
  <c r="L744" i="31"/>
  <c r="K744" i="31"/>
  <c r="AE743" i="31"/>
  <c r="AJ743" i="31" s="1"/>
  <c r="AE742" i="31"/>
  <c r="AJ742" i="31" s="1"/>
  <c r="P741" i="31"/>
  <c r="AE741" i="31" s="1"/>
  <c r="AJ741" i="31" s="1"/>
  <c r="K741" i="31"/>
  <c r="K725" i="31" s="1"/>
  <c r="AE738" i="31"/>
  <c r="AJ738" i="31" s="1"/>
  <c r="AE737" i="31"/>
  <c r="AJ737" i="31" s="1"/>
  <c r="AE736" i="31"/>
  <c r="AJ736" i="31" s="1"/>
  <c r="P734" i="31"/>
  <c r="BC725" i="31"/>
  <c r="BB725" i="31"/>
  <c r="BA725" i="31"/>
  <c r="AY725" i="31"/>
  <c r="AX725" i="31"/>
  <c r="AW725" i="31"/>
  <c r="AV725" i="31"/>
  <c r="AR725" i="31"/>
  <c r="AQ725" i="31"/>
  <c r="AP725" i="31"/>
  <c r="AO725" i="31"/>
  <c r="AN725" i="31"/>
  <c r="AM725" i="31"/>
  <c r="O725" i="31"/>
  <c r="N725" i="31"/>
  <c r="M725" i="31"/>
  <c r="L725" i="31"/>
  <c r="AE724" i="31"/>
  <c r="AJ724" i="31" s="1"/>
  <c r="AE723" i="31"/>
  <c r="AJ723" i="31" s="1"/>
  <c r="T722" i="31"/>
  <c r="AE722" i="31" s="1"/>
  <c r="AJ722" i="31" s="1"/>
  <c r="T721" i="31"/>
  <c r="AE720" i="31"/>
  <c r="AJ720" i="31" s="1"/>
  <c r="P719" i="31"/>
  <c r="AE719" i="31" s="1"/>
  <c r="AJ719" i="31" s="1"/>
  <c r="M719" i="31"/>
  <c r="M675" i="31" s="1"/>
  <c r="AE718" i="31"/>
  <c r="AJ718" i="31" s="1"/>
  <c r="AE717" i="31"/>
  <c r="AJ717" i="31" s="1"/>
  <c r="AJ716" i="31"/>
  <c r="AE716" i="31"/>
  <c r="P715" i="31"/>
  <c r="AE715" i="31" s="1"/>
  <c r="AJ715" i="31" s="1"/>
  <c r="AE714" i="31"/>
  <c r="AJ714" i="31" s="1"/>
  <c r="AE713" i="31"/>
  <c r="AJ713" i="31" s="1"/>
  <c r="AE712" i="31"/>
  <c r="AJ712" i="31" s="1"/>
  <c r="AE711" i="31"/>
  <c r="AJ711" i="31" s="1"/>
  <c r="AE710" i="31"/>
  <c r="AJ710" i="31" s="1"/>
  <c r="AE709" i="31"/>
  <c r="AJ709" i="31" s="1"/>
  <c r="AE708" i="31"/>
  <c r="AJ708" i="31" s="1"/>
  <c r="AE707" i="31"/>
  <c r="AJ707" i="31" s="1"/>
  <c r="AE706" i="31"/>
  <c r="AJ706" i="31" s="1"/>
  <c r="AE705" i="31"/>
  <c r="AJ705" i="31" s="1"/>
  <c r="T704" i="31"/>
  <c r="P704" i="31"/>
  <c r="AE703" i="31"/>
  <c r="AJ703" i="31" s="1"/>
  <c r="AJ702" i="31"/>
  <c r="AE702" i="31"/>
  <c r="BB701" i="31"/>
  <c r="P701" i="31"/>
  <c r="AE701" i="31" s="1"/>
  <c r="AE700" i="31"/>
  <c r="AJ700" i="31" s="1"/>
  <c r="AE697" i="31"/>
  <c r="AJ697" i="31" s="1"/>
  <c r="AE687" i="31"/>
  <c r="AJ687" i="31" s="1"/>
  <c r="AE686" i="31"/>
  <c r="AJ686" i="31" s="1"/>
  <c r="AE682" i="31"/>
  <c r="AJ682" i="31" s="1"/>
  <c r="AE681" i="31"/>
  <c r="AJ681" i="31" s="1"/>
  <c r="P680" i="31"/>
  <c r="AE680" i="31" s="1"/>
  <c r="AE677" i="31"/>
  <c r="AJ677" i="31" s="1"/>
  <c r="AE676" i="31"/>
  <c r="AJ676" i="31" s="1"/>
  <c r="BC675" i="31"/>
  <c r="BB675" i="31"/>
  <c r="BA675" i="31"/>
  <c r="AY675" i="31"/>
  <c r="AX675" i="31"/>
  <c r="AW675" i="31"/>
  <c r="AV675" i="31"/>
  <c r="AR675" i="31"/>
  <c r="AQ675" i="31"/>
  <c r="AP675" i="31"/>
  <c r="AO675" i="31"/>
  <c r="AN675" i="31"/>
  <c r="AM675" i="31"/>
  <c r="O675" i="31"/>
  <c r="N675" i="31"/>
  <c r="L675" i="31"/>
  <c r="K675" i="31"/>
  <c r="AG674" i="31"/>
  <c r="AE674" i="31"/>
  <c r="AJ674" i="31" s="1"/>
  <c r="P673" i="31"/>
  <c r="AG672" i="31"/>
  <c r="AE672" i="31"/>
  <c r="AJ672" i="31" s="1"/>
  <c r="AG671" i="31"/>
  <c r="AE671" i="31" s="1"/>
  <c r="AJ671" i="31" s="1"/>
  <c r="AE670" i="31"/>
  <c r="AJ670" i="31" s="1"/>
  <c r="P669" i="31"/>
  <c r="AE669" i="31" s="1"/>
  <c r="M669" i="31"/>
  <c r="AG668" i="31"/>
  <c r="AE668" i="31"/>
  <c r="AE667" i="31"/>
  <c r="AJ667" i="31" s="1"/>
  <c r="P666" i="31"/>
  <c r="AE666" i="31" s="1"/>
  <c r="AJ666" i="31" s="1"/>
  <c r="M666" i="31"/>
  <c r="AE665" i="31"/>
  <c r="AJ665" i="31" s="1"/>
  <c r="AE664" i="31"/>
  <c r="AJ664" i="31" s="1"/>
  <c r="AE663" i="31"/>
  <c r="AJ663" i="31" s="1"/>
  <c r="AE662" i="31"/>
  <c r="AJ662" i="31" s="1"/>
  <c r="AE661" i="31"/>
  <c r="AJ661" i="31" s="1"/>
  <c r="AE659" i="31"/>
  <c r="AJ659" i="31" s="1"/>
  <c r="AE658" i="31"/>
  <c r="AJ658" i="31" s="1"/>
  <c r="P657" i="31"/>
  <c r="AE650" i="31"/>
  <c r="AJ650" i="31" s="1"/>
  <c r="AE648" i="31"/>
  <c r="AJ648" i="31" s="1"/>
  <c r="BC641" i="31"/>
  <c r="BB641" i="31"/>
  <c r="BA641" i="31"/>
  <c r="AY641" i="31"/>
  <c r="AX641" i="31"/>
  <c r="AW641" i="31"/>
  <c r="AV641" i="31"/>
  <c r="AR641" i="31"/>
  <c r="AQ641" i="31"/>
  <c r="AP641" i="31"/>
  <c r="AO641" i="31"/>
  <c r="AN641" i="31"/>
  <c r="AM641" i="31"/>
  <c r="O641" i="31"/>
  <c r="N641" i="31"/>
  <c r="M641" i="31"/>
  <c r="L641" i="31"/>
  <c r="K641" i="31"/>
  <c r="AG640" i="31"/>
  <c r="AE640" i="31" s="1"/>
  <c r="AJ640" i="31" s="1"/>
  <c r="AE639" i="31"/>
  <c r="AJ639" i="31" s="1"/>
  <c r="P638" i="31"/>
  <c r="AE638" i="31" s="1"/>
  <c r="AJ638" i="31" s="1"/>
  <c r="K638" i="31"/>
  <c r="K633" i="31" s="1"/>
  <c r="AE637" i="31"/>
  <c r="AJ637" i="31" s="1"/>
  <c r="AG636" i="31"/>
  <c r="AE636" i="31"/>
  <c r="AJ636" i="31" s="1"/>
  <c r="AE635" i="31"/>
  <c r="AJ635" i="31" s="1"/>
  <c r="AE634" i="31"/>
  <c r="AJ634" i="31" s="1"/>
  <c r="BC633" i="31"/>
  <c r="BB633" i="31"/>
  <c r="BA633" i="31"/>
  <c r="AY633" i="31"/>
  <c r="AX633" i="31"/>
  <c r="AW633" i="31"/>
  <c r="AV633" i="31"/>
  <c r="AR633" i="31"/>
  <c r="AQ633" i="31"/>
  <c r="AP633" i="31"/>
  <c r="AO633" i="31"/>
  <c r="AN633" i="31"/>
  <c r="AM633" i="31"/>
  <c r="O633" i="31"/>
  <c r="N633" i="31"/>
  <c r="M633" i="31"/>
  <c r="L633" i="31"/>
  <c r="AE632" i="31"/>
  <c r="AJ632" i="31" s="1"/>
  <c r="AG631" i="31"/>
  <c r="AE631" i="31"/>
  <c r="AJ631" i="31" s="1"/>
  <c r="AR630" i="31"/>
  <c r="AQ630" i="31"/>
  <c r="AP630" i="31"/>
  <c r="AO630" i="31"/>
  <c r="AN630" i="31"/>
  <c r="AM630" i="31"/>
  <c r="O630" i="31"/>
  <c r="N630" i="31"/>
  <c r="M630" i="31"/>
  <c r="L630" i="31"/>
  <c r="K630" i="31"/>
  <c r="AJ629" i="31"/>
  <c r="AJ628" i="31"/>
  <c r="P628" i="31"/>
  <c r="AJ627" i="31"/>
  <c r="P627" i="31"/>
  <c r="AJ626" i="31"/>
  <c r="AJ625" i="31"/>
  <c r="P625" i="31"/>
  <c r="AJ624" i="31"/>
  <c r="P624" i="31"/>
  <c r="AJ623" i="31"/>
  <c r="P623" i="31"/>
  <c r="AG622" i="31"/>
  <c r="AE622" i="31" s="1"/>
  <c r="AJ622" i="31" s="1"/>
  <c r="AG621" i="31"/>
  <c r="AE621" i="31"/>
  <c r="AJ621" i="31" s="1"/>
  <c r="AG620" i="31"/>
  <c r="AE620" i="31"/>
  <c r="AJ620" i="31" s="1"/>
  <c r="AG619" i="31"/>
  <c r="AE619" i="31" s="1"/>
  <c r="AJ619" i="31" s="1"/>
  <c r="AG618" i="31"/>
  <c r="AE618" i="31" s="1"/>
  <c r="AJ618" i="31" s="1"/>
  <c r="AG617" i="31"/>
  <c r="AE617" i="31"/>
  <c r="AJ617" i="31" s="1"/>
  <c r="AG616" i="31"/>
  <c r="AE616" i="31"/>
  <c r="AJ616" i="31" s="1"/>
  <c r="AG615" i="31"/>
  <c r="AE615" i="31" s="1"/>
  <c r="AJ615" i="31" s="1"/>
  <c r="AE614" i="31"/>
  <c r="AJ614" i="31" s="1"/>
  <c r="AG613" i="31"/>
  <c r="AE613" i="31"/>
  <c r="AJ613" i="31" s="1"/>
  <c r="AE612" i="31"/>
  <c r="AJ612" i="31" s="1"/>
  <c r="AG611" i="31"/>
  <c r="AE611" i="31"/>
  <c r="AJ611" i="31" s="1"/>
  <c r="AG610" i="31"/>
  <c r="AE610" i="31"/>
  <c r="AJ610" i="31" s="1"/>
  <c r="AE609" i="31"/>
  <c r="AJ609" i="31" s="1"/>
  <c r="AE608" i="31"/>
  <c r="AJ608" i="31" s="1"/>
  <c r="AG607" i="31"/>
  <c r="AE607" i="31"/>
  <c r="AJ607" i="31" s="1"/>
  <c r="AE606" i="31"/>
  <c r="AJ606" i="31" s="1"/>
  <c r="AE605" i="31"/>
  <c r="AJ605" i="31" s="1"/>
  <c r="AE604" i="31"/>
  <c r="AJ604" i="31" s="1"/>
  <c r="AE603" i="31"/>
  <c r="AJ603" i="31" s="1"/>
  <c r="AE602" i="31"/>
  <c r="AJ602" i="31" s="1"/>
  <c r="AE601" i="31"/>
  <c r="AJ601" i="31" s="1"/>
  <c r="AE600" i="31"/>
  <c r="AJ600" i="31" s="1"/>
  <c r="AE599" i="31"/>
  <c r="AJ599" i="31" s="1"/>
  <c r="AE598" i="31"/>
  <c r="AJ598" i="31" s="1"/>
  <c r="Y597" i="31"/>
  <c r="Y1285" i="31" s="1"/>
  <c r="P597" i="31"/>
  <c r="M597" i="31"/>
  <c r="AE596" i="31"/>
  <c r="AJ596" i="31" s="1"/>
  <c r="AJ595" i="31"/>
  <c r="AE595" i="31"/>
  <c r="AE594" i="31"/>
  <c r="AJ594" i="31" s="1"/>
  <c r="Y593" i="31"/>
  <c r="Y1283" i="31" s="1"/>
  <c r="AE592" i="31"/>
  <c r="AJ592" i="31" s="1"/>
  <c r="AE591" i="31"/>
  <c r="AJ591" i="31" s="1"/>
  <c r="AE590" i="31"/>
  <c r="AJ590" i="31" s="1"/>
  <c r="AE589" i="31"/>
  <c r="AJ589" i="31" s="1"/>
  <c r="AE588" i="31"/>
  <c r="AJ588" i="31" s="1"/>
  <c r="P587" i="31"/>
  <c r="AE587" i="31" s="1"/>
  <c r="AJ587" i="31" s="1"/>
  <c r="K587" i="31"/>
  <c r="K430" i="31" s="1"/>
  <c r="AE586" i="31"/>
  <c r="AJ586" i="31" s="1"/>
  <c r="AG585" i="31"/>
  <c r="AE585" i="31" s="1"/>
  <c r="AJ585" i="31" s="1"/>
  <c r="AE584" i="31"/>
  <c r="AJ584" i="31" s="1"/>
  <c r="AJ583" i="31"/>
  <c r="AE583" i="31"/>
  <c r="AE582" i="31"/>
  <c r="AJ582" i="31" s="1"/>
  <c r="AE581" i="31"/>
  <c r="AJ581" i="31" s="1"/>
  <c r="P580" i="31"/>
  <c r="AE580" i="31" s="1"/>
  <c r="AJ580" i="31" s="1"/>
  <c r="L580" i="31"/>
  <c r="T579" i="31"/>
  <c r="AE579" i="31" s="1"/>
  <c r="AJ579" i="31" s="1"/>
  <c r="AE578" i="31"/>
  <c r="AJ578" i="31" s="1"/>
  <c r="T577" i="31"/>
  <c r="AE577" i="31" s="1"/>
  <c r="AJ577" i="31" s="1"/>
  <c r="AE576" i="31"/>
  <c r="AJ576" i="31" s="1"/>
  <c r="BB575" i="31"/>
  <c r="P575" i="31"/>
  <c r="AE575" i="31" s="1"/>
  <c r="AJ575" i="31" s="1"/>
  <c r="BB574" i="31"/>
  <c r="AE574" i="31"/>
  <c r="AJ574" i="31" s="1"/>
  <c r="BB573" i="31"/>
  <c r="AE573" i="31"/>
  <c r="AJ573" i="31" s="1"/>
  <c r="AE572" i="31"/>
  <c r="AJ572" i="31" s="1"/>
  <c r="AJ571" i="31"/>
  <c r="AE571" i="31"/>
  <c r="AE570" i="31"/>
  <c r="AJ570" i="31" s="1"/>
  <c r="AE568" i="31"/>
  <c r="AJ568" i="31" s="1"/>
  <c r="AE567" i="31"/>
  <c r="AJ567" i="31" s="1"/>
  <c r="AJ566" i="31"/>
  <c r="P566" i="31"/>
  <c r="AE566" i="31" s="1"/>
  <c r="AE565" i="31"/>
  <c r="AJ565" i="31" s="1"/>
  <c r="Y564" i="31"/>
  <c r="Y1284" i="31" s="1"/>
  <c r="P564" i="31"/>
  <c r="AE564" i="31" s="1"/>
  <c r="AJ564" i="31" s="1"/>
  <c r="BB563" i="31"/>
  <c r="AE563" i="31"/>
  <c r="AJ563" i="31" s="1"/>
  <c r="P562" i="31"/>
  <c r="AE562" i="31" s="1"/>
  <c r="AJ562" i="31" s="1"/>
  <c r="AE561" i="31"/>
  <c r="AJ561" i="31" s="1"/>
  <c r="AE560" i="31"/>
  <c r="AJ560" i="31" s="1"/>
  <c r="AE559" i="31"/>
  <c r="AJ559" i="31" s="1"/>
  <c r="AE558" i="31"/>
  <c r="AJ558" i="31" s="1"/>
  <c r="AE556" i="31"/>
  <c r="AJ556" i="31" s="1"/>
  <c r="BB550" i="31"/>
  <c r="AE546" i="31"/>
  <c r="AJ546" i="31" s="1"/>
  <c r="AE545" i="31"/>
  <c r="AE542" i="31"/>
  <c r="AJ542" i="31" s="1"/>
  <c r="AE539" i="31"/>
  <c r="AJ539" i="31" s="1"/>
  <c r="AE538" i="31"/>
  <c r="AJ538" i="31" s="1"/>
  <c r="AM531" i="31"/>
  <c r="AJ531" i="31"/>
  <c r="AE531" i="31"/>
  <c r="P530" i="31"/>
  <c r="AE530" i="31" s="1"/>
  <c r="AE525" i="31"/>
  <c r="AJ525" i="31" s="1"/>
  <c r="AE510" i="31"/>
  <c r="AJ510" i="31" s="1"/>
  <c r="AJ509" i="31"/>
  <c r="AE509" i="31"/>
  <c r="P508" i="31"/>
  <c r="AE508" i="31" s="1"/>
  <c r="AM502" i="31"/>
  <c r="AE502" i="31"/>
  <c r="AJ502" i="31" s="1"/>
  <c r="P501" i="31"/>
  <c r="AE501" i="31" s="1"/>
  <c r="AE498" i="31"/>
  <c r="AJ498" i="31" s="1"/>
  <c r="P497" i="31"/>
  <c r="AE497" i="31" s="1"/>
  <c r="T494" i="31"/>
  <c r="AE494" i="31" s="1"/>
  <c r="AJ494" i="31" s="1"/>
  <c r="P493" i="31"/>
  <c r="AE493" i="31" s="1"/>
  <c r="AM491" i="31"/>
  <c r="AE487" i="31"/>
  <c r="AJ487" i="31" s="1"/>
  <c r="AM485" i="31"/>
  <c r="AE482" i="31"/>
  <c r="P481" i="31"/>
  <c r="AE481" i="31" s="1"/>
  <c r="AJ481" i="31" s="1"/>
  <c r="M481" i="31"/>
  <c r="AM473" i="31"/>
  <c r="AE473" i="31"/>
  <c r="P472" i="31"/>
  <c r="AE472" i="31" s="1"/>
  <c r="AE471" i="31"/>
  <c r="AJ470" i="31"/>
  <c r="P470" i="31"/>
  <c r="AE470" i="31" s="1"/>
  <c r="M470" i="31"/>
  <c r="M430" i="31" s="1"/>
  <c r="AM465" i="31"/>
  <c r="P456" i="31"/>
  <c r="AE456" i="31" s="1"/>
  <c r="AJ456" i="31" s="1"/>
  <c r="BB455" i="31"/>
  <c r="AX455" i="31"/>
  <c r="AX430" i="31" s="1"/>
  <c r="P455" i="31"/>
  <c r="AE455" i="31" s="1"/>
  <c r="AV454" i="31"/>
  <c r="AV430" i="31" s="1"/>
  <c r="P454" i="31"/>
  <c r="AE454" i="31" s="1"/>
  <c r="AM452" i="31"/>
  <c r="AE443" i="31"/>
  <c r="AJ443" i="31" s="1"/>
  <c r="AE442" i="31"/>
  <c r="AJ442" i="31" s="1"/>
  <c r="AE441" i="31"/>
  <c r="P441" i="31"/>
  <c r="AE440" i="31"/>
  <c r="AJ440" i="31" s="1"/>
  <c r="AE438" i="31"/>
  <c r="AJ438" i="31" s="1"/>
  <c r="BB437" i="31"/>
  <c r="AE437" i="31"/>
  <c r="AJ437" i="31" s="1"/>
  <c r="BC430" i="31"/>
  <c r="BA430" i="31"/>
  <c r="AY430" i="31"/>
  <c r="AW430" i="31"/>
  <c r="AR430" i="31"/>
  <c r="AQ430" i="31"/>
  <c r="AP430" i="31"/>
  <c r="AO430" i="31"/>
  <c r="AN430" i="31"/>
  <c r="O430" i="31"/>
  <c r="N430" i="31"/>
  <c r="L430" i="31"/>
  <c r="AJ429" i="31"/>
  <c r="P429" i="31"/>
  <c r="AJ428" i="31"/>
  <c r="AJ427" i="31"/>
  <c r="P427" i="31"/>
  <c r="AJ426" i="31"/>
  <c r="P426" i="31"/>
  <c r="AJ425" i="31"/>
  <c r="P425" i="31"/>
  <c r="AJ424" i="31"/>
  <c r="AG424" i="31"/>
  <c r="AE423" i="31"/>
  <c r="AJ423" i="31" s="1"/>
  <c r="P422" i="31"/>
  <c r="M422" i="31"/>
  <c r="AE421" i="31"/>
  <c r="AJ421" i="31" s="1"/>
  <c r="AC421" i="31"/>
  <c r="P420" i="31"/>
  <c r="AE420" i="31" s="1"/>
  <c r="AJ420" i="31" s="1"/>
  <c r="M420" i="31"/>
  <c r="AJ419" i="31"/>
  <c r="AE419" i="31"/>
  <c r="AE418" i="31"/>
  <c r="AJ418" i="31" s="1"/>
  <c r="AE417" i="31"/>
  <c r="AJ417" i="31" s="1"/>
  <c r="AE416" i="31"/>
  <c r="AJ416" i="31" s="1"/>
  <c r="P415" i="31"/>
  <c r="M415" i="31"/>
  <c r="AE414" i="31"/>
  <c r="AJ414" i="31" s="1"/>
  <c r="AE413" i="31"/>
  <c r="AJ413" i="31" s="1"/>
  <c r="AJ412" i="31"/>
  <c r="AE412" i="31"/>
  <c r="M412" i="31"/>
  <c r="AE411" i="31"/>
  <c r="AJ411" i="31" s="1"/>
  <c r="AE410" i="31"/>
  <c r="AJ410" i="31" s="1"/>
  <c r="AE409" i="31"/>
  <c r="AJ409" i="31" s="1"/>
  <c r="BB408" i="31"/>
  <c r="AE408" i="31"/>
  <c r="AJ408" i="31" s="1"/>
  <c r="P408" i="31"/>
  <c r="AJ407" i="31"/>
  <c r="AE407" i="31"/>
  <c r="T406" i="31"/>
  <c r="P406" i="31"/>
  <c r="AE406" i="31" s="1"/>
  <c r="AJ406" i="31" s="1"/>
  <c r="AJ405" i="31"/>
  <c r="T405" i="31"/>
  <c r="AE405" i="31" s="1"/>
  <c r="Y404" i="31"/>
  <c r="T404" i="31"/>
  <c r="P404" i="31"/>
  <c r="BB403" i="31"/>
  <c r="AJ403" i="31"/>
  <c r="AE403" i="31"/>
  <c r="BB402" i="31"/>
  <c r="AE402" i="31"/>
  <c r="AJ402" i="31" s="1"/>
  <c r="AE401" i="31"/>
  <c r="AJ401" i="31" s="1"/>
  <c r="AE400" i="31"/>
  <c r="AJ400" i="31" s="1"/>
  <c r="AE399" i="31"/>
  <c r="AJ399" i="31" s="1"/>
  <c r="BB395" i="31"/>
  <c r="AJ395" i="31"/>
  <c r="AE395" i="31"/>
  <c r="AE392" i="31"/>
  <c r="AJ392" i="31" s="1"/>
  <c r="M392" i="31"/>
  <c r="P391" i="31"/>
  <c r="AM382" i="31"/>
  <c r="AM378" i="31"/>
  <c r="AM375" i="31" s="1"/>
  <c r="AE376" i="31"/>
  <c r="AJ376" i="31" s="1"/>
  <c r="BC375" i="31"/>
  <c r="BA375" i="31"/>
  <c r="AY375" i="31"/>
  <c r="AX375" i="31"/>
  <c r="AW375" i="31"/>
  <c r="AV375" i="31"/>
  <c r="AR375" i="31"/>
  <c r="AQ375" i="31"/>
  <c r="AP375" i="31"/>
  <c r="AO375" i="31"/>
  <c r="AN375" i="31"/>
  <c r="O375" i="31"/>
  <c r="N375" i="31"/>
  <c r="L375" i="31"/>
  <c r="K375" i="31"/>
  <c r="AJ374" i="31"/>
  <c r="P374" i="31"/>
  <c r="AJ373" i="31"/>
  <c r="AE372" i="31"/>
  <c r="AJ372" i="31" s="1"/>
  <c r="P371" i="31"/>
  <c r="AG371" i="31" s="1"/>
  <c r="AE371" i="31" s="1"/>
  <c r="AJ371" i="31" s="1"/>
  <c r="M371" i="31"/>
  <c r="AG370" i="31"/>
  <c r="AE370" i="31"/>
  <c r="AJ370" i="31" s="1"/>
  <c r="AE369" i="31"/>
  <c r="AJ369" i="31" s="1"/>
  <c r="AE368" i="31"/>
  <c r="AJ368" i="31" s="1"/>
  <c r="P367" i="31"/>
  <c r="AE367" i="31" s="1"/>
  <c r="AJ367" i="31" s="1"/>
  <c r="AJ366" i="31"/>
  <c r="AE366" i="31"/>
  <c r="AE365" i="31"/>
  <c r="AJ365" i="31" s="1"/>
  <c r="AE361" i="31"/>
  <c r="AJ361" i="31" s="1"/>
  <c r="AE360" i="31"/>
  <c r="AJ360" i="31" s="1"/>
  <c r="P357" i="31"/>
  <c r="AE357" i="31" s="1"/>
  <c r="AJ357" i="31" s="1"/>
  <c r="BB356" i="31"/>
  <c r="P356" i="31"/>
  <c r="BB355" i="31"/>
  <c r="AM354" i="31"/>
  <c r="AM351" i="31" s="1"/>
  <c r="AE354" i="31"/>
  <c r="AJ354" i="31" s="1"/>
  <c r="AJ352" i="31"/>
  <c r="AE352" i="31"/>
  <c r="BC351" i="31"/>
  <c r="BB351" i="31"/>
  <c r="BA351" i="31"/>
  <c r="AY351" i="31"/>
  <c r="AX351" i="31"/>
  <c r="AW351" i="31"/>
  <c r="AV351" i="31"/>
  <c r="AR351" i="31"/>
  <c r="AQ351" i="31"/>
  <c r="AP351" i="31"/>
  <c r="AO351" i="31"/>
  <c r="AN351" i="31"/>
  <c r="O351" i="31"/>
  <c r="N351" i="31"/>
  <c r="M351" i="31"/>
  <c r="L351" i="31"/>
  <c r="K351" i="31"/>
  <c r="AE350" i="31"/>
  <c r="AJ350" i="31" s="1"/>
  <c r="Y349" i="31"/>
  <c r="AE349" i="31" s="1"/>
  <c r="AJ349" i="31" s="1"/>
  <c r="AE348" i="31"/>
  <c r="AJ348" i="31" s="1"/>
  <c r="AE347" i="31"/>
  <c r="AJ347" i="31" s="1"/>
  <c r="P347" i="31"/>
  <c r="M347" i="31"/>
  <c r="M338" i="31" s="1"/>
  <c r="AE346" i="31"/>
  <c r="AJ346" i="31" s="1"/>
  <c r="AE345" i="31"/>
  <c r="AJ345" i="31" s="1"/>
  <c r="AE339" i="31"/>
  <c r="BC338" i="31"/>
  <c r="BB338" i="31"/>
  <c r="BA338" i="31"/>
  <c r="AY338" i="31"/>
  <c r="AX338" i="31"/>
  <c r="AW338" i="31"/>
  <c r="AV338" i="31"/>
  <c r="AR338" i="31"/>
  <c r="AQ338" i="31"/>
  <c r="AP338" i="31"/>
  <c r="AO338" i="31"/>
  <c r="AN338" i="31"/>
  <c r="AM338" i="31"/>
  <c r="O338" i="31"/>
  <c r="N338" i="31"/>
  <c r="L338" i="31"/>
  <c r="K338" i="31"/>
  <c r="AJ337" i="31"/>
  <c r="P337" i="31"/>
  <c r="AJ336" i="31"/>
  <c r="AE336" i="31"/>
  <c r="AE335" i="31"/>
  <c r="AJ335" i="31" s="1"/>
  <c r="AC335" i="31"/>
  <c r="P334" i="31"/>
  <c r="AE334" i="31" s="1"/>
  <c r="AJ334" i="31" s="1"/>
  <c r="M334" i="31"/>
  <c r="AJ333" i="31"/>
  <c r="AE333" i="31"/>
  <c r="M333" i="31"/>
  <c r="AE332" i="31"/>
  <c r="AJ332" i="31" s="1"/>
  <c r="AE331" i="31"/>
  <c r="AJ331" i="31" s="1"/>
  <c r="AJ330" i="31"/>
  <c r="AE330" i="31"/>
  <c r="AE329" i="31"/>
  <c r="AJ329" i="31" s="1"/>
  <c r="P329" i="31"/>
  <c r="AJ328" i="31"/>
  <c r="AE328" i="31"/>
  <c r="L328" i="31"/>
  <c r="L305" i="31" s="1"/>
  <c r="K328" i="31"/>
  <c r="AJ327" i="31"/>
  <c r="AE327" i="31"/>
  <c r="AJ326" i="31"/>
  <c r="AE326" i="31"/>
  <c r="P325" i="31"/>
  <c r="AE325" i="31" s="1"/>
  <c r="AJ325" i="31" s="1"/>
  <c r="K325" i="31"/>
  <c r="AJ324" i="31"/>
  <c r="AE324" i="31"/>
  <c r="AJ323" i="31"/>
  <c r="AE323" i="31"/>
  <c r="AJ322" i="31"/>
  <c r="AE322" i="31"/>
  <c r="AJ321" i="31"/>
  <c r="AE321" i="31"/>
  <c r="T320" i="31"/>
  <c r="AE320" i="31" s="1"/>
  <c r="AJ320" i="31" s="1"/>
  <c r="AN319" i="31"/>
  <c r="B1300" i="31" s="1"/>
  <c r="P319" i="31"/>
  <c r="AE319" i="31" s="1"/>
  <c r="AJ319" i="31" s="1"/>
  <c r="M319" i="31"/>
  <c r="AJ318" i="31"/>
  <c r="AE318" i="31"/>
  <c r="AJ317" i="31"/>
  <c r="AE317" i="31"/>
  <c r="BB316" i="31"/>
  <c r="BB305" i="31" s="1"/>
  <c r="AE315" i="31"/>
  <c r="AJ315" i="31" s="1"/>
  <c r="AJ314" i="31"/>
  <c r="AE314" i="31"/>
  <c r="AE313" i="31"/>
  <c r="AJ313" i="31" s="1"/>
  <c r="AM311" i="31"/>
  <c r="AM305" i="31" s="1"/>
  <c r="AJ309" i="31"/>
  <c r="AE309" i="31"/>
  <c r="BC305" i="31"/>
  <c r="BA305" i="31"/>
  <c r="AY305" i="31"/>
  <c r="AX305" i="31"/>
  <c r="AW305" i="31"/>
  <c r="AV305" i="31"/>
  <c r="AR305" i="31"/>
  <c r="AQ305" i="31"/>
  <c r="AP305" i="31"/>
  <c r="AO305" i="31"/>
  <c r="O305" i="31"/>
  <c r="N305" i="31"/>
  <c r="K305" i="31"/>
  <c r="AJ304" i="31"/>
  <c r="P304" i="31"/>
  <c r="AJ303" i="31"/>
  <c r="AG302" i="31"/>
  <c r="AE302" i="31" s="1"/>
  <c r="AJ302" i="31" s="1"/>
  <c r="AG301" i="31"/>
  <c r="AE301" i="31" s="1"/>
  <c r="AJ301" i="31" s="1"/>
  <c r="AG300" i="31"/>
  <c r="AE300" i="31" s="1"/>
  <c r="AJ300" i="31" s="1"/>
  <c r="AE299" i="31"/>
  <c r="AJ299" i="31" s="1"/>
  <c r="AE298" i="31"/>
  <c r="AJ298" i="31" s="1"/>
  <c r="P298" i="31"/>
  <c r="M298" i="31"/>
  <c r="M265" i="31" s="1"/>
  <c r="AE297" i="31"/>
  <c r="AJ297" i="31" s="1"/>
  <c r="K297" i="31"/>
  <c r="AE296" i="31"/>
  <c r="AJ296" i="31" s="1"/>
  <c r="AE295" i="31"/>
  <c r="AJ295" i="31" s="1"/>
  <c r="P294" i="31"/>
  <c r="AE294" i="31" s="1"/>
  <c r="AJ294" i="31" s="1"/>
  <c r="K294" i="31"/>
  <c r="AE293" i="31"/>
  <c r="AJ293" i="31" s="1"/>
  <c r="AE292" i="31"/>
  <c r="AJ292" i="31" s="1"/>
  <c r="AE291" i="31"/>
  <c r="AJ291" i="31" s="1"/>
  <c r="AE287" i="31"/>
  <c r="AW283" i="31"/>
  <c r="AE282" i="31"/>
  <c r="AJ282" i="31" s="1"/>
  <c r="AE270" i="31"/>
  <c r="AJ270" i="31" s="1"/>
  <c r="P269" i="31"/>
  <c r="BC265" i="31"/>
  <c r="BB265" i="31"/>
  <c r="BA265" i="31"/>
  <c r="AY265" i="31"/>
  <c r="AX265" i="31"/>
  <c r="AW265" i="31"/>
  <c r="AV265" i="31"/>
  <c r="AR265" i="31"/>
  <c r="AQ265" i="31"/>
  <c r="AP265" i="31"/>
  <c r="AO265" i="31"/>
  <c r="AN265" i="31"/>
  <c r="AM265" i="31"/>
  <c r="O265" i="31"/>
  <c r="N265" i="31"/>
  <c r="L265" i="31"/>
  <c r="K265" i="31"/>
  <c r="AJ264" i="31"/>
  <c r="P264" i="31"/>
  <c r="AJ263" i="31"/>
  <c r="P263" i="31"/>
  <c r="AJ262" i="31"/>
  <c r="P262" i="31"/>
  <c r="P261" i="31"/>
  <c r="AJ260" i="31"/>
  <c r="P260" i="31"/>
  <c r="AJ259" i="31"/>
  <c r="P259" i="31"/>
  <c r="AJ258" i="31"/>
  <c r="P258" i="31"/>
  <c r="T257" i="31"/>
  <c r="R1291" i="31" s="1"/>
  <c r="V1291" i="31" s="1"/>
  <c r="X1291" i="31" s="1"/>
  <c r="AE256" i="31"/>
  <c r="AJ256" i="31" s="1"/>
  <c r="AE255" i="31"/>
  <c r="AJ255" i="31" s="1"/>
  <c r="T255" i="31"/>
  <c r="S1293" i="31" s="1"/>
  <c r="W1293" i="31" s="1"/>
  <c r="AE254" i="31"/>
  <c r="AJ254" i="31" s="1"/>
  <c r="T254" i="31"/>
  <c r="P254" i="31"/>
  <c r="M254" i="31"/>
  <c r="AJ253" i="31"/>
  <c r="AE253" i="31"/>
  <c r="AJ252" i="31"/>
  <c r="AE252" i="31"/>
  <c r="AG251" i="31"/>
  <c r="AE251" i="31" s="1"/>
  <c r="AJ251" i="31" s="1"/>
  <c r="AE250" i="31"/>
  <c r="AJ250" i="31" s="1"/>
  <c r="AG249" i="31"/>
  <c r="AE249" i="31"/>
  <c r="AJ249" i="31" s="1"/>
  <c r="AE248" i="31"/>
  <c r="AJ248" i="31" s="1"/>
  <c r="P247" i="31"/>
  <c r="AE247" i="31" s="1"/>
  <c r="AJ247" i="31" s="1"/>
  <c r="AE246" i="31"/>
  <c r="AJ246" i="31" s="1"/>
  <c r="P246" i="31"/>
  <c r="M246" i="31"/>
  <c r="AE245" i="31"/>
  <c r="AJ245" i="31" s="1"/>
  <c r="P244" i="31"/>
  <c r="AE244" i="31" s="1"/>
  <c r="AJ244" i="31" s="1"/>
  <c r="M244" i="31"/>
  <c r="AE243" i="31"/>
  <c r="AJ243" i="31" s="1"/>
  <c r="AE242" i="31"/>
  <c r="AJ242" i="31" s="1"/>
  <c r="T241" i="31"/>
  <c r="T1270" i="31" s="1"/>
  <c r="AA1270" i="31" s="1"/>
  <c r="P241" i="31"/>
  <c r="P240" i="31"/>
  <c r="AE240" i="31" s="1"/>
  <c r="AJ240" i="31" s="1"/>
  <c r="M240" i="31"/>
  <c r="AE239" i="31"/>
  <c r="AJ239" i="31" s="1"/>
  <c r="AJ238" i="31"/>
  <c r="T238" i="31"/>
  <c r="AE238" i="31" s="1"/>
  <c r="AE237" i="31"/>
  <c r="AJ237" i="31" s="1"/>
  <c r="P236" i="31"/>
  <c r="AE236" i="31" s="1"/>
  <c r="AJ236" i="31" s="1"/>
  <c r="AJ235" i="31"/>
  <c r="AE235" i="31"/>
  <c r="AE234" i="31"/>
  <c r="AJ234" i="31" s="1"/>
  <c r="AE233" i="31"/>
  <c r="AJ233" i="31" s="1"/>
  <c r="AE232" i="31"/>
  <c r="AJ232" i="31" s="1"/>
  <c r="AJ231" i="31"/>
  <c r="AE231" i="31"/>
  <c r="AE230" i="31"/>
  <c r="AJ230" i="31" s="1"/>
  <c r="AE229" i="31"/>
  <c r="AJ229" i="31" s="1"/>
  <c r="P228" i="31"/>
  <c r="AE228" i="31" s="1"/>
  <c r="BB227" i="31"/>
  <c r="AE225" i="31"/>
  <c r="AJ225" i="31" s="1"/>
  <c r="P224" i="31"/>
  <c r="AE224" i="31" s="1"/>
  <c r="AJ224" i="31" s="1"/>
  <c r="AE223" i="31"/>
  <c r="AJ223" i="31" s="1"/>
  <c r="AJ222" i="31"/>
  <c r="AE222" i="31"/>
  <c r="AE221" i="31"/>
  <c r="AJ221" i="31" s="1"/>
  <c r="P221" i="31"/>
  <c r="AJ220" i="31"/>
  <c r="AE220" i="31"/>
  <c r="AE219" i="31"/>
  <c r="P219" i="31"/>
  <c r="BB218" i="31"/>
  <c r="AE218" i="31"/>
  <c r="AJ218" i="31" s="1"/>
  <c r="AE217" i="31"/>
  <c r="P217" i="31"/>
  <c r="P216" i="31"/>
  <c r="AE216" i="31" s="1"/>
  <c r="AE208" i="31"/>
  <c r="AJ208" i="31" s="1"/>
  <c r="AC203" i="31"/>
  <c r="P203" i="31"/>
  <c r="AE201" i="31"/>
  <c r="AJ201" i="31" s="1"/>
  <c r="AW200" i="31"/>
  <c r="AE193" i="31"/>
  <c r="AJ193" i="31" s="1"/>
  <c r="BB192" i="31"/>
  <c r="Y192" i="31"/>
  <c r="Q192" i="31"/>
  <c r="P192" i="31"/>
  <c r="AE192" i="31" s="1"/>
  <c r="AJ192" i="31" s="1"/>
  <c r="AW190" i="31"/>
  <c r="AE187" i="31"/>
  <c r="AE184" i="31"/>
  <c r="AJ184" i="31" s="1"/>
  <c r="AJ180" i="31"/>
  <c r="AE180" i="31"/>
  <c r="AE178" i="31"/>
  <c r="AJ178" i="31" s="1"/>
  <c r="M178" i="31"/>
  <c r="P177" i="31"/>
  <c r="AE177" i="31" s="1"/>
  <c r="AV174" i="31"/>
  <c r="AE173" i="31"/>
  <c r="AE172" i="31"/>
  <c r="AE171" i="31"/>
  <c r="AJ171" i="31" s="1"/>
  <c r="AE170" i="31"/>
  <c r="BC168" i="31"/>
  <c r="BA168" i="31"/>
  <c r="AY168" i="31"/>
  <c r="AX168" i="31"/>
  <c r="AW168" i="31"/>
  <c r="AV168" i="31"/>
  <c r="AR168" i="31"/>
  <c r="AQ168" i="31"/>
  <c r="AP168" i="31"/>
  <c r="AO168" i="31"/>
  <c r="AN168" i="31"/>
  <c r="AM168" i="31"/>
  <c r="O168" i="31"/>
  <c r="N168" i="31"/>
  <c r="L168" i="31"/>
  <c r="K168" i="31"/>
  <c r="AG167" i="31"/>
  <c r="AE167" i="31" s="1"/>
  <c r="AJ167" i="31" s="1"/>
  <c r="AE166" i="31"/>
  <c r="AJ166" i="31" s="1"/>
  <c r="P166" i="31"/>
  <c r="AE165" i="31"/>
  <c r="AJ165" i="31" s="1"/>
  <c r="T164" i="31"/>
  <c r="AG163" i="31"/>
  <c r="AE163" i="31" s="1"/>
  <c r="AJ163" i="31" s="1"/>
  <c r="AE162" i="31"/>
  <c r="AJ162" i="31" s="1"/>
  <c r="P161" i="31"/>
  <c r="AG161" i="31" s="1"/>
  <c r="M161" i="31"/>
  <c r="M137" i="31" s="1"/>
  <c r="AE160" i="31"/>
  <c r="AJ160" i="31" s="1"/>
  <c r="AJ159" i="31"/>
  <c r="AE159" i="31"/>
  <c r="AE158" i="31"/>
  <c r="AJ158" i="31" s="1"/>
  <c r="AE157" i="31"/>
  <c r="AJ157" i="31" s="1"/>
  <c r="AE156" i="31"/>
  <c r="AJ156" i="31" s="1"/>
  <c r="P155" i="31"/>
  <c r="AE155" i="31" s="1"/>
  <c r="AJ155" i="31" s="1"/>
  <c r="K155" i="31"/>
  <c r="AJ154" i="31"/>
  <c r="AE154" i="31"/>
  <c r="AE153" i="31"/>
  <c r="AJ153" i="31" s="1"/>
  <c r="AE152" i="31"/>
  <c r="AJ152" i="31" s="1"/>
  <c r="BB151" i="31"/>
  <c r="AE150" i="31"/>
  <c r="AJ150" i="31" s="1"/>
  <c r="AE149" i="31"/>
  <c r="AJ149" i="31" s="1"/>
  <c r="P148" i="31"/>
  <c r="AE148" i="31" s="1"/>
  <c r="AJ148" i="31" s="1"/>
  <c r="AE147" i="31"/>
  <c r="AJ147" i="31" s="1"/>
  <c r="P146" i="31"/>
  <c r="AE146" i="31" s="1"/>
  <c r="AJ146" i="31" s="1"/>
  <c r="AE145" i="31"/>
  <c r="AJ145" i="31" s="1"/>
  <c r="BB144" i="31"/>
  <c r="BB137" i="31" s="1"/>
  <c r="AE144" i="31"/>
  <c r="AJ144" i="31" s="1"/>
  <c r="AW142" i="31"/>
  <c r="AW137" i="31" s="1"/>
  <c r="AU138" i="31"/>
  <c r="BC137" i="31"/>
  <c r="BA137" i="31"/>
  <c r="AY137" i="31"/>
  <c r="AX137" i="31"/>
  <c r="AV137" i="31"/>
  <c r="AR137" i="31"/>
  <c r="AQ137" i="31"/>
  <c r="AP137" i="31"/>
  <c r="AO137" i="31"/>
  <c r="AN137" i="31"/>
  <c r="AM137" i="31"/>
  <c r="O137" i="31"/>
  <c r="N137" i="31"/>
  <c r="L137" i="31"/>
  <c r="K137" i="31"/>
  <c r="AJ136" i="31"/>
  <c r="P136" i="31"/>
  <c r="AE135" i="31"/>
  <c r="AJ135" i="31" s="1"/>
  <c r="AE134" i="31"/>
  <c r="AJ134" i="31" s="1"/>
  <c r="T133" i="31"/>
  <c r="AG132" i="31"/>
  <c r="AE132" i="31"/>
  <c r="AJ132" i="31" s="1"/>
  <c r="AG131" i="31"/>
  <c r="AE131" i="31"/>
  <c r="AJ131" i="31" s="1"/>
  <c r="AE130" i="31"/>
  <c r="AJ130" i="31" s="1"/>
  <c r="AE129" i="31"/>
  <c r="AJ129" i="31" s="1"/>
  <c r="AJ128" i="31"/>
  <c r="AE128" i="31"/>
  <c r="AE127" i="31"/>
  <c r="AJ127" i="31" s="1"/>
  <c r="BB126" i="31"/>
  <c r="T125" i="31"/>
  <c r="AE125" i="31" s="1"/>
  <c r="AJ125" i="31" s="1"/>
  <c r="BB124" i="31"/>
  <c r="AJ124" i="31"/>
  <c r="AE124" i="31"/>
  <c r="BB123" i="31"/>
  <c r="AE122" i="31"/>
  <c r="AJ122" i="31" s="1"/>
  <c r="AM117" i="31"/>
  <c r="AJ117" i="31"/>
  <c r="AE117" i="31"/>
  <c r="AJ116" i="31"/>
  <c r="AE116" i="31"/>
  <c r="AE115" i="31"/>
  <c r="Y115" i="31"/>
  <c r="T115" i="31"/>
  <c r="P115" i="31"/>
  <c r="AJ112" i="31"/>
  <c r="AE112" i="31"/>
  <c r="BB111" i="31"/>
  <c r="BC106" i="31"/>
  <c r="BB106" i="31"/>
  <c r="BA106" i="31"/>
  <c r="AY106" i="31"/>
  <c r="AX106" i="31"/>
  <c r="AW106" i="31"/>
  <c r="AV106" i="31"/>
  <c r="AR106" i="31"/>
  <c r="AQ106" i="31"/>
  <c r="AP106" i="31"/>
  <c r="AO106" i="31"/>
  <c r="AN106" i="31"/>
  <c r="AM106" i="31"/>
  <c r="O106" i="31"/>
  <c r="N106" i="31"/>
  <c r="M106" i="31"/>
  <c r="L106" i="31"/>
  <c r="K106" i="31"/>
  <c r="AJ105" i="31"/>
  <c r="P105" i="31"/>
  <c r="AJ104" i="31"/>
  <c r="P104" i="31"/>
  <c r="AJ103" i="31"/>
  <c r="P103" i="31"/>
  <c r="AH102" i="31"/>
  <c r="AJ102" i="31" s="1"/>
  <c r="P102" i="31"/>
  <c r="AE101" i="31"/>
  <c r="AJ101" i="31" s="1"/>
  <c r="AG100" i="31"/>
  <c r="AE100" i="31" s="1"/>
  <c r="AJ100" i="31" s="1"/>
  <c r="P99" i="31"/>
  <c r="AE99" i="31" s="1"/>
  <c r="AJ99" i="31" s="1"/>
  <c r="AE98" i="31"/>
  <c r="AJ98" i="31" s="1"/>
  <c r="P97" i="31"/>
  <c r="AE97" i="31" s="1"/>
  <c r="AJ97" i="31" s="1"/>
  <c r="AE96" i="31"/>
  <c r="AJ96" i="31" s="1"/>
  <c r="AE95" i="31"/>
  <c r="AJ95" i="31" s="1"/>
  <c r="AE94" i="31"/>
  <c r="AJ94" i="31" s="1"/>
  <c r="AJ93" i="31"/>
  <c r="AE93" i="31"/>
  <c r="AE92" i="31"/>
  <c r="AJ92" i="31" s="1"/>
  <c r="AE91" i="31"/>
  <c r="AJ91" i="31" s="1"/>
  <c r="AE90" i="31"/>
  <c r="AJ90" i="31" s="1"/>
  <c r="AE89" i="31"/>
  <c r="AJ89" i="31" s="1"/>
  <c r="AJ88" i="31"/>
  <c r="AE88" i="31"/>
  <c r="T87" i="31"/>
  <c r="AE87" i="31" s="1"/>
  <c r="AJ87" i="31" s="1"/>
  <c r="P87" i="31"/>
  <c r="K87" i="31"/>
  <c r="AE86" i="31"/>
  <c r="AJ86" i="31" s="1"/>
  <c r="Y85" i="31"/>
  <c r="Y1269" i="31" s="1"/>
  <c r="AA1269" i="31" s="1"/>
  <c r="T85" i="31"/>
  <c r="P85" i="31"/>
  <c r="T84" i="31"/>
  <c r="AE84" i="31" s="1"/>
  <c r="AJ84" i="31" s="1"/>
  <c r="AE83" i="31"/>
  <c r="AJ83" i="31" s="1"/>
  <c r="P82" i="31"/>
  <c r="AE82" i="31" s="1"/>
  <c r="AJ82" i="31" s="1"/>
  <c r="P81" i="31"/>
  <c r="AE81" i="31" s="1"/>
  <c r="AJ81" i="31" s="1"/>
  <c r="K81" i="31"/>
  <c r="BB80" i="31"/>
  <c r="AE80" i="31"/>
  <c r="AJ80" i="31" s="1"/>
  <c r="BB79" i="31"/>
  <c r="Y79" i="31"/>
  <c r="Y1267" i="31" s="1"/>
  <c r="P79" i="31"/>
  <c r="K79" i="31"/>
  <c r="BB78" i="31"/>
  <c r="AJ76" i="31"/>
  <c r="AE76" i="31"/>
  <c r="BB74" i="31"/>
  <c r="AE71" i="31"/>
  <c r="AJ71" i="31" s="1"/>
  <c r="BB70" i="31"/>
  <c r="Y60" i="31"/>
  <c r="P60" i="31"/>
  <c r="AE59" i="31"/>
  <c r="AJ59" i="31" s="1"/>
  <c r="AJ58" i="31"/>
  <c r="AE58" i="31"/>
  <c r="AE57" i="31"/>
  <c r="AJ57" i="31" s="1"/>
  <c r="BB56" i="31"/>
  <c r="BC53" i="31"/>
  <c r="BA53" i="31"/>
  <c r="AY53" i="31"/>
  <c r="AX53" i="31"/>
  <c r="AW53" i="31"/>
  <c r="AV53" i="31"/>
  <c r="AR53" i="31"/>
  <c r="AQ53" i="31"/>
  <c r="AP53" i="31"/>
  <c r="AO53" i="31"/>
  <c r="AN53" i="31"/>
  <c r="AM53" i="31"/>
  <c r="O53" i="31"/>
  <c r="N53" i="31"/>
  <c r="M53" i="31"/>
  <c r="L53" i="31"/>
  <c r="K53" i="31"/>
  <c r="AJ52" i="31"/>
  <c r="AE52" i="31"/>
  <c r="P52" i="31"/>
  <c r="AE51" i="31"/>
  <c r="AJ51" i="31" s="1"/>
  <c r="AE50" i="31"/>
  <c r="AJ50" i="31" s="1"/>
  <c r="AE49" i="31"/>
  <c r="AJ49" i="31" s="1"/>
  <c r="AJ48" i="31"/>
  <c r="AE48" i="31"/>
  <c r="T47" i="31"/>
  <c r="AE47" i="31" s="1"/>
  <c r="AJ47" i="31" s="1"/>
  <c r="T46" i="31"/>
  <c r="AE46" i="31" s="1"/>
  <c r="AJ46" i="31" s="1"/>
  <c r="AJ45" i="31"/>
  <c r="AE45" i="31"/>
  <c r="AE44" i="31"/>
  <c r="AJ44" i="31" s="1"/>
  <c r="AE43" i="31"/>
  <c r="AJ43" i="31" s="1"/>
  <c r="AO42" i="31"/>
  <c r="AE42" i="31"/>
  <c r="AJ42" i="31" s="1"/>
  <c r="P42" i="31"/>
  <c r="M42" i="31"/>
  <c r="M6" i="31" s="1"/>
  <c r="AE41" i="31"/>
  <c r="AJ41" i="31" s="1"/>
  <c r="AE40" i="31"/>
  <c r="AJ40" i="31" s="1"/>
  <c r="AE39" i="31"/>
  <c r="AJ39" i="31" s="1"/>
  <c r="T38" i="31"/>
  <c r="P38" i="31"/>
  <c r="K38" i="31"/>
  <c r="K6" i="31" s="1"/>
  <c r="K1236" i="31" s="1"/>
  <c r="AE37" i="31"/>
  <c r="AJ37" i="31" s="1"/>
  <c r="AJ36" i="31"/>
  <c r="AE36" i="31"/>
  <c r="P35" i="31"/>
  <c r="AE35" i="31" s="1"/>
  <c r="AJ35" i="31" s="1"/>
  <c r="AE34" i="31"/>
  <c r="AJ34" i="31" s="1"/>
  <c r="AE33" i="31"/>
  <c r="AJ33" i="31" s="1"/>
  <c r="AE32" i="31"/>
  <c r="AJ32" i="31" s="1"/>
  <c r="AE31" i="31"/>
  <c r="BB30" i="31"/>
  <c r="AE29" i="31"/>
  <c r="AJ29" i="31" s="1"/>
  <c r="AX28" i="31"/>
  <c r="AX6" i="31" s="1"/>
  <c r="AX1236" i="31" s="1"/>
  <c r="P28" i="31"/>
  <c r="AE28" i="31" s="1"/>
  <c r="BC6" i="31"/>
  <c r="BB6" i="31"/>
  <c r="BA6" i="31"/>
  <c r="AY6" i="31"/>
  <c r="AW6" i="31"/>
  <c r="AV6" i="31"/>
  <c r="AR6" i="31"/>
  <c r="AQ6" i="31"/>
  <c r="AQ1236" i="31" s="1"/>
  <c r="AP6" i="31"/>
  <c r="AO6" i="31"/>
  <c r="AN6" i="31"/>
  <c r="AM6" i="31"/>
  <c r="O6" i="31"/>
  <c r="N6" i="31"/>
  <c r="L6" i="31"/>
  <c r="AE404" i="31" l="1"/>
  <c r="AJ404" i="31" s="1"/>
  <c r="T1284" i="31"/>
  <c r="AA1284" i="31" s="1"/>
  <c r="AE721" i="31"/>
  <c r="AJ721" i="31" s="1"/>
  <c r="M752" i="31"/>
  <c r="AE38" i="31"/>
  <c r="AJ38" i="31" s="1"/>
  <c r="AE60" i="31"/>
  <c r="AJ60" i="31" s="1"/>
  <c r="AE85" i="31"/>
  <c r="AJ85" i="31" s="1"/>
  <c r="T1285" i="31"/>
  <c r="AA1285" i="31" s="1"/>
  <c r="AG133" i="31"/>
  <c r="O1236" i="31"/>
  <c r="AP1236" i="31"/>
  <c r="BB53" i="31"/>
  <c r="AE133" i="31"/>
  <c r="AJ133" i="31" s="1"/>
  <c r="AE203" i="31"/>
  <c r="AJ203" i="31" s="1"/>
  <c r="M305" i="31"/>
  <c r="M375" i="31"/>
  <c r="M1236" i="31" s="1"/>
  <c r="BB375" i="31"/>
  <c r="AE597" i="31"/>
  <c r="AJ597" i="31" s="1"/>
  <c r="M168" i="31"/>
  <c r="AE839" i="31"/>
  <c r="AJ839" i="31" s="1"/>
  <c r="AA1281" i="31"/>
  <c r="W1294" i="31"/>
  <c r="X1294" i="31" s="1"/>
  <c r="BB168" i="31"/>
  <c r="AE257" i="31"/>
  <c r="AJ257" i="31" s="1"/>
  <c r="AJ668" i="31"/>
  <c r="AE972" i="31"/>
  <c r="AJ972" i="31" s="1"/>
  <c r="AE1088" i="31"/>
  <c r="AJ1088" i="31" s="1"/>
  <c r="AA1287" i="31"/>
  <c r="AE1140" i="31"/>
  <c r="AJ1140" i="31" s="1"/>
  <c r="AE1212" i="31"/>
  <c r="AJ1212" i="31" s="1"/>
  <c r="AA1268" i="31"/>
  <c r="AA1271" i="31"/>
  <c r="W1292" i="31"/>
  <c r="X1292" i="31" s="1"/>
  <c r="V1295" i="31"/>
  <c r="AA1296" i="31" s="1"/>
  <c r="N1236" i="31"/>
  <c r="AO1236" i="31"/>
  <c r="AO1266" i="31" s="1"/>
  <c r="BB1237" i="31"/>
  <c r="AG164" i="31"/>
  <c r="AE164" i="31" s="1"/>
  <c r="AJ164" i="31" s="1"/>
  <c r="T1286" i="31"/>
  <c r="AA1286" i="31" s="1"/>
  <c r="AG356" i="31"/>
  <c r="AE356" i="31"/>
  <c r="AG415" i="31"/>
  <c r="AE415" i="31" s="1"/>
  <c r="AJ415" i="31" s="1"/>
  <c r="L1236" i="31"/>
  <c r="AJ31" i="31"/>
  <c r="AE79" i="31"/>
  <c r="AJ79" i="31" s="1"/>
  <c r="AR1236" i="31"/>
  <c r="AE161" i="31"/>
  <c r="AJ161" i="31" s="1"/>
  <c r="AE241" i="31"/>
  <c r="AJ241" i="31" s="1"/>
  <c r="AN305" i="31"/>
  <c r="AN1236" i="31" s="1"/>
  <c r="AM430" i="31"/>
  <c r="AT1266" i="31" s="1"/>
  <c r="AG704" i="31"/>
  <c r="AE704" i="31"/>
  <c r="AJ704" i="31" s="1"/>
  <c r="BC1236" i="31"/>
  <c r="X1295" i="31"/>
  <c r="AE422" i="31"/>
  <c r="AJ422" i="31" s="1"/>
  <c r="AG422" i="31"/>
  <c r="BB430" i="31"/>
  <c r="BB1236" i="31" s="1"/>
  <c r="AY1236" i="31"/>
  <c r="X1293" i="31"/>
  <c r="AE593" i="31"/>
  <c r="AJ593" i="31" s="1"/>
  <c r="AG669" i="31"/>
  <c r="AJ669" i="31" s="1"/>
  <c r="AG673" i="31"/>
  <c r="AE673" i="31" s="1"/>
  <c r="AJ673" i="31" s="1"/>
  <c r="AV1236" i="31"/>
  <c r="BA1236" i="31"/>
  <c r="AW1236" i="31"/>
  <c r="AE1091" i="31"/>
  <c r="AJ1091" i="31" s="1"/>
  <c r="AA1267" i="31"/>
  <c r="AA1283" i="31"/>
  <c r="B1305" i="31"/>
  <c r="AJ1210" i="31"/>
  <c r="AM1236" i="31" l="1"/>
  <c r="AJ356" i="31"/>
  <c r="AE1236" i="31"/>
  <c r="AE1239" i="31" s="1"/>
  <c r="U728" i="25" l="1"/>
  <c r="AK728" i="25" s="1"/>
  <c r="N107" i="25" l="1"/>
  <c r="N752" i="25"/>
  <c r="D1306" i="25" l="1"/>
  <c r="P432" i="25" l="1"/>
  <c r="H1305" i="25"/>
  <c r="AF432" i="25" l="1"/>
  <c r="AK432" i="25"/>
  <c r="T1306" i="25"/>
  <c r="S1306" i="25"/>
  <c r="AP43" i="25"/>
  <c r="V1306" i="25"/>
  <c r="U1306" i="25"/>
  <c r="V1305" i="25"/>
  <c r="U1305" i="25"/>
  <c r="V1304" i="25"/>
  <c r="V1303" i="25"/>
  <c r="X1313" i="25"/>
  <c r="W1313" i="25"/>
  <c r="X1312" i="25"/>
  <c r="W1312" i="25"/>
  <c r="X1311" i="25"/>
  <c r="W1311" i="25"/>
  <c r="X1310" i="25"/>
  <c r="W1310" i="25"/>
  <c r="X1309" i="25"/>
  <c r="W1309" i="25"/>
  <c r="X1308" i="25"/>
  <c r="W1308" i="25"/>
  <c r="X1307" i="25"/>
  <c r="W1307" i="25"/>
  <c r="T1305" i="25"/>
  <c r="S1305" i="25"/>
  <c r="S1304" i="25"/>
  <c r="W1304" i="25" s="1"/>
  <c r="T1303" i="25"/>
  <c r="S1303" i="25"/>
  <c r="T1302" i="25"/>
  <c r="R1305" i="25"/>
  <c r="P1305" i="25"/>
  <c r="P1303" i="25"/>
  <c r="AP7" i="25" l="1"/>
  <c r="H1254" i="25"/>
  <c r="H1258" i="25" s="1"/>
  <c r="Y1308" i="25"/>
  <c r="Y1312" i="25"/>
  <c r="Y1313" i="25"/>
  <c r="Y1307" i="25"/>
  <c r="Y1311" i="25"/>
  <c r="X1305" i="25"/>
  <c r="W1305" i="25"/>
  <c r="Y1310" i="25"/>
  <c r="Y1309" i="25"/>
  <c r="W1306" i="25"/>
  <c r="X1303" i="25"/>
  <c r="X1306" i="25"/>
  <c r="W1303" i="25"/>
  <c r="Y1305" i="25" l="1"/>
  <c r="Y1306" i="25"/>
  <c r="Y1303" i="25"/>
  <c r="Z352" i="25" l="1"/>
  <c r="AK352" i="25" s="1"/>
  <c r="X1302" i="25" l="1"/>
  <c r="O55" i="25" l="1"/>
  <c r="E19" i="30" l="1"/>
  <c r="D19" i="30"/>
  <c r="E120" i="27"/>
  <c r="D120" i="27"/>
  <c r="E18" i="30"/>
  <c r="D18" i="30"/>
  <c r="E116" i="27"/>
  <c r="D116" i="27"/>
  <c r="E17" i="30"/>
  <c r="D17" i="30"/>
  <c r="E111" i="27"/>
  <c r="D111" i="27"/>
  <c r="D15" i="30"/>
  <c r="E15" i="30"/>
  <c r="E14" i="30"/>
  <c r="E97" i="27"/>
  <c r="E96" i="27"/>
  <c r="E104" i="27"/>
  <c r="E106" i="27"/>
  <c r="D106" i="27"/>
  <c r="D104" i="27"/>
  <c r="E102" i="27"/>
  <c r="D102" i="27"/>
  <c r="E100" i="27"/>
  <c r="D100" i="27"/>
  <c r="E99" i="27"/>
  <c r="D99" i="27"/>
  <c r="E98" i="27"/>
  <c r="D96" i="27"/>
  <c r="E93" i="27"/>
  <c r="D93" i="27"/>
  <c r="E82" i="27"/>
  <c r="D14" i="30"/>
  <c r="E90" i="27"/>
  <c r="E84" i="27"/>
  <c r="D90" i="27"/>
  <c r="D89" i="27"/>
  <c r="E87" i="27"/>
  <c r="D87" i="27"/>
  <c r="D83" i="27"/>
  <c r="E83" i="27"/>
  <c r="E13" i="30"/>
  <c r="E12" i="30"/>
  <c r="D12" i="30"/>
  <c r="D74" i="27"/>
  <c r="E74" i="27"/>
  <c r="D11" i="30" l="1"/>
  <c r="E11" i="30"/>
  <c r="D64" i="27"/>
  <c r="E64" i="27"/>
  <c r="D61" i="27"/>
  <c r="D62" i="27"/>
  <c r="E62" i="27"/>
  <c r="E10" i="30"/>
  <c r="D10" i="30"/>
  <c r="E60" i="27"/>
  <c r="D60" i="27"/>
  <c r="E58" i="27"/>
  <c r="D58" i="27"/>
  <c r="D39" i="27"/>
  <c r="E39" i="27"/>
  <c r="E50" i="27" l="1"/>
  <c r="D50" i="27"/>
  <c r="E8" i="30"/>
  <c r="D8" i="30"/>
  <c r="D37" i="27"/>
  <c r="E37" i="27"/>
  <c r="D36" i="27"/>
  <c r="E36" i="27"/>
  <c r="E7" i="30"/>
  <c r="D7" i="30"/>
  <c r="D32" i="27"/>
  <c r="D31" i="27"/>
  <c r="AS107" i="25"/>
  <c r="AR107" i="25"/>
  <c r="AQ107" i="25"/>
  <c r="AP107" i="25"/>
  <c r="AO107" i="25"/>
  <c r="E5" i="30"/>
  <c r="E6" i="30"/>
  <c r="E19" i="27"/>
  <c r="E23" i="27"/>
  <c r="D5" i="30" l="1"/>
  <c r="E8" i="27"/>
  <c r="D8" i="27"/>
  <c r="I23" i="30" l="1"/>
  <c r="C39" i="30"/>
  <c r="E32" i="30"/>
  <c r="D32" i="30"/>
  <c r="C30" i="30"/>
  <c r="C32" i="30" s="1"/>
  <c r="H23" i="30" l="1"/>
  <c r="E23" i="30"/>
  <c r="D23" i="30"/>
  <c r="G23" i="30"/>
  <c r="F23" i="30"/>
  <c r="P266" i="25"/>
  <c r="U258" i="25"/>
  <c r="S1302" i="25" l="1"/>
  <c r="W1302" i="25" s="1"/>
  <c r="Y1302" i="25" s="1"/>
  <c r="AK258" i="25"/>
  <c r="AF266" i="25"/>
  <c r="AK266" i="25"/>
  <c r="P633" i="25"/>
  <c r="AF633" i="25" l="1"/>
  <c r="AK633" i="25"/>
  <c r="U1075" i="25"/>
  <c r="AK1075" i="25" s="1"/>
  <c r="P377" i="25" l="1"/>
  <c r="P632" i="25"/>
  <c r="P265" i="25"/>
  <c r="P340" i="25"/>
  <c r="P630" i="25"/>
  <c r="AK630" i="25" s="1"/>
  <c r="P629" i="25"/>
  <c r="P137" i="25"/>
  <c r="AK137" i="25" s="1"/>
  <c r="P262" i="25"/>
  <c r="P106" i="25"/>
  <c r="Q106" i="25" s="1"/>
  <c r="P306" i="25"/>
  <c r="P261" i="25"/>
  <c r="P105" i="25"/>
  <c r="Q105" i="25" s="1"/>
  <c r="P628" i="25"/>
  <c r="P434" i="25"/>
  <c r="P260" i="25"/>
  <c r="P431" i="25"/>
  <c r="P53" i="25"/>
  <c r="Q53" i="25" s="1"/>
  <c r="P104" i="25"/>
  <c r="Q104" i="25" s="1"/>
  <c r="P259" i="25"/>
  <c r="P430" i="25"/>
  <c r="P103" i="25"/>
  <c r="Q103" i="25" s="1"/>
  <c r="AF259" i="25" l="1"/>
  <c r="AK259" i="25"/>
  <c r="AF260" i="25"/>
  <c r="AK260" i="25"/>
  <c r="AF261" i="25"/>
  <c r="AK261" i="25"/>
  <c r="AF340" i="25"/>
  <c r="AK340" i="25"/>
  <c r="AF104" i="25"/>
  <c r="AK104" i="25"/>
  <c r="AF434" i="25"/>
  <c r="AK434" i="25"/>
  <c r="AF306" i="25"/>
  <c r="AK306" i="25"/>
  <c r="AK263" i="25"/>
  <c r="AF265" i="25"/>
  <c r="AK265" i="25"/>
  <c r="AF103" i="25"/>
  <c r="AK103" i="25"/>
  <c r="AF53" i="25"/>
  <c r="AK53" i="25"/>
  <c r="AF628" i="25"/>
  <c r="AK628" i="25"/>
  <c r="AF106" i="25"/>
  <c r="AK106" i="25"/>
  <c r="AF629" i="25"/>
  <c r="AK629" i="25"/>
  <c r="AF632" i="25"/>
  <c r="AK632" i="25"/>
  <c r="AF430" i="25"/>
  <c r="AK430" i="25"/>
  <c r="AF431" i="25"/>
  <c r="AK431" i="25"/>
  <c r="AF105" i="25"/>
  <c r="AK105" i="25"/>
  <c r="AF262" i="25"/>
  <c r="AK262" i="25"/>
  <c r="AF377" i="25"/>
  <c r="AK377" i="25"/>
  <c r="AF137" i="25"/>
  <c r="AF630" i="25"/>
  <c r="U256" i="25"/>
  <c r="AK256" i="25" s="1"/>
  <c r="P332" i="25"/>
  <c r="AF332" i="25" l="1"/>
  <c r="AK332" i="25"/>
  <c r="T1304" i="25"/>
  <c r="X1304" i="25" s="1"/>
  <c r="Y1304" i="25" s="1"/>
  <c r="P374" i="25"/>
  <c r="AF374" i="25" l="1"/>
  <c r="AK374" i="25"/>
  <c r="P1076" i="25"/>
  <c r="AK1076" i="25" s="1"/>
  <c r="AF1237" i="25"/>
  <c r="AF1236" i="25"/>
  <c r="P271" i="25" l="1"/>
  <c r="U997" i="25" l="1"/>
  <c r="AK997" i="25" s="1"/>
  <c r="U1251" i="25"/>
  <c r="P1087" i="25" l="1"/>
  <c r="AK1087" i="25" s="1"/>
  <c r="O752" i="25"/>
  <c r="O733" i="25"/>
  <c r="O638" i="25"/>
  <c r="N638" i="25"/>
  <c r="N635" i="25"/>
  <c r="O635" i="25"/>
  <c r="O107" i="25"/>
  <c r="N1247" i="25" l="1"/>
  <c r="O1247" i="25"/>
  <c r="U1277" i="25"/>
  <c r="B1310" i="25" l="1"/>
  <c r="B1315" i="25"/>
  <c r="B1312" i="25"/>
  <c r="AZ435" i="25"/>
  <c r="AX435" i="25"/>
  <c r="B1303" i="25"/>
  <c r="B1304" i="25"/>
  <c r="AF1274" i="25"/>
  <c r="AF1234" i="25" l="1"/>
  <c r="P834" i="25"/>
  <c r="AK834" i="25" s="1"/>
  <c r="AF746" i="25" l="1"/>
  <c r="AK746" i="25" s="1"/>
  <c r="AF726" i="25"/>
  <c r="P725" i="25"/>
  <c r="AK725" i="25" s="1"/>
  <c r="M725" i="25"/>
  <c r="P678" i="25" l="1"/>
  <c r="AH627" i="25"/>
  <c r="AH615" i="25"/>
  <c r="AF678" i="25" l="1"/>
  <c r="AK678" i="25"/>
  <c r="L331" i="25"/>
  <c r="K331" i="25"/>
  <c r="M336" i="25"/>
  <c r="M337" i="25"/>
  <c r="P742" i="25" l="1"/>
  <c r="U239" i="25" l="1"/>
  <c r="U134" i="25"/>
  <c r="AK134" i="25" l="1"/>
  <c r="U1291" i="25"/>
  <c r="AF239" i="25"/>
  <c r="AK239" i="25"/>
  <c r="AF134" i="25"/>
  <c r="P486" i="25"/>
  <c r="M486" i="25"/>
  <c r="AF331" i="25" l="1"/>
  <c r="P413" i="25"/>
  <c r="L585" i="25"/>
  <c r="L435" i="25" s="1"/>
  <c r="AF570" i="25"/>
  <c r="U1280" i="25"/>
  <c r="Z1280" i="25"/>
  <c r="U1279" i="25"/>
  <c r="Z1279" i="25"/>
  <c r="Z569" i="25"/>
  <c r="P569" i="25"/>
  <c r="P427" i="25"/>
  <c r="AK427" i="25" s="1"/>
  <c r="AF428" i="25"/>
  <c r="M427" i="25"/>
  <c r="AH429" i="25"/>
  <c r="AF419" i="25"/>
  <c r="AK569" i="25" l="1"/>
  <c r="C137" i="27"/>
  <c r="C146" i="27"/>
  <c r="E139" i="27"/>
  <c r="D139" i="27"/>
  <c r="C139" i="27"/>
  <c r="AF375" i="25" l="1"/>
  <c r="P350" i="25"/>
  <c r="AF338" i="25"/>
  <c r="AK338" i="25" s="1"/>
  <c r="U323" i="25"/>
  <c r="AK323" i="25" s="1"/>
  <c r="P255" i="25"/>
  <c r="M255" i="25"/>
  <c r="AF350" i="25" l="1"/>
  <c r="AK350" i="25"/>
  <c r="C7" i="26"/>
  <c r="C6" i="26"/>
  <c r="C5" i="26"/>
  <c r="E5" i="27" l="1"/>
  <c r="E10" i="27" l="1"/>
  <c r="B1314" i="25"/>
  <c r="B1313" i="25"/>
  <c r="B1306" i="25"/>
  <c r="B14" i="26" l="1"/>
  <c r="E129" i="27" l="1"/>
  <c r="D129" i="27"/>
  <c r="E128" i="27"/>
  <c r="D128" i="27"/>
  <c r="D127" i="27"/>
  <c r="E126" i="27"/>
  <c r="E125" i="27"/>
  <c r="D125" i="27"/>
  <c r="E124" i="27"/>
  <c r="D124" i="27"/>
  <c r="D123" i="27"/>
  <c r="E122" i="27"/>
  <c r="E121" i="27"/>
  <c r="D121" i="27"/>
  <c r="E119" i="27"/>
  <c r="E118" i="27"/>
  <c r="E117" i="27"/>
  <c r="D117" i="27"/>
  <c r="E115" i="27"/>
  <c r="E114" i="27"/>
  <c r="D114" i="27"/>
  <c r="E113" i="27"/>
  <c r="D113" i="27"/>
  <c r="E112" i="27"/>
  <c r="D112" i="27"/>
  <c r="E110" i="27"/>
  <c r="D110" i="27"/>
  <c r="E109" i="27"/>
  <c r="E108" i="27"/>
  <c r="D107" i="27"/>
  <c r="D105" i="27"/>
  <c r="E103" i="27"/>
  <c r="D101" i="27"/>
  <c r="D98" i="27"/>
  <c r="D97" i="27"/>
  <c r="E95" i="27"/>
  <c r="D95" i="27"/>
  <c r="E94" i="27"/>
  <c r="D94" i="27"/>
  <c r="E92" i="27"/>
  <c r="D92" i="27"/>
  <c r="E91" i="27"/>
  <c r="D91" i="27"/>
  <c r="D88" i="27"/>
  <c r="E86" i="27"/>
  <c r="D86" i="27"/>
  <c r="E85" i="27"/>
  <c r="D85" i="27"/>
  <c r="D84" i="27"/>
  <c r="D82" i="27"/>
  <c r="E80" i="27"/>
  <c r="D80" i="27"/>
  <c r="E78" i="27"/>
  <c r="D78" i="27"/>
  <c r="D77" i="27"/>
  <c r="E76" i="27"/>
  <c r="D75" i="27"/>
  <c r="E73" i="27"/>
  <c r="D73" i="27"/>
  <c r="E72" i="27"/>
  <c r="D72" i="27"/>
  <c r="E71" i="27"/>
  <c r="E70" i="27"/>
  <c r="D70" i="27"/>
  <c r="E69" i="27"/>
  <c r="D69" i="27"/>
  <c r="E68" i="27"/>
  <c r="D68" i="27"/>
  <c r="E67" i="27"/>
  <c r="E66" i="27"/>
  <c r="E65" i="27"/>
  <c r="D65" i="27"/>
  <c r="E63" i="27"/>
  <c r="D63" i="27"/>
  <c r="E59" i="27"/>
  <c r="E57" i="27"/>
  <c r="D57" i="27"/>
  <c r="E56" i="27"/>
  <c r="E55" i="27"/>
  <c r="D55" i="27"/>
  <c r="E54" i="27"/>
  <c r="D54" i="27"/>
  <c r="E49" i="27"/>
  <c r="E48" i="27"/>
  <c r="E47" i="27"/>
  <c r="E46" i="27"/>
  <c r="E45" i="27"/>
  <c r="D45" i="27"/>
  <c r="D44" i="27"/>
  <c r="E43" i="27"/>
  <c r="E41" i="27"/>
  <c r="D41" i="27"/>
  <c r="E40" i="27"/>
  <c r="D40" i="27"/>
  <c r="E35" i="27"/>
  <c r="E33" i="27"/>
  <c r="E30" i="27"/>
  <c r="D30" i="27"/>
  <c r="E29" i="27"/>
  <c r="D29" i="27"/>
  <c r="E28" i="27"/>
  <c r="D28" i="27"/>
  <c r="D26" i="27"/>
  <c r="E25" i="27"/>
  <c r="D25" i="27"/>
  <c r="E24" i="27"/>
  <c r="D23" i="27"/>
  <c r="E22" i="27"/>
  <c r="D22" i="27"/>
  <c r="E21" i="27"/>
  <c r="D21" i="27"/>
  <c r="D20" i="27"/>
  <c r="D19" i="27"/>
  <c r="E18" i="27"/>
  <c r="D18" i="27"/>
  <c r="E17" i="27"/>
  <c r="D17" i="27"/>
  <c r="E16" i="27"/>
  <c r="E14" i="27"/>
  <c r="D14" i="27"/>
  <c r="E12" i="27"/>
  <c r="E11" i="27"/>
  <c r="D11" i="27"/>
  <c r="D10" i="27"/>
  <c r="E9" i="27"/>
  <c r="D9" i="27"/>
  <c r="E6" i="27"/>
  <c r="D6" i="27"/>
  <c r="D5" i="27"/>
  <c r="B17" i="26"/>
  <c r="B16" i="26"/>
  <c r="B15" i="26"/>
  <c r="B13" i="26"/>
  <c r="D8" i="26"/>
  <c r="B8" i="26"/>
  <c r="I130" i="27" l="1"/>
  <c r="G130" i="27"/>
  <c r="B18" i="26"/>
  <c r="D130" i="27"/>
  <c r="E130" i="27"/>
  <c r="F130" i="27"/>
  <c r="C8" i="26"/>
  <c r="H130" i="27"/>
  <c r="Z1293" i="25"/>
  <c r="U1283" i="25"/>
  <c r="R1284" i="25" l="1"/>
  <c r="AF1282" i="25"/>
  <c r="AB1281" i="25"/>
  <c r="AB1283" i="25"/>
  <c r="R1293" i="25"/>
  <c r="AS635" i="25" l="1"/>
  <c r="AR635" i="25"/>
  <c r="AQ635" i="25"/>
  <c r="AP635" i="25"/>
  <c r="AO635" i="25"/>
  <c r="AN635" i="25"/>
  <c r="M635" i="25"/>
  <c r="L635" i="25"/>
  <c r="K635" i="25"/>
  <c r="K354" i="25"/>
  <c r="M733" i="25" l="1"/>
  <c r="AZ760" i="25"/>
  <c r="AY760" i="25"/>
  <c r="AX760" i="25"/>
  <c r="AW760" i="25"/>
  <c r="L760" i="25"/>
  <c r="K760" i="25"/>
  <c r="AZ752" i="25"/>
  <c r="AY752" i="25"/>
  <c r="AX752" i="25"/>
  <c r="AW752" i="25"/>
  <c r="AS752" i="25"/>
  <c r="AR752" i="25"/>
  <c r="AQ752" i="25"/>
  <c r="AP752" i="25"/>
  <c r="AO752" i="25"/>
  <c r="AN752" i="25"/>
  <c r="M752" i="25"/>
  <c r="L752" i="25"/>
  <c r="K752" i="25"/>
  <c r="AZ733" i="25"/>
  <c r="AY733" i="25"/>
  <c r="AX733" i="25"/>
  <c r="AW733" i="25"/>
  <c r="AS733" i="25"/>
  <c r="AR733" i="25"/>
  <c r="AQ733" i="25"/>
  <c r="AP733" i="25"/>
  <c r="AO733" i="25"/>
  <c r="AN733" i="25"/>
  <c r="L733" i="25"/>
  <c r="M681" i="25"/>
  <c r="L681" i="25"/>
  <c r="K681" i="25"/>
  <c r="AZ646" i="25"/>
  <c r="AY646" i="25"/>
  <c r="AX646" i="25"/>
  <c r="AW646" i="25"/>
  <c r="L646" i="25"/>
  <c r="K646" i="25"/>
  <c r="AZ638" i="25"/>
  <c r="AY638" i="25"/>
  <c r="AX638" i="25"/>
  <c r="AW638" i="25"/>
  <c r="AR638" i="25"/>
  <c r="AQ638" i="25"/>
  <c r="AP638" i="25"/>
  <c r="AO638" i="25"/>
  <c r="AN638" i="25"/>
  <c r="M638" i="25"/>
  <c r="L638" i="25"/>
  <c r="AZ380" i="25"/>
  <c r="AY380" i="25"/>
  <c r="AX380" i="25"/>
  <c r="AW380" i="25"/>
  <c r="L380" i="25"/>
  <c r="K380" i="25"/>
  <c r="AZ354" i="25"/>
  <c r="AY354" i="25"/>
  <c r="AX354" i="25"/>
  <c r="AW354" i="25"/>
  <c r="L354" i="25"/>
  <c r="AZ341" i="25"/>
  <c r="AY341" i="25"/>
  <c r="AX341" i="25"/>
  <c r="AW341" i="25"/>
  <c r="L341" i="25"/>
  <c r="AZ307" i="25"/>
  <c r="AY307" i="25"/>
  <c r="AX307" i="25"/>
  <c r="AW307" i="25"/>
  <c r="L307" i="25"/>
  <c r="AZ267" i="25"/>
  <c r="AY267" i="25"/>
  <c r="AW267" i="25"/>
  <c r="L267" i="25"/>
  <c r="L169" i="25"/>
  <c r="K169" i="25"/>
  <c r="AS138" i="25"/>
  <c r="AR138" i="25"/>
  <c r="AQ138" i="25"/>
  <c r="AO138" i="25"/>
  <c r="L138" i="25"/>
  <c r="AZ107" i="25"/>
  <c r="AY107" i="25"/>
  <c r="AX107" i="25"/>
  <c r="AW107" i="25"/>
  <c r="L107" i="25"/>
  <c r="K107" i="25"/>
  <c r="AZ55" i="25"/>
  <c r="AY55" i="25"/>
  <c r="AX55" i="25"/>
  <c r="AW55" i="25"/>
  <c r="M55" i="25"/>
  <c r="L55" i="25"/>
  <c r="AZ7" i="25"/>
  <c r="AX7" i="25"/>
  <c r="AW7" i="25"/>
  <c r="L7" i="25"/>
  <c r="AS1247" i="25" l="1"/>
  <c r="L1247" i="25"/>
  <c r="AR1247" i="25"/>
  <c r="AQ1247" i="25"/>
  <c r="AF1224" i="25"/>
  <c r="AK1224" i="25" s="1"/>
  <c r="AH624" i="25" l="1"/>
  <c r="AH623" i="25"/>
  <c r="AH622" i="25"/>
  <c r="AH621" i="25"/>
  <c r="AH620" i="25"/>
  <c r="AH427" i="25" l="1"/>
  <c r="AF427" i="25" s="1"/>
  <c r="AH626" i="25" l="1"/>
  <c r="AH625" i="25" l="1"/>
  <c r="K341" i="25" l="1"/>
  <c r="P167" i="25" l="1"/>
  <c r="AK167" i="25" s="1"/>
  <c r="AF715" i="25"/>
  <c r="AF167" i="25" l="1"/>
  <c r="AF1233" i="25"/>
  <c r="AF617" i="25"/>
  <c r="AF613" i="25"/>
  <c r="P300" i="25"/>
  <c r="AK300" i="25" s="1"/>
  <c r="U1293" i="25" l="1"/>
  <c r="AB1293" i="25" s="1"/>
  <c r="AK1099" i="25"/>
  <c r="AF300" i="25"/>
  <c r="AF725" i="25" l="1"/>
  <c r="AF609" i="25"/>
  <c r="AF608" i="25"/>
  <c r="AF607" i="25"/>
  <c r="AF606" i="25"/>
  <c r="Z1288" i="25" l="1"/>
  <c r="U1288" i="25"/>
  <c r="U1287" i="25"/>
  <c r="AF1206" i="25"/>
  <c r="AF1214" i="25"/>
  <c r="AF1211" i="25"/>
  <c r="AF1209" i="25"/>
  <c r="AB1288" i="25" l="1"/>
  <c r="AF1194" i="25"/>
  <c r="AF1202" i="25"/>
  <c r="AF1201" i="25"/>
  <c r="AF1200" i="25"/>
  <c r="P1193" i="25"/>
  <c r="P1192" i="25"/>
  <c r="P1191" i="25"/>
  <c r="AF1195" i="25"/>
  <c r="AF1193" i="25" l="1"/>
  <c r="AK1193" i="25"/>
  <c r="AF1192" i="25"/>
  <c r="AK1192" i="25"/>
  <c r="AF1191" i="25"/>
  <c r="AK1191" i="25"/>
  <c r="AF194" i="25"/>
  <c r="AK194" i="25" s="1"/>
  <c r="AF181" i="25"/>
  <c r="AF1231" i="25"/>
  <c r="AF1229" i="25"/>
  <c r="AF1216" i="25" l="1"/>
  <c r="AF1227" i="25"/>
  <c r="AF1226" i="25"/>
  <c r="AK1226" i="25" s="1"/>
  <c r="AF1225" i="25"/>
  <c r="P571" i="25" l="1"/>
  <c r="AF571" i="25" s="1"/>
  <c r="AK571" i="25" s="1"/>
  <c r="M374" i="25" l="1"/>
  <c r="M354" i="25" s="1"/>
  <c r="M350" i="25"/>
  <c r="M341" i="25" s="1"/>
  <c r="M300" i="25"/>
  <c r="M267" i="25" s="1"/>
  <c r="AF99" i="25" l="1"/>
  <c r="P100" i="25"/>
  <c r="AK100" i="25" l="1"/>
  <c r="Q100" i="25"/>
  <c r="AR1272" i="25"/>
  <c r="AF831" i="25" l="1"/>
  <c r="Z936" i="25" l="1"/>
  <c r="AF936" i="25" s="1"/>
  <c r="M107" i="25" l="1"/>
  <c r="P218" i="25" l="1"/>
  <c r="AF218" i="25" s="1"/>
  <c r="P217" i="25"/>
  <c r="AF217" i="25" s="1"/>
  <c r="P229" i="25"/>
  <c r="AF229" i="25" s="1"/>
  <c r="AF209" i="25"/>
  <c r="AF202" i="25"/>
  <c r="AK202" i="25" s="1"/>
  <c r="Z193" i="25"/>
  <c r="R193" i="25"/>
  <c r="P193" i="25"/>
  <c r="AF171" i="25"/>
  <c r="AF193" i="25" l="1"/>
  <c r="AK193" i="25" s="1"/>
  <c r="P147" i="25"/>
  <c r="P149" i="25" l="1"/>
  <c r="U126" i="25" l="1"/>
  <c r="AF118" i="25"/>
  <c r="AK118" i="25" s="1"/>
  <c r="AF117" i="25"/>
  <c r="AK117" i="25" s="1"/>
  <c r="P116" i="25"/>
  <c r="Z116" i="25"/>
  <c r="U116" i="25"/>
  <c r="AF116" i="25" l="1"/>
  <c r="AK116" i="25" s="1"/>
  <c r="AF100" i="25" l="1"/>
  <c r="AF35" i="25"/>
  <c r="AK35" i="25" s="1"/>
  <c r="R1291" i="25"/>
  <c r="AF603" i="25"/>
  <c r="Z602" i="25"/>
  <c r="Z1291" i="25" s="1"/>
  <c r="P602" i="25"/>
  <c r="M602" i="25"/>
  <c r="U1222" i="25"/>
  <c r="P1222" i="25"/>
  <c r="AF1223" i="25"/>
  <c r="AK1223" i="25" s="1"/>
  <c r="AF1221" i="25"/>
  <c r="P1220" i="25"/>
  <c r="AB1291" i="25" l="1"/>
  <c r="AF1222" i="25"/>
  <c r="AK1222" i="25" s="1"/>
  <c r="R1292" i="25"/>
  <c r="AF614" i="25"/>
  <c r="M162" i="25"/>
  <c r="M138" i="25" s="1"/>
  <c r="P162" i="25"/>
  <c r="AF421" i="25"/>
  <c r="P420" i="25"/>
  <c r="M420" i="25"/>
  <c r="U1220" i="25"/>
  <c r="AF1220" i="25" s="1"/>
  <c r="AK1220" i="25" s="1"/>
  <c r="AF420" i="25" l="1"/>
  <c r="AK420" i="25"/>
  <c r="AF162" i="25"/>
  <c r="AK162" i="25"/>
  <c r="AF499" i="25"/>
  <c r="AK499" i="25" s="1"/>
  <c r="P498" i="25"/>
  <c r="AF498" i="25" s="1"/>
  <c r="AF1089" i="25" l="1"/>
  <c r="AK1089" i="25" s="1"/>
  <c r="Z1290" i="25" l="1"/>
  <c r="R1290" i="25"/>
  <c r="P247" i="25"/>
  <c r="AK247" i="25" s="1"/>
  <c r="P248" i="25"/>
  <c r="M247" i="25"/>
  <c r="U1289" i="25"/>
  <c r="Z598" i="25"/>
  <c r="Z1289" i="25" s="1"/>
  <c r="R1289" i="25"/>
  <c r="AF248" i="25" l="1"/>
  <c r="AK248" i="25"/>
  <c r="R1294" i="25"/>
  <c r="AB1289" i="25"/>
  <c r="AZ169" i="25" l="1"/>
  <c r="AY169" i="25"/>
  <c r="AZ138" i="25"/>
  <c r="AY138" i="25"/>
  <c r="AW138" i="25"/>
  <c r="AZ1247" i="25" l="1"/>
  <c r="U1096" i="25"/>
  <c r="AF417" i="25" l="1"/>
  <c r="AF751" i="25"/>
  <c r="U48" i="25"/>
  <c r="AK48" i="25" s="1"/>
  <c r="U165" i="25"/>
  <c r="AF426" i="25"/>
  <c r="M425" i="25"/>
  <c r="P425" i="25"/>
  <c r="U982" i="25"/>
  <c r="P982" i="25"/>
  <c r="Q982" i="25" s="1"/>
  <c r="U1217" i="25"/>
  <c r="P1217" i="25"/>
  <c r="AK1217" i="25" s="1"/>
  <c r="U255" i="25"/>
  <c r="AK255" i="25" s="1"/>
  <c r="P1148" i="25"/>
  <c r="U1148" i="25"/>
  <c r="Z840" i="25"/>
  <c r="P840" i="25"/>
  <c r="Z1101" i="25"/>
  <c r="AK1101" i="25" s="1"/>
  <c r="AF102" i="25"/>
  <c r="U47" i="25"/>
  <c r="AF47" i="25" l="1"/>
  <c r="AK47" i="25"/>
  <c r="AF425" i="25"/>
  <c r="AK425" i="25"/>
  <c r="AH165" i="25"/>
  <c r="AF165" i="25" s="1"/>
  <c r="AK165" i="25"/>
  <c r="AK840" i="25"/>
  <c r="AF48" i="25"/>
  <c r="AF255" i="25"/>
  <c r="AF1217" i="25"/>
  <c r="U1292" i="25"/>
  <c r="Z1292" i="25"/>
  <c r="AB1292" i="25" l="1"/>
  <c r="AF1190" i="25"/>
  <c r="AK1190" i="25" s="1"/>
  <c r="P98" i="25"/>
  <c r="Q98" i="25" s="1"/>
  <c r="AF98" i="25" l="1"/>
  <c r="AK98" i="25"/>
  <c r="AF246" i="25"/>
  <c r="P245" i="25"/>
  <c r="AK245" i="25" s="1"/>
  <c r="AF1186" i="25" l="1"/>
  <c r="AK1186" i="25" s="1"/>
  <c r="Z1287" i="25"/>
  <c r="U980" i="25"/>
  <c r="P980" i="25"/>
  <c r="Q980" i="25" s="1"/>
  <c r="P847" i="25"/>
  <c r="U847" i="25"/>
  <c r="AF34" i="25"/>
  <c r="AK34" i="25" s="1"/>
  <c r="AF240" i="25"/>
  <c r="AK240" i="25" s="1"/>
  <c r="AB1287" i="25" l="1"/>
  <c r="U1286" i="25" l="1"/>
  <c r="Z1286" i="25"/>
  <c r="Z1294" i="25" s="1"/>
  <c r="AB1280" i="25"/>
  <c r="Z1278" i="25"/>
  <c r="Z1277" i="25"/>
  <c r="Z1276" i="25"/>
  <c r="U1275" i="25"/>
  <c r="AB1286" i="25" l="1"/>
  <c r="AB1279" i="25"/>
  <c r="AB1277" i="25"/>
  <c r="AB1274" i="25"/>
  <c r="U39" i="25"/>
  <c r="AF832" i="25"/>
  <c r="AK832" i="25" s="1"/>
  <c r="AF586" i="25" l="1"/>
  <c r="AK586" i="25" s="1"/>
  <c r="AF530" i="25" l="1"/>
  <c r="AK530" i="25" s="1"/>
  <c r="D1265" i="25" l="1"/>
  <c r="D1263" i="25"/>
  <c r="D1262" i="25"/>
  <c r="D1256" i="25"/>
  <c r="D1252" i="25"/>
  <c r="AH1215" i="25"/>
  <c r="AF1215" i="25"/>
  <c r="P1189" i="25"/>
  <c r="AF1188" i="25"/>
  <c r="AK1188" i="25" s="1"/>
  <c r="AF1187" i="25"/>
  <c r="AK1187" i="25" s="1"/>
  <c r="AF1185" i="25"/>
  <c r="AK1185" i="25" s="1"/>
  <c r="AF1184" i="25"/>
  <c r="AF1183" i="25"/>
  <c r="AK1183" i="25" s="1"/>
  <c r="AF1182" i="25"/>
  <c r="AK1182" i="25" s="1"/>
  <c r="AF1181" i="25"/>
  <c r="AK1181" i="25" s="1"/>
  <c r="AF1180" i="25"/>
  <c r="AK1180" i="25" s="1"/>
  <c r="AF1179" i="25"/>
  <c r="AF1178" i="25"/>
  <c r="AK1178" i="25" s="1"/>
  <c r="AF1177" i="25"/>
  <c r="AK1177" i="25" s="1"/>
  <c r="AF1176" i="25"/>
  <c r="AF1175" i="25"/>
  <c r="AK1175" i="25" s="1"/>
  <c r="AF1174" i="25"/>
  <c r="AK1174" i="25" s="1"/>
  <c r="AF1173" i="25"/>
  <c r="AF1172" i="25"/>
  <c r="AK1172" i="25" s="1"/>
  <c r="AF1171" i="25"/>
  <c r="AF1170" i="25"/>
  <c r="AF1169" i="25"/>
  <c r="AF1166" i="25"/>
  <c r="AK1166" i="25" s="1"/>
  <c r="AF1165" i="25"/>
  <c r="AF1164" i="25"/>
  <c r="AK1164" i="25" s="1"/>
  <c r="AF1160" i="25"/>
  <c r="AK1160" i="25" s="1"/>
  <c r="AF1159" i="25"/>
  <c r="AK1159" i="25" s="1"/>
  <c r="AF1157" i="25"/>
  <c r="AK1157" i="25" s="1"/>
  <c r="AF1156" i="25"/>
  <c r="AF1155" i="25"/>
  <c r="AF1154" i="25"/>
  <c r="AK1154" i="25" s="1"/>
  <c r="AF1153" i="25"/>
  <c r="AF1152" i="25"/>
  <c r="AK1152" i="25" s="1"/>
  <c r="AF1151" i="25"/>
  <c r="AF1150" i="25"/>
  <c r="AK1150" i="25" s="1"/>
  <c r="AF1149" i="25"/>
  <c r="AK1149" i="25" s="1"/>
  <c r="AF1148" i="25"/>
  <c r="AK1148" i="25" s="1"/>
  <c r="AF1147" i="25"/>
  <c r="AF1146" i="25"/>
  <c r="AF1142" i="25"/>
  <c r="AF1140" i="25"/>
  <c r="AF1139" i="25"/>
  <c r="AF1138" i="25"/>
  <c r="AF1137" i="25"/>
  <c r="P1136" i="25"/>
  <c r="AF1136" i="25" s="1"/>
  <c r="AK1136" i="25" s="1"/>
  <c r="AF1135" i="25"/>
  <c r="AF1134" i="25"/>
  <c r="AF1133" i="25"/>
  <c r="AF1132" i="25"/>
  <c r="AK1132" i="25" s="1"/>
  <c r="AF1131" i="25"/>
  <c r="AF1127" i="25"/>
  <c r="AK1127" i="25" s="1"/>
  <c r="AF1124" i="25"/>
  <c r="AF1115" i="25"/>
  <c r="AK1115" i="25" s="1"/>
  <c r="AF1108" i="25"/>
  <c r="AF1107" i="25"/>
  <c r="AF1106" i="25"/>
  <c r="AF1105" i="25"/>
  <c r="AF1104" i="25"/>
  <c r="AF1103" i="25"/>
  <c r="AF1102" i="25"/>
  <c r="AF1101" i="25"/>
  <c r="AF1100" i="25"/>
  <c r="AF1099" i="25"/>
  <c r="AF1098" i="25"/>
  <c r="AF1097" i="25"/>
  <c r="AB1278" i="25"/>
  <c r="P1096" i="25"/>
  <c r="AF1095" i="25"/>
  <c r="AK1095" i="25" s="1"/>
  <c r="AF1094" i="25"/>
  <c r="AK1094" i="25" s="1"/>
  <c r="AF1093" i="25"/>
  <c r="AF1092" i="25"/>
  <c r="AF1091" i="25"/>
  <c r="AK1091" i="25" s="1"/>
  <c r="P1090" i="25"/>
  <c r="AF1088" i="25"/>
  <c r="AF1087" i="25"/>
  <c r="AF1085" i="25"/>
  <c r="AK1085" i="25" s="1"/>
  <c r="AF1084" i="25"/>
  <c r="AK1084" i="25" s="1"/>
  <c r="AF1082" i="25"/>
  <c r="AK1082" i="25" s="1"/>
  <c r="AF1076" i="25"/>
  <c r="AF1074" i="25"/>
  <c r="AF1073" i="25"/>
  <c r="AF1072" i="25"/>
  <c r="AF1071" i="25"/>
  <c r="AF1059" i="25"/>
  <c r="AK1059" i="25" s="1"/>
  <c r="AF1054" i="25"/>
  <c r="AK1054" i="25" s="1"/>
  <c r="AF1051" i="25"/>
  <c r="AK1051" i="25" s="1"/>
  <c r="AF1049" i="25"/>
  <c r="AF1046" i="25"/>
  <c r="AF1045" i="25"/>
  <c r="AK1045" i="25" s="1"/>
  <c r="AF1029" i="25"/>
  <c r="AK1029" i="25" s="1"/>
  <c r="AF1027" i="25"/>
  <c r="AK1027" i="25" s="1"/>
  <c r="AF1025" i="25"/>
  <c r="AF997" i="25"/>
  <c r="AF996" i="25"/>
  <c r="AF985" i="25"/>
  <c r="AF984" i="25"/>
  <c r="AK984" i="25" s="1"/>
  <c r="AF983" i="25"/>
  <c r="AF982" i="25"/>
  <c r="AK982" i="25" s="1"/>
  <c r="AF981" i="25"/>
  <c r="AF980" i="25"/>
  <c r="AK980" i="25" s="1"/>
  <c r="AF979" i="25"/>
  <c r="AF969" i="25"/>
  <c r="AK969" i="25" s="1"/>
  <c r="AF968" i="25"/>
  <c r="AK968" i="25" s="1"/>
  <c r="AF967" i="25"/>
  <c r="AK967" i="25" s="1"/>
  <c r="AF966" i="25"/>
  <c r="AK966" i="25" s="1"/>
  <c r="AF964" i="25"/>
  <c r="AF962" i="25"/>
  <c r="AF961" i="25"/>
  <c r="AF960" i="25"/>
  <c r="AK960" i="25" s="1"/>
  <c r="AF958" i="25"/>
  <c r="AF957" i="25"/>
  <c r="AK957" i="25" s="1"/>
  <c r="AF956" i="25"/>
  <c r="AK956" i="25" s="1"/>
  <c r="AF893" i="25"/>
  <c r="AK893" i="25" s="1"/>
  <c r="AF892" i="25"/>
  <c r="M892" i="25"/>
  <c r="AF890" i="25"/>
  <c r="AF857" i="25"/>
  <c r="AK857" i="25" s="1"/>
  <c r="AF856" i="25"/>
  <c r="AK856" i="25" s="1"/>
  <c r="AF855" i="25"/>
  <c r="AK855" i="25" s="1"/>
  <c r="AF852" i="25"/>
  <c r="M852" i="25"/>
  <c r="AF851" i="25"/>
  <c r="AF850" i="25"/>
  <c r="U848" i="25"/>
  <c r="P848" i="25"/>
  <c r="AF847" i="25"/>
  <c r="AK847" i="25" s="1"/>
  <c r="AF845" i="25"/>
  <c r="AF844" i="25"/>
  <c r="AF843" i="25"/>
  <c r="U842" i="25"/>
  <c r="P842" i="25"/>
  <c r="AF840" i="25"/>
  <c r="AF839" i="25"/>
  <c r="AK839" i="25" s="1"/>
  <c r="AF837" i="25"/>
  <c r="AK837" i="25" s="1"/>
  <c r="AF836" i="25"/>
  <c r="AF835" i="25"/>
  <c r="AK835" i="25" s="1"/>
  <c r="AF830" i="25"/>
  <c r="AF828" i="25"/>
  <c r="AK828" i="25" s="1"/>
  <c r="AF827" i="25"/>
  <c r="AF765" i="25"/>
  <c r="AF759" i="25"/>
  <c r="AF758" i="25"/>
  <c r="AK758" i="25" s="1"/>
  <c r="AF757" i="25"/>
  <c r="AK757" i="25" s="1"/>
  <c r="AF755" i="25"/>
  <c r="AK755" i="25" s="1"/>
  <c r="AF754" i="25"/>
  <c r="AF750" i="25"/>
  <c r="P749" i="25"/>
  <c r="K749" i="25"/>
  <c r="K733" i="25" s="1"/>
  <c r="AF745" i="25"/>
  <c r="AK745" i="25" s="1"/>
  <c r="AF744" i="25"/>
  <c r="AK744" i="25" s="1"/>
  <c r="AF729" i="25"/>
  <c r="U727" i="25"/>
  <c r="AF724" i="25"/>
  <c r="AF723" i="25"/>
  <c r="AF722" i="25"/>
  <c r="P721" i="25"/>
  <c r="AK721" i="25" s="1"/>
  <c r="AF720" i="25"/>
  <c r="AK720" i="25" s="1"/>
  <c r="AF719" i="25"/>
  <c r="AF718" i="25"/>
  <c r="AF716" i="25"/>
  <c r="AK716" i="25" s="1"/>
  <c r="AF714" i="25"/>
  <c r="AF713" i="25"/>
  <c r="AK713" i="25" s="1"/>
  <c r="AF712" i="25"/>
  <c r="AK712" i="25" s="1"/>
  <c r="AF711" i="25"/>
  <c r="U710" i="25"/>
  <c r="P710" i="25"/>
  <c r="BD707" i="25"/>
  <c r="BD681" i="25" s="1"/>
  <c r="P707" i="25"/>
  <c r="AF707" i="25" s="1"/>
  <c r="AF706" i="25"/>
  <c r="AF703" i="25"/>
  <c r="AK703" i="25" s="1"/>
  <c r="AF693" i="25"/>
  <c r="AF692" i="25"/>
  <c r="AF688" i="25"/>
  <c r="AF687" i="25"/>
  <c r="P686" i="25"/>
  <c r="AF686" i="25" s="1"/>
  <c r="AF683" i="25"/>
  <c r="AF682" i="25"/>
  <c r="AK682" i="25" s="1"/>
  <c r="AH679" i="25"/>
  <c r="AH678" i="25"/>
  <c r="AH677" i="25"/>
  <c r="AH676" i="25"/>
  <c r="AF675" i="25"/>
  <c r="P674" i="25"/>
  <c r="AK674" i="25" s="1"/>
  <c r="M674" i="25"/>
  <c r="AH673" i="25"/>
  <c r="AF673" i="25"/>
  <c r="P671" i="25"/>
  <c r="AK671" i="25" s="1"/>
  <c r="M671" i="25"/>
  <c r="AF670" i="25"/>
  <c r="AK670" i="25" s="1"/>
  <c r="AF669" i="25"/>
  <c r="AK669" i="25" s="1"/>
  <c r="AF668" i="25"/>
  <c r="AF667" i="25"/>
  <c r="AF666" i="25"/>
  <c r="AF664" i="25"/>
  <c r="AK664" i="25" s="1"/>
  <c r="AF663" i="25"/>
  <c r="P662" i="25"/>
  <c r="AF655" i="25"/>
  <c r="AK655" i="25" s="1"/>
  <c r="AF653" i="25"/>
  <c r="AK653" i="25" s="1"/>
  <c r="AH645" i="25"/>
  <c r="AF644" i="25"/>
  <c r="P643" i="25"/>
  <c r="AF643" i="25" s="1"/>
  <c r="AK643" i="25" s="1"/>
  <c r="K643" i="25"/>
  <c r="K638" i="25" s="1"/>
  <c r="AF642" i="25"/>
  <c r="AH641" i="25"/>
  <c r="AF641" i="25"/>
  <c r="AF640" i="25"/>
  <c r="AF639" i="25"/>
  <c r="AH618" i="25"/>
  <c r="AH616" i="25"/>
  <c r="AH612" i="25"/>
  <c r="AF611" i="25"/>
  <c r="AF610" i="25"/>
  <c r="AK610" i="25" s="1"/>
  <c r="AF605" i="25"/>
  <c r="AK605" i="25" s="1"/>
  <c r="AF604" i="25"/>
  <c r="AF602" i="25"/>
  <c r="AK602" i="25" s="1"/>
  <c r="AF601" i="25"/>
  <c r="AK601" i="25" s="1"/>
  <c r="AF600" i="25"/>
  <c r="AK600" i="25" s="1"/>
  <c r="AF599" i="25"/>
  <c r="AK599" i="25" s="1"/>
  <c r="AF598" i="25"/>
  <c r="AK598" i="25" s="1"/>
  <c r="AF597" i="25"/>
  <c r="AK597" i="25" s="1"/>
  <c r="AF596" i="25"/>
  <c r="AK596" i="25" s="1"/>
  <c r="AF595" i="25"/>
  <c r="AK595" i="25" s="1"/>
  <c r="AF594" i="25"/>
  <c r="AK594" i="25" s="1"/>
  <c r="AF593" i="25"/>
  <c r="P592" i="25"/>
  <c r="K592" i="25"/>
  <c r="K435" i="25" s="1"/>
  <c r="AF591" i="25"/>
  <c r="AF588" i="25"/>
  <c r="AK588" i="25" s="1"/>
  <c r="AF587" i="25"/>
  <c r="P585" i="25"/>
  <c r="U584" i="25"/>
  <c r="AF584" i="25" s="1"/>
  <c r="AK584" i="25" s="1"/>
  <c r="AF583" i="25"/>
  <c r="AK583" i="25" s="1"/>
  <c r="U582" i="25"/>
  <c r="AF582" i="25" s="1"/>
  <c r="AK582" i="25" s="1"/>
  <c r="AF581" i="25"/>
  <c r="BD580" i="25"/>
  <c r="AF580" i="25"/>
  <c r="AK580" i="25" s="1"/>
  <c r="BD579" i="25"/>
  <c r="AF579" i="25"/>
  <c r="AK579" i="25" s="1"/>
  <c r="BD578" i="25"/>
  <c r="AF578" i="25"/>
  <c r="AK578" i="25" s="1"/>
  <c r="AF577" i="25"/>
  <c r="AK577" i="25" s="1"/>
  <c r="AF576" i="25"/>
  <c r="AK576" i="25" s="1"/>
  <c r="AF575" i="25"/>
  <c r="AK575" i="25" s="1"/>
  <c r="AF573" i="25"/>
  <c r="AK573" i="25" s="1"/>
  <c r="AF572" i="25"/>
  <c r="BD568" i="25"/>
  <c r="AF568" i="25"/>
  <c r="AK568" i="25" s="1"/>
  <c r="P567" i="25"/>
  <c r="AF567" i="25" s="1"/>
  <c r="AK567" i="25" s="1"/>
  <c r="AF566" i="25"/>
  <c r="AK566" i="25" s="1"/>
  <c r="AF565" i="25"/>
  <c r="AK565" i="25" s="1"/>
  <c r="AF564" i="25"/>
  <c r="AK564" i="25" s="1"/>
  <c r="AF563" i="25"/>
  <c r="AK563" i="25" s="1"/>
  <c r="AF561" i="25"/>
  <c r="AK561" i="25" s="1"/>
  <c r="BD555" i="25"/>
  <c r="AF551" i="25"/>
  <c r="AK551" i="25" s="1"/>
  <c r="AF550" i="25"/>
  <c r="AF547" i="25"/>
  <c r="AF544" i="25"/>
  <c r="AK544" i="25" s="1"/>
  <c r="AF543" i="25"/>
  <c r="AK543" i="25" s="1"/>
  <c r="AF536" i="25"/>
  <c r="AK536" i="25" s="1"/>
  <c r="P535" i="25"/>
  <c r="AF515" i="25"/>
  <c r="AK515" i="25" s="1"/>
  <c r="AF514" i="25"/>
  <c r="AK514" i="25" s="1"/>
  <c r="P513" i="25"/>
  <c r="AF513" i="25" s="1"/>
  <c r="AF507" i="25"/>
  <c r="AK507" i="25" s="1"/>
  <c r="P506" i="25"/>
  <c r="AF506" i="25" s="1"/>
  <c r="AF503" i="25"/>
  <c r="P502" i="25"/>
  <c r="AF502" i="25" s="1"/>
  <c r="AF492" i="25"/>
  <c r="AK492" i="25" s="1"/>
  <c r="AF487" i="25"/>
  <c r="AF486" i="25"/>
  <c r="AK486" i="25" s="1"/>
  <c r="AF478" i="25"/>
  <c r="P477" i="25"/>
  <c r="AF477" i="25" s="1"/>
  <c r="AF476" i="25"/>
  <c r="P475" i="25"/>
  <c r="M475" i="25"/>
  <c r="M435" i="25" s="1"/>
  <c r="P461" i="25"/>
  <c r="AK461" i="25" s="1"/>
  <c r="BD460" i="25"/>
  <c r="AY460" i="25"/>
  <c r="AY435" i="25" s="1"/>
  <c r="P460" i="25"/>
  <c r="AF460" i="25" s="1"/>
  <c r="AW459" i="25"/>
  <c r="AW435" i="25" s="1"/>
  <c r="P459" i="25"/>
  <c r="AF459" i="25" s="1"/>
  <c r="AF448" i="25"/>
  <c r="AF447" i="25"/>
  <c r="P446" i="25"/>
  <c r="AF446" i="25" s="1"/>
  <c r="AF445" i="25"/>
  <c r="AK445" i="25" s="1"/>
  <c r="AF443" i="25"/>
  <c r="AK443" i="25" s="1"/>
  <c r="BD442" i="25"/>
  <c r="AF442" i="25"/>
  <c r="AK442" i="25" s="1"/>
  <c r="AH420" i="25"/>
  <c r="M417" i="25"/>
  <c r="AF416" i="25"/>
  <c r="AK416" i="25" s="1"/>
  <c r="AF415" i="25"/>
  <c r="AF414" i="25"/>
  <c r="BD413" i="25"/>
  <c r="AF413" i="25"/>
  <c r="AK413" i="25" s="1"/>
  <c r="AF412" i="25"/>
  <c r="U411" i="25"/>
  <c r="P411" i="25"/>
  <c r="U410" i="25"/>
  <c r="AF410" i="25" s="1"/>
  <c r="AK410" i="25" s="1"/>
  <c r="Z409" i="25"/>
  <c r="U409" i="25"/>
  <c r="P409" i="25"/>
  <c r="BD408" i="25"/>
  <c r="AF408" i="25"/>
  <c r="BD407" i="25"/>
  <c r="AF407" i="25"/>
  <c r="AK407" i="25" s="1"/>
  <c r="AF406" i="25"/>
  <c r="AF404" i="25"/>
  <c r="AK404" i="25" s="1"/>
  <c r="BD400" i="25"/>
  <c r="AF400" i="25"/>
  <c r="AK400" i="25" s="1"/>
  <c r="AF397" i="25"/>
  <c r="AK397" i="25" s="1"/>
  <c r="M397" i="25"/>
  <c r="P396" i="25"/>
  <c r="AF381" i="25"/>
  <c r="AH374" i="25"/>
  <c r="AH373" i="25"/>
  <c r="AF373" i="25"/>
  <c r="AF372" i="25"/>
  <c r="AF371" i="25"/>
  <c r="P370" i="25"/>
  <c r="AF369" i="25"/>
  <c r="AF368" i="25"/>
  <c r="AK368" i="25" s="1"/>
  <c r="AF364" i="25"/>
  <c r="AF363" i="25"/>
  <c r="P360" i="25"/>
  <c r="BD359" i="25"/>
  <c r="P359" i="25"/>
  <c r="BD358" i="25"/>
  <c r="AF357" i="25"/>
  <c r="AK357" i="25" s="1"/>
  <c r="AF355" i="25"/>
  <c r="AK355" i="25" s="1"/>
  <c r="D1261" i="25"/>
  <c r="D1267" i="25" s="1"/>
  <c r="AF349" i="25"/>
  <c r="AF348" i="25"/>
  <c r="AK348" i="25" s="1"/>
  <c r="AF336" i="25"/>
  <c r="AF335" i="25"/>
  <c r="AK335" i="25" s="1"/>
  <c r="AF334" i="25"/>
  <c r="AF333" i="25"/>
  <c r="AK333" i="25" s="1"/>
  <c r="AF330" i="25"/>
  <c r="AK330" i="25" s="1"/>
  <c r="AF329" i="25"/>
  <c r="P328" i="25"/>
  <c r="AF328" i="25" s="1"/>
  <c r="AK328" i="25" s="1"/>
  <c r="K328" i="25"/>
  <c r="K307" i="25" s="1"/>
  <c r="AF327" i="25"/>
  <c r="AK327" i="25" s="1"/>
  <c r="AF326" i="25"/>
  <c r="AK326" i="25" s="1"/>
  <c r="AF325" i="25"/>
  <c r="AK325" i="25" s="1"/>
  <c r="AF324" i="25"/>
  <c r="AK324" i="25" s="1"/>
  <c r="AF323" i="25"/>
  <c r="AO307" i="25"/>
  <c r="P322" i="25"/>
  <c r="AK322" i="25" s="1"/>
  <c r="M322" i="25"/>
  <c r="M307" i="25" s="1"/>
  <c r="D1257" i="25"/>
  <c r="AF321" i="25"/>
  <c r="AF320" i="25"/>
  <c r="AK320" i="25" s="1"/>
  <c r="BD319" i="25"/>
  <c r="BD307" i="25" s="1"/>
  <c r="AF318" i="25"/>
  <c r="AK318" i="25" s="1"/>
  <c r="AF317" i="25"/>
  <c r="AK317" i="25" s="1"/>
  <c r="AF311" i="25"/>
  <c r="AH304" i="25"/>
  <c r="AH303" i="25"/>
  <c r="AH302" i="25"/>
  <c r="AF302" i="25" s="1"/>
  <c r="AF299" i="25"/>
  <c r="K299" i="25"/>
  <c r="AF298" i="25"/>
  <c r="AK298" i="25" s="1"/>
  <c r="AF297" i="25"/>
  <c r="P296" i="25"/>
  <c r="K296" i="25"/>
  <c r="K267" i="25" s="1"/>
  <c r="AF295" i="25"/>
  <c r="AK295" i="25" s="1"/>
  <c r="AF293" i="25"/>
  <c r="AK293" i="25" s="1"/>
  <c r="AF289" i="25"/>
  <c r="AX285" i="25"/>
  <c r="AX267" i="25" s="1"/>
  <c r="AF284" i="25"/>
  <c r="AF272" i="25"/>
  <c r="AH252" i="25"/>
  <c r="AH250" i="25"/>
  <c r="AF250" i="25"/>
  <c r="AF247" i="25"/>
  <c r="AF245" i="25"/>
  <c r="M245" i="25"/>
  <c r="AF244" i="25"/>
  <c r="AK244" i="25" s="1"/>
  <c r="AF243" i="25"/>
  <c r="AK243" i="25" s="1"/>
  <c r="U242" i="25"/>
  <c r="U1276" i="25" s="1"/>
  <c r="P242" i="25"/>
  <c r="P241" i="25"/>
  <c r="M241" i="25"/>
  <c r="AF238" i="25"/>
  <c r="P237" i="25"/>
  <c r="AF237" i="25" s="1"/>
  <c r="AK237" i="25" s="1"/>
  <c r="AF236" i="25"/>
  <c r="AK236" i="25" s="1"/>
  <c r="AF235" i="25"/>
  <c r="AK235" i="25" s="1"/>
  <c r="AF234" i="25"/>
  <c r="AK234" i="25" s="1"/>
  <c r="AF233" i="25"/>
  <c r="AF232" i="25"/>
  <c r="AK232" i="25" s="1"/>
  <c r="AF231" i="25"/>
  <c r="AK231" i="25" s="1"/>
  <c r="BD228" i="25"/>
  <c r="AF226" i="25"/>
  <c r="P225" i="25"/>
  <c r="AF224" i="25"/>
  <c r="AK224" i="25" s="1"/>
  <c r="AF223" i="25"/>
  <c r="P222" i="25"/>
  <c r="AF222" i="25" s="1"/>
  <c r="AK222" i="25" s="1"/>
  <c r="AF221" i="25"/>
  <c r="AK221" i="25" s="1"/>
  <c r="P220" i="25"/>
  <c r="AF220" i="25" s="1"/>
  <c r="BD219" i="25"/>
  <c r="AF219" i="25"/>
  <c r="AK219" i="25" s="1"/>
  <c r="AD204" i="25"/>
  <c r="P204" i="25"/>
  <c r="AX201" i="25"/>
  <c r="BD193" i="25"/>
  <c r="AX191" i="25"/>
  <c r="AF188" i="25"/>
  <c r="AF185" i="25"/>
  <c r="AF179" i="25"/>
  <c r="AK179" i="25" s="1"/>
  <c r="M179" i="25"/>
  <c r="P178" i="25"/>
  <c r="AF178" i="25" s="1"/>
  <c r="AW175" i="25"/>
  <c r="AW169" i="25" s="1"/>
  <c r="AF174" i="25"/>
  <c r="AF173" i="25"/>
  <c r="AF172" i="25"/>
  <c r="AH164" i="25"/>
  <c r="AH162" i="25"/>
  <c r="AF161" i="25"/>
  <c r="AK161" i="25" s="1"/>
  <c r="AF160" i="25"/>
  <c r="AK160" i="25" s="1"/>
  <c r="AF159" i="25"/>
  <c r="AK159" i="25" s="1"/>
  <c r="AF158" i="25"/>
  <c r="AF157" i="25"/>
  <c r="P156" i="25"/>
  <c r="AF156" i="25" s="1"/>
  <c r="AK156" i="25" s="1"/>
  <c r="K156" i="25"/>
  <c r="K138" i="25" s="1"/>
  <c r="AF155" i="25"/>
  <c r="AF154" i="25"/>
  <c r="AK154" i="25" s="1"/>
  <c r="AP138" i="25"/>
  <c r="AP1247" i="25" s="1"/>
  <c r="AF153" i="25"/>
  <c r="AK153" i="25" s="1"/>
  <c r="BD152" i="25"/>
  <c r="AF151" i="25"/>
  <c r="AK151" i="25" s="1"/>
  <c r="AF150" i="25"/>
  <c r="AK150" i="25" s="1"/>
  <c r="AF149" i="25"/>
  <c r="AK149" i="25" s="1"/>
  <c r="AF148" i="25"/>
  <c r="AK148" i="25" s="1"/>
  <c r="AF147" i="25"/>
  <c r="AK147" i="25" s="1"/>
  <c r="AF146" i="25"/>
  <c r="AK146" i="25" s="1"/>
  <c r="BD145" i="25"/>
  <c r="AF145" i="25"/>
  <c r="AK145" i="25" s="1"/>
  <c r="AX143" i="25"/>
  <c r="AX138" i="25" s="1"/>
  <c r="AV139" i="25"/>
  <c r="AH134" i="25"/>
  <c r="AH133" i="25"/>
  <c r="AH132" i="25"/>
  <c r="AF132" i="25"/>
  <c r="AF131" i="25"/>
  <c r="AK131" i="25" s="1"/>
  <c r="AF130" i="25"/>
  <c r="AK130" i="25" s="1"/>
  <c r="AF129" i="25"/>
  <c r="AK129" i="25" s="1"/>
  <c r="AF128" i="25"/>
  <c r="AK128" i="25" s="1"/>
  <c r="BD127" i="25"/>
  <c r="AF126" i="25"/>
  <c r="AK126" i="25" s="1"/>
  <c r="BD125" i="25"/>
  <c r="AF125" i="25"/>
  <c r="AK125" i="25" s="1"/>
  <c r="BD124" i="25"/>
  <c r="AF123" i="25"/>
  <c r="AK123" i="25" s="1"/>
  <c r="AN107" i="25"/>
  <c r="AF113" i="25"/>
  <c r="BD112" i="25"/>
  <c r="AH101" i="25"/>
  <c r="AF97" i="25"/>
  <c r="AF96" i="25"/>
  <c r="AF95" i="25"/>
  <c r="AK95" i="25" s="1"/>
  <c r="AF94" i="25"/>
  <c r="AK94" i="25" s="1"/>
  <c r="AF93" i="25"/>
  <c r="AK93" i="25" s="1"/>
  <c r="AF92" i="25"/>
  <c r="AK92" i="25" s="1"/>
  <c r="AF91" i="25"/>
  <c r="AF90" i="25"/>
  <c r="AK90" i="25" s="1"/>
  <c r="U88" i="25"/>
  <c r="U1260" i="25" s="1"/>
  <c r="AB1260" i="25" s="1"/>
  <c r="AB1264" i="25" s="1"/>
  <c r="P88" i="25"/>
  <c r="Q88" i="25" s="1"/>
  <c r="K88" i="25"/>
  <c r="AF87" i="25"/>
  <c r="Z86" i="25"/>
  <c r="U86" i="25"/>
  <c r="P86" i="25"/>
  <c r="Q86" i="25" s="1"/>
  <c r="U85" i="25"/>
  <c r="AF84" i="25"/>
  <c r="AK84" i="25" s="1"/>
  <c r="P83" i="25"/>
  <c r="P82" i="25"/>
  <c r="K82" i="25"/>
  <c r="BD81" i="25"/>
  <c r="Q81" i="25" s="1"/>
  <c r="AF81" i="25"/>
  <c r="AK81" i="25" s="1"/>
  <c r="BD80" i="25"/>
  <c r="Z80" i="25"/>
  <c r="Z1273" i="25" s="1"/>
  <c r="P80" i="25"/>
  <c r="K80" i="25"/>
  <c r="BD79" i="25"/>
  <c r="AF77" i="25"/>
  <c r="AK77" i="25" s="1"/>
  <c r="BD75" i="25"/>
  <c r="AF72" i="25"/>
  <c r="BD71" i="25"/>
  <c r="Z62" i="25"/>
  <c r="P62" i="25"/>
  <c r="AF61" i="25"/>
  <c r="AF60" i="25"/>
  <c r="AK60" i="25" s="1"/>
  <c r="BD58" i="25"/>
  <c r="AF45" i="25"/>
  <c r="AF44" i="25"/>
  <c r="P43" i="25"/>
  <c r="Q43" i="25" s="1"/>
  <c r="M43" i="25"/>
  <c r="M7" i="25" s="1"/>
  <c r="AF42" i="25"/>
  <c r="AF41" i="25"/>
  <c r="P39" i="25"/>
  <c r="K39" i="25"/>
  <c r="K7" i="25" s="1"/>
  <c r="AF38" i="25"/>
  <c r="AK38" i="25" s="1"/>
  <c r="AF37" i="25"/>
  <c r="P36" i="25"/>
  <c r="Q36" i="25" s="1"/>
  <c r="AF33" i="25"/>
  <c r="AK33" i="25" s="1"/>
  <c r="AF32" i="25"/>
  <c r="BD31" i="25"/>
  <c r="BD7" i="25" s="1"/>
  <c r="AF30" i="25"/>
  <c r="AK30" i="25" s="1"/>
  <c r="AY29" i="25"/>
  <c r="AY7" i="25" s="1"/>
  <c r="P29" i="25"/>
  <c r="AF29" i="25" l="1"/>
  <c r="Q29" i="25"/>
  <c r="AK39" i="25"/>
  <c r="Q39" i="25"/>
  <c r="Q80" i="25"/>
  <c r="AF82" i="25"/>
  <c r="AK82" i="25" s="1"/>
  <c r="Q82" i="25"/>
  <c r="AF535" i="25"/>
  <c r="Q535" i="25"/>
  <c r="AK83" i="25"/>
  <c r="Q83" i="25"/>
  <c r="AN435" i="25"/>
  <c r="AU1272" i="25" s="1"/>
  <c r="M380" i="25"/>
  <c r="AN380" i="25"/>
  <c r="AF85" i="25"/>
  <c r="AK85" i="25" s="1"/>
  <c r="U1254" i="25"/>
  <c r="AB1254" i="25" s="1"/>
  <c r="AB1258" i="25" s="1"/>
  <c r="AK411" i="25"/>
  <c r="Z1275" i="25"/>
  <c r="AB1275" i="25" s="1"/>
  <c r="BD169" i="25"/>
  <c r="BD354" i="25"/>
  <c r="BD435" i="25"/>
  <c r="BD55" i="25"/>
  <c r="BD107" i="25"/>
  <c r="BD138" i="25"/>
  <c r="BD380" i="25"/>
  <c r="AF36" i="25"/>
  <c r="AK36" i="25"/>
  <c r="AF39" i="25"/>
  <c r="AF43" i="25"/>
  <c r="AK43" i="25"/>
  <c r="AF475" i="25"/>
  <c r="AK475" i="25"/>
  <c r="AF1090" i="25"/>
  <c r="AK1090" i="25"/>
  <c r="AF727" i="25"/>
  <c r="AK727" i="25"/>
  <c r="AF225" i="25"/>
  <c r="AK225" i="25"/>
  <c r="AF241" i="25"/>
  <c r="AK241" i="25"/>
  <c r="AF592" i="25"/>
  <c r="AK592" i="25"/>
  <c r="AF1189" i="25"/>
  <c r="AK1189" i="25"/>
  <c r="M760" i="25"/>
  <c r="B1311" i="25"/>
  <c r="B1316" i="25" s="1"/>
  <c r="B1305" i="25"/>
  <c r="B1307" i="25" s="1"/>
  <c r="AK250" i="25"/>
  <c r="AK1215" i="25"/>
  <c r="AF62" i="25"/>
  <c r="AK62" i="25" s="1"/>
  <c r="AO1247" i="25"/>
  <c r="M169" i="25"/>
  <c r="M646" i="25"/>
  <c r="AB1273" i="25"/>
  <c r="AB1276" i="25"/>
  <c r="U1284" i="25"/>
  <c r="K55" i="25"/>
  <c r="K1247" i="25" s="1"/>
  <c r="AX169" i="25"/>
  <c r="AX1247" i="25" s="1"/>
  <c r="U1290" i="25"/>
  <c r="D1254" i="25"/>
  <c r="D1253" i="25"/>
  <c r="AF80" i="25"/>
  <c r="AK80" i="25" s="1"/>
  <c r="D1255" i="25"/>
  <c r="AH1096" i="25"/>
  <c r="AF242" i="25"/>
  <c r="AK242" i="25" s="1"/>
  <c r="AF409" i="25"/>
  <c r="AK409" i="25" s="1"/>
  <c r="AF411" i="25"/>
  <c r="AF86" i="25"/>
  <c r="AK86" i="25" s="1"/>
  <c r="AF204" i="25"/>
  <c r="AK204" i="25" s="1"/>
  <c r="AF360" i="25"/>
  <c r="AK360" i="25" s="1"/>
  <c r="AF461" i="25"/>
  <c r="AF834" i="25"/>
  <c r="AF88" i="25"/>
  <c r="AK88" i="25" s="1"/>
  <c r="AF83" i="25"/>
  <c r="AF674" i="25"/>
  <c r="AF569" i="25"/>
  <c r="AH674" i="25"/>
  <c r="AF1096" i="25"/>
  <c r="AF322" i="25"/>
  <c r="AF370" i="25"/>
  <c r="AK370" i="25" s="1"/>
  <c r="AF671" i="25"/>
  <c r="AW1247" i="25"/>
  <c r="AF842" i="25"/>
  <c r="AK842" i="25" s="1"/>
  <c r="AF296" i="25"/>
  <c r="AK296" i="25" s="1"/>
  <c r="AF359" i="25"/>
  <c r="AH359" i="25"/>
  <c r="BD1248" i="25"/>
  <c r="AF585" i="25"/>
  <c r="AK585" i="25" s="1"/>
  <c r="AH710" i="25"/>
  <c r="AF710" i="25"/>
  <c r="AF721" i="25"/>
  <c r="AF749" i="25"/>
  <c r="AK749" i="25" s="1"/>
  <c r="AY1247" i="25"/>
  <c r="AF1218" i="25"/>
  <c r="AF848" i="25"/>
  <c r="AK848" i="25" s="1"/>
  <c r="AK1096" i="25" l="1"/>
  <c r="Z1284" i="25"/>
  <c r="Z1295" i="25" s="1"/>
  <c r="AB1284" i="25"/>
  <c r="BD1247" i="25"/>
  <c r="AK710" i="25"/>
  <c r="AK359" i="25"/>
  <c r="M1247" i="25"/>
  <c r="AB1290" i="25"/>
  <c r="AB1294" i="25" s="1"/>
  <c r="U1294" i="25"/>
  <c r="U1295" i="25" s="1"/>
  <c r="D1258" i="25"/>
  <c r="AH1272" i="25"/>
  <c r="AP1272" i="25"/>
  <c r="AF1249" i="25"/>
  <c r="AF163" i="25"/>
  <c r="AB1295" i="25" l="1"/>
  <c r="AB1300" i="25" s="1"/>
  <c r="AF1247" i="25"/>
  <c r="AN1247" i="25" l="1"/>
  <c r="AK376" i="25"/>
  <c r="D18" i="26"/>
</calcChain>
</file>

<file path=xl/comments1.xml><?xml version="1.0" encoding="utf-8"?>
<comments xmlns="http://schemas.openxmlformats.org/spreadsheetml/2006/main">
  <authors>
    <author>Mirtha Graciela Echeverria Valiente</author>
  </authors>
  <commentList>
    <comment ref="AK6" authorId="0" shapeId="0">
      <text>
        <r>
          <rPr>
            <b/>
            <sz val="9"/>
            <color indexed="81"/>
            <rFont val="Tahoma"/>
            <family val="2"/>
          </rPr>
          <t>Mirtha Graciela Echeverria Valiente:</t>
        </r>
        <r>
          <rPr>
            <sz val="9"/>
            <color indexed="81"/>
            <rFont val="Tahoma"/>
            <family val="2"/>
          </rPr>
          <t xml:space="preserve">
sumar mes de enero
</t>
        </r>
      </text>
    </comment>
  </commentList>
</comments>
</file>

<file path=xl/comments2.xml><?xml version="1.0" encoding="utf-8"?>
<comments xmlns="http://schemas.openxmlformats.org/spreadsheetml/2006/main">
  <authors>
    <author>Mirtha Graciela Echeverria Valiente</author>
  </authors>
  <commentList>
    <comment ref="AJ5" authorId="0" shapeId="0">
      <text>
        <r>
          <rPr>
            <b/>
            <sz val="9"/>
            <color indexed="81"/>
            <rFont val="Tahoma"/>
            <family val="2"/>
          </rPr>
          <t>Mirtha Graciela Echeverria Valiente:</t>
        </r>
        <r>
          <rPr>
            <sz val="9"/>
            <color indexed="81"/>
            <rFont val="Tahoma"/>
            <family val="2"/>
          </rPr>
          <t xml:space="preserve">
sumar mes de enero
</t>
        </r>
      </text>
    </comment>
  </commentList>
</comments>
</file>

<file path=xl/sharedStrings.xml><?xml version="1.0" encoding="utf-8"?>
<sst xmlns="http://schemas.openxmlformats.org/spreadsheetml/2006/main" count="19626" uniqueCount="2439">
  <si>
    <t xml:space="preserve"> </t>
  </si>
  <si>
    <t>99 - ALCANCE NACIONAL</t>
  </si>
  <si>
    <t>SAT</t>
  </si>
  <si>
    <t>COTEP S.A.</t>
  </si>
  <si>
    <t>HORQUETA</t>
  </si>
  <si>
    <t>COMISIÓN DIRECTIVA DE SIN TECHO PRO - VIVIENDA</t>
  </si>
  <si>
    <t xml:space="preserve">YBY YAÚ </t>
  </si>
  <si>
    <t>ASOCIACIÓN TEKOVERA</t>
  </si>
  <si>
    <t>LIC. MA. MERCEDES ENRIQUEZ</t>
  </si>
  <si>
    <t>LIC. NILSA MAGDALENA TORRES</t>
  </si>
  <si>
    <t>LIC- NILSA MAGDALENA TORRES</t>
  </si>
  <si>
    <t>PASO BARRETO</t>
  </si>
  <si>
    <t>COM. DIRECTIVA DE LOS OCUPANTES DEL PREDIO DE LA  VILLA NUEVA ESPERANZA UBICADO ENTRE LOS BARRIOS SAN ANTONIO Y SAN ROQUE</t>
  </si>
  <si>
    <t>FREDDY DIOSNEL ROLON</t>
  </si>
  <si>
    <t>COM. VECINAL DEL TERRITORIO SOCIAL MARIA AUXILIADORA - BASE V</t>
  </si>
  <si>
    <t>COMISIÓN SIN TECHO DE LA LOCALIDAD DE PEGUAJHO LOMA</t>
  </si>
  <si>
    <t>CONSULTORA NOESIS</t>
  </si>
  <si>
    <t>COMISIÓN VECINAL DEL ASENTAMIENTO MARIA AUXILIADORA BASE I</t>
  </si>
  <si>
    <t>COMISION VECINAL DE LA COLONIA NUEVA ESPERANZA</t>
  </si>
  <si>
    <t>COMISION PRO-TECHO DE YKUA PORA</t>
  </si>
  <si>
    <t>COMISION VECINAL DE LA VILLA SAN JOSE OBRERO II</t>
  </si>
  <si>
    <t>COMISION VECINAL DEL ASENTAMIENTO SAN JOSE OBRERO I</t>
  </si>
  <si>
    <t>COMISION SIN TECHO DE LA LOCALIDAD PEGUAJHO GUAZU</t>
  </si>
  <si>
    <t>COMISION DIRECTIVA DE LAS FLIAS SIN TECHO DE LA LOCALIDAD DE SAN MIGUEL KA¨AGUY´Í</t>
  </si>
  <si>
    <t>NUEVA FORTUNA III FASE</t>
  </si>
  <si>
    <t xml:space="preserve">TACUATI </t>
  </si>
  <si>
    <t>COMISIÓN VECINAL DEL ASENTAMIENTO SAN NICOLAS</t>
  </si>
  <si>
    <t>FUNDACIÓN OJETYEKA</t>
  </si>
  <si>
    <t>CAPIIBARY</t>
  </si>
  <si>
    <t xml:space="preserve">COMISIÓN VECINAL DEL ASENTAMIENTO JULIAN JARA </t>
  </si>
  <si>
    <t>CEDES / HÁBITAT</t>
  </si>
  <si>
    <t>SAN ESTANISLAO</t>
  </si>
  <si>
    <t>NUEVA GERMANIA</t>
  </si>
  <si>
    <t>COM. VECINAL DE LA COMUNIDAD DEL ASENTAM. 15 DE AGOSTO</t>
  </si>
  <si>
    <t>COMISIÓN PRO VIVIENDA DEL ASENTAMIENTO AGUERITO</t>
  </si>
  <si>
    <t>TEKOVE SERVICIO DE ACCIÓN SOCIAL</t>
  </si>
  <si>
    <t>COMISIÓN PRO CONSTRUCCIÓN DE VIVIENDA DE LA COMUNIDAD KAMBA YCUA</t>
  </si>
  <si>
    <t>SANTA ROSA DEL AGUARAY</t>
  </si>
  <si>
    <t>EN EJECUCIÓN</t>
  </si>
  <si>
    <t>COMISION DEL ASENTAMIENTO DOS DE ORO</t>
  </si>
  <si>
    <t>CONTACONSULT</t>
  </si>
  <si>
    <t>COMISION DE FOMENTO Y DESARROLLO DEL ASENTAMIENTO TACUATY POTY FASE III</t>
  </si>
  <si>
    <t>JAGUARETE FORES TORO PIRU I</t>
  </si>
  <si>
    <t>ABOG. HUMBERTO VALOIS CABRAL</t>
  </si>
  <si>
    <t>COMISION DE FOMENTO Y DESARROLLO DE ROSARIO LOMA DE LA COLONIA ANTEQUERA</t>
  </si>
  <si>
    <t>ABOG. MARIA CELIA ACOSTA</t>
  </si>
  <si>
    <t>ACG CONSULTORA INTEGRAL</t>
  </si>
  <si>
    <t>COMISION VECINAL SIN TIERRA Y SIN TECHO SAN JORGE</t>
  </si>
  <si>
    <t>ING. BLAS ANTONIO DENIS SALOMÓN</t>
  </si>
  <si>
    <t>SANTA ELENA</t>
  </si>
  <si>
    <t xml:space="preserve">TOBATI </t>
  </si>
  <si>
    <t>CAACUPE</t>
  </si>
  <si>
    <t>ATYRA</t>
  </si>
  <si>
    <t>COMSION POR UNA VIVIENDA PROPIA JUAN PABLO II</t>
  </si>
  <si>
    <t>BLAS ISMAEL VERA ESPÍNOLA</t>
  </si>
  <si>
    <t>ITACURUBI DEL ROSARIO</t>
  </si>
  <si>
    <t>COM. PRO VIV. TEKOPORA DE PUNTA DEL ESTE DE LA COMPAÑÍA 21 DE JULIO</t>
  </si>
  <si>
    <t>CONSULTORA S.G. S.R.L.</t>
  </si>
  <si>
    <t>COMISIÓN VECINAL SIN TIERRA Y SIN TECHO SAGRADA FAMILIA DEL BARRIO LOMA GUAZU DE LA CIUDAD DE CAACUPE</t>
  </si>
  <si>
    <t>COMISION VECINAL CABAÑAS POTY</t>
  </si>
  <si>
    <t>COMISION VECINAL CAACUPE POTY 2</t>
  </si>
  <si>
    <t>CESARINA BARRETO DE ENCISO</t>
  </si>
  <si>
    <t>VILLARRICA</t>
  </si>
  <si>
    <t>PASO YOBAI</t>
  </si>
  <si>
    <t>COM. DIRECTIVA DEL TERRITPRIO SOCIAL TUYUTIMI</t>
  </si>
  <si>
    <t>GLADYS ESTHER FRANCO CARDOZO</t>
  </si>
  <si>
    <t>COMISIÓN PRO VIVIENDA SAGRADA FAMILIA</t>
  </si>
  <si>
    <t>ING. SILVIO FARIÑA MARTINEZ</t>
  </si>
  <si>
    <t>COMISIÓN VECINAL PRO VIVIENDA HABITACIONAL SANTA RITA</t>
  </si>
  <si>
    <t>GUEESE</t>
  </si>
  <si>
    <t>YATAITY</t>
  </si>
  <si>
    <t>COMISION PRO VIVIENDA DE LA LOCALIDAD PLANCHADA</t>
  </si>
  <si>
    <t>CIME</t>
  </si>
  <si>
    <t>TERRITORIO SOCIAL VIRGEN DE FATIMA DE LA LOCALIDAD BARRIO SAN ISIDRO DE ESTA CIUDAD</t>
  </si>
  <si>
    <t>RAUL A. OVIEDO</t>
  </si>
  <si>
    <t>RIGOBERTO GONZALEZ</t>
  </si>
  <si>
    <t>YHU</t>
  </si>
  <si>
    <t xml:space="preserve">ABOG. VERÓNICA OJEDA </t>
  </si>
  <si>
    <t>COMISION CENTRAL DEL TERRITORIO SOCIAL NUEVA ESPERANZA I</t>
  </si>
  <si>
    <t>COMISION CENTRAL DEL TERRITORIO SOCIAL VILLA JARDIN DE LA CALLE SAN MIGUEL</t>
  </si>
  <si>
    <t>COMISIÓN DIRECTIVA DEL TERRITORIO SOCIAL SANTA LUCIA</t>
  </si>
  <si>
    <t>GLADYS ESTHER FRANCO</t>
  </si>
  <si>
    <t>TERRITORIO SOCIAL SAN JORGE</t>
  </si>
  <si>
    <t>REPATRIACIÓN</t>
  </si>
  <si>
    <t>CORONEL OVIEDO</t>
  </si>
  <si>
    <t>NUEVA TOLEDO</t>
  </si>
  <si>
    <t>SIMON BOLIVAR</t>
  </si>
  <si>
    <t>COM. INDIGENA MBYA DE Y´AKARETA 3° ETAPA</t>
  </si>
  <si>
    <t>COM. INDIGENA MBYA SANTA TERESA</t>
  </si>
  <si>
    <t>CAAGUAZÚ</t>
  </si>
  <si>
    <t>LIC. MARIA MERCEDES ENRIQUEZ</t>
  </si>
  <si>
    <t>U.S.A.G.</t>
  </si>
  <si>
    <t>ASOCIACIÓN DE TRABAJADORES DE MEDIOS DE COMUNICACIÓN - ATRAMECO</t>
  </si>
  <si>
    <t>TERRITORIO SOCIAL VILLA ESMERALDA</t>
  </si>
  <si>
    <t>COMISIÓN CENTRAL DEL TERRITORIO SOCIAL SANTA ISABEL</t>
  </si>
  <si>
    <t>COMISIÓN CENTRAL DEL TERRITORIO SOCIAL NUEVA ESPERANZA II</t>
  </si>
  <si>
    <t>COMISIÓN TERRITORIO SOCIAL LA FORTUNA II</t>
  </si>
  <si>
    <t>SARAH MARIA FERREIRO VELÁZQUEZ</t>
  </si>
  <si>
    <t>TERRITORIO SOCIAL 31 DE JULIO</t>
  </si>
  <si>
    <t>COMUNIDAD INDIGENA PUNTA PORA</t>
  </si>
  <si>
    <t xml:space="preserve">JUAN MANUEL FRUTOS </t>
  </si>
  <si>
    <r>
      <t xml:space="preserve">COMISION VECINAL SIN TECHO LA CANDELARIA </t>
    </r>
    <r>
      <rPr>
        <b/>
        <sz val="8"/>
        <color indexed="8"/>
        <rFont val="Calibri"/>
        <family val="2"/>
      </rPr>
      <t xml:space="preserve"> </t>
    </r>
  </si>
  <si>
    <t>ARQ. MIGUEL ANGEL PATIÑO CHÁVEZ</t>
  </si>
  <si>
    <t>CECILIO BAEZ</t>
  </si>
  <si>
    <t>COMISION CENTRAL DEL TERRITORIO SOCIAL 8 DE DICIEMBRE</t>
  </si>
  <si>
    <t>JOSE MARIA VILLALBA BARRETO</t>
  </si>
  <si>
    <t>COMISION CONSEJO DE DESARROLLO COMUNITARIO - ASENTAMIENTO SANTIAGO LUIS FRANCO</t>
  </si>
  <si>
    <t xml:space="preserve">COMISION VECINAL DE LA COLONIA Dr. BLAS GARAY </t>
  </si>
  <si>
    <t>COMISION DIRECTIVA DEL TERRITORIO SOCIAL SAN RAFAEL</t>
  </si>
  <si>
    <t>GLADYS ESTER FRANCO CARDOZO</t>
  </si>
  <si>
    <t>COMISION DIRECTIVA DEL TERRITORIO SOCIAL SOL NACIENTE I</t>
  </si>
  <si>
    <r>
      <t>ASOCIACION MULTISECTORIAL PARA EL DESARROLLO INTEGRAL COMUNITARIO DE LA LOCALIDAD DE YUQUYTY (AMUDIC)</t>
    </r>
    <r>
      <rPr>
        <sz val="9"/>
        <color indexed="8"/>
        <rFont val="Calibri"/>
        <family val="2"/>
      </rPr>
      <t>,</t>
    </r>
  </si>
  <si>
    <t xml:space="preserve">COEMPRO </t>
  </si>
  <si>
    <t>COMUNIDAD INDIGENA MBYA APYTERE DE LA COLONIA YVYRY VATE</t>
  </si>
  <si>
    <t>LA GLORIA II - 1era ETAPA</t>
  </si>
  <si>
    <t>SOL NACIENTE</t>
  </si>
  <si>
    <t>LA GLORIA I</t>
  </si>
  <si>
    <t>TERRITORIO SOCIAL VILLA ELSA</t>
  </si>
  <si>
    <t>COMIS. PRO. VIVIENDA DE LA PALOMA I DE LA 2da LINEA IRRAZABAL NORTE</t>
  </si>
  <si>
    <t>CODES</t>
  </si>
  <si>
    <t xml:space="preserve">ABAI </t>
  </si>
  <si>
    <t>COMUNIDAD INDIGENA MBYA GUARANÍ YTU</t>
  </si>
  <si>
    <t>ALTO FORREST PARAGUAY</t>
  </si>
  <si>
    <t>YUTY</t>
  </si>
  <si>
    <t>COMISIÓN ASENTAMIENTO 11 DE MAYO</t>
  </si>
  <si>
    <t>COMISIÓN VECINAL SIN TIERRA SANTA TERESA</t>
  </si>
  <si>
    <t>ABAI</t>
  </si>
  <si>
    <t>COMISION VECINAL DEL ASENTAMIENTO "LA UNION SANJUANINA"</t>
  </si>
  <si>
    <t>COMISION DE FOMENTO Y DESARROLLO DEL ASENTAMIENTO SAN ANTONIO</t>
  </si>
  <si>
    <t>3 DE MAYO</t>
  </si>
  <si>
    <t>COMISION DE FOMENTO Y DESARROLLO DEL ASENTAMIENTO 8 DE DICIEMBRE</t>
  </si>
  <si>
    <t>COMISION DE FOMENTO Y DESARROLLO DEL ASENTAMIENTO SAN MIGUEL</t>
  </si>
  <si>
    <t>BUENA VISTA</t>
  </si>
  <si>
    <t>COMISION DE FOMENTO Y DESARROLLO DE LA LOCALIDAD DE ASENTAMIENTO - SAN ISIDRO</t>
  </si>
  <si>
    <t>COMISION VECINAL DEL BARRIO SAN JOSE OBRERO</t>
  </si>
  <si>
    <t>COMISION DE FOMENTO Y DESARROLLO DE LA COLONIA DE KAVAJU KANGUE</t>
  </si>
  <si>
    <t>COMUNIDAD INDIGENA MBYA GUARANI ÑU APU´A</t>
  </si>
  <si>
    <t>COMISION DE FOMENTO Y DESARROLLO DEL ASENTAMIENTO SANTA RITA</t>
  </si>
  <si>
    <t>COMISION VECINAL DE FOMENTO Y DESARROLLO ASENTAMIENTO 1° DE MARZO</t>
  </si>
  <si>
    <t>TAVA-I</t>
  </si>
  <si>
    <t>COMISIÓN ÑANDE ROGARA REKAVO</t>
  </si>
  <si>
    <t>TOMAS ROMERO PEREIRA</t>
  </si>
  <si>
    <t>COMISIÓN VECINAL ASENTAMIENTO BEATO ROQUE GONZALEZ DE SANTA CRUZ</t>
  </si>
  <si>
    <t>SAN PEDRO DEL PARANÁ</t>
  </si>
  <si>
    <t>COMISIÓN VECINAL DEL ASENTAMIENTO 8 DE DICIEMBRE</t>
  </si>
  <si>
    <t>COMISIÓN AD-HOC PRO VIVENDA DEL BARRIO SAN BLAS DEL DISTRITO DE TOMAS ROMERO PEREIRA</t>
  </si>
  <si>
    <t>ABOG. VERÓNICA OJEDA</t>
  </si>
  <si>
    <t>CORONEL BOGADO</t>
  </si>
  <si>
    <t>COMISION VECINAL DEL ASENTAMIENTO SAN RAMON</t>
  </si>
  <si>
    <t>ABOG. CRISTIAN TURRINI AYALA</t>
  </si>
  <si>
    <t>SANTA ROSA</t>
  </si>
  <si>
    <t>SAN PATRICIO</t>
  </si>
  <si>
    <t>COM. GRUPO HABITACIONAL SANTA ROSA DE LIMA N° 1 Y N° 3</t>
  </si>
  <si>
    <t>COMISIÓN CRISTO REY DE PANCHITO LÓPEZ</t>
  </si>
  <si>
    <t>YABEBYRY</t>
  </si>
  <si>
    <t>COMISION FRANCISCO SOLANO LOPEZ</t>
  </si>
  <si>
    <t>COMISION DE MADRES UNIDAS SAN BLAS</t>
  </si>
  <si>
    <t>EQUIPO TECNICO RC</t>
  </si>
  <si>
    <t>COMISIÓN DIRECTIVA DEL ASENTAMIENTO 1° DE MAYO</t>
  </si>
  <si>
    <t>YAGUARÓN</t>
  </si>
  <si>
    <t>COMISIÓN DE FOMENTO Y DESARROLLO DEL ASENTAMIENTO SAN JUAN</t>
  </si>
  <si>
    <t>MBUYAPEY</t>
  </si>
  <si>
    <t>DIOSNEL MIRANDA ROLÓN</t>
  </si>
  <si>
    <t>YBYCUI</t>
  </si>
  <si>
    <t>COMISIÓN DE FOM Y DESARR. DEL ASENTAMIENTO SAN ISIDRO - KAAGUY POTY</t>
  </si>
  <si>
    <t>WILLAM PABLO STEWART BONZI</t>
  </si>
  <si>
    <t>COMISION PRO VECINAL MONDAY SUR</t>
  </si>
  <si>
    <r>
      <t>COMUNIDAD INDIGENA AVA GUARANI INDEPENDIENTE AKARAY MI</t>
    </r>
    <r>
      <rPr>
        <sz val="8"/>
        <color indexed="8"/>
        <rFont val="Calibri"/>
        <family val="2"/>
      </rPr>
      <t xml:space="preserve">”, </t>
    </r>
  </si>
  <si>
    <t xml:space="preserve"> CODES</t>
  </si>
  <si>
    <t>CIUDAD DEL ESTE</t>
  </si>
  <si>
    <t>EMPRENDIMIENTOS INMOBILIARIOS</t>
  </si>
  <si>
    <t>ENRIQUE JAVIER AYALA</t>
  </si>
  <si>
    <t xml:space="preserve">COMUNIDAD INDIGENA AVA GUARANI DE PASO CADENA </t>
  </si>
  <si>
    <t>ITAKYRY</t>
  </si>
  <si>
    <t>ASOCIACIÓN PARA EL DESARROLLO VECINAL (A.D.V.)</t>
  </si>
  <si>
    <t>COMISIÓN VECINAL DE LA COLONIA TEMBIAPORA</t>
  </si>
  <si>
    <t>COMUNIDAD INDIGENA KIRITO NUEVO</t>
  </si>
  <si>
    <t>MBARACAYU</t>
  </si>
  <si>
    <t>COMUNIDAD INDIGENA AVA GUARANI MARISCAL LOPEZ</t>
  </si>
  <si>
    <t>COMUNIDAD Y DESARROLLO PUERTO BARRA TAPY</t>
  </si>
  <si>
    <t>NARANJAL</t>
  </si>
  <si>
    <t>COMUNIDAD INDIGENA URUKU POTY</t>
  </si>
  <si>
    <t>COMUNIDAD INDIGENA TEKOHA PY´AHU CARREIRA I</t>
  </si>
  <si>
    <t>COMUNIDAD INDIGENA KA'AGUY YVATE</t>
  </si>
  <si>
    <t>COMISION DE FOMENTO DE LA COLONIA NUEVA FORTUNA - 2DA. LINEA</t>
  </si>
  <si>
    <t>HERNANDARIAS</t>
  </si>
  <si>
    <t>YPACARAI</t>
  </si>
  <si>
    <t>COM. VEC. PRO VIVIENDA BUSCANDO PROGRESO</t>
  </si>
  <si>
    <t>ITAUGUA</t>
  </si>
  <si>
    <t>TAPYI MARANGATU ASENTAMIENTO RODRIGUEZ DE FRANCIA</t>
  </si>
  <si>
    <t>FUNDACION OJHETYPEKA</t>
  </si>
  <si>
    <t>ARQUIDEC S.R.L.</t>
  </si>
  <si>
    <t xml:space="preserve">ITA </t>
  </si>
  <si>
    <t>COMISIÓN VECINAL PRO-VIVIENDA - VIVIENDA VECINOS UNIDOS</t>
  </si>
  <si>
    <t xml:space="preserve">SAN ANTONIO </t>
  </si>
  <si>
    <t>COM. VEC. DE FOMENTO EBENECER DEL ASENTAMIENTO EBENECER DE LA CIA. CAACUPEMI</t>
  </si>
  <si>
    <t>FUNDACIÓN SOR MARIA MIRTHA PAREDES</t>
  </si>
  <si>
    <t>LUQUE</t>
  </si>
  <si>
    <t>DIANA RAQUEL ARECO VERA</t>
  </si>
  <si>
    <t>ÑEMBY</t>
  </si>
  <si>
    <t>ARQ. REBECA ZELAYA GONZALEZ</t>
  </si>
  <si>
    <t>COMISION VECINAL ASENTAMIENTO DIVINO NIÑO JESUS II</t>
  </si>
  <si>
    <t>ARQ. REBECA ZELAYA</t>
  </si>
  <si>
    <t>LIMPIO</t>
  </si>
  <si>
    <t>COMISION VECINAL DEL ASENTAMIENTO EL PEÑON</t>
  </si>
  <si>
    <t>ITA</t>
  </si>
  <si>
    <t>COMISIÓN VECINAL DEL ASENTAMIENTO SAN RAFAEL II</t>
  </si>
  <si>
    <t>SAN LORENZO</t>
  </si>
  <si>
    <t>SAN ANTONIO</t>
  </si>
  <si>
    <t>COM. VEC. SOL NACIENTE 2</t>
  </si>
  <si>
    <t>PARAGUA´Y JOAJU</t>
  </si>
  <si>
    <t>VILLETA</t>
  </si>
  <si>
    <t>COM. DE FOMENTO URBANO TERRITORIO SOCIAL EL MANGAL B° TOLEDO CAÑADA CIA.11</t>
  </si>
  <si>
    <t>COM. DE FOMENTO RENACER III DEL HÁBITAT SOCIAL RENACER III</t>
  </si>
  <si>
    <t>C.P. MYRIAN DIANA SOSA</t>
  </si>
  <si>
    <t>FUNDACIÓN FAMILIA DE NAZARETH</t>
  </si>
  <si>
    <t>YPANÉ</t>
  </si>
  <si>
    <t>COM. VECINAL LA FAMILIA DEL BARRIO CORUMBA CUE</t>
  </si>
  <si>
    <t>COMISIÓN VECINAL 8 DE DICIEMBRE DEL BARRIO UNIVERSO</t>
  </si>
  <si>
    <t>COMISIÓN VECINAL TERRITORIO SOCIAL SAN MIGUEL</t>
  </si>
  <si>
    <t xml:space="preserve"> DIANA RAQUEL ARECO VERA</t>
  </si>
  <si>
    <t>COMISIÓN VECINAL DEL ASENTAMIENTO SALADITO RINCON I</t>
  </si>
  <si>
    <t>ECON. AMANDA LEDEZMA VDA. DE REISINGER</t>
  </si>
  <si>
    <t xml:space="preserve">LIMPIO </t>
  </si>
  <si>
    <t>COMISIÓN VECINAL ASENTAMIENTO OÑONDIVEPA</t>
  </si>
  <si>
    <t>COMISIÓN VECINAL TERRITORIO SOCIAL PASO MEDIN</t>
  </si>
  <si>
    <t xml:space="preserve">VILLA ELISA </t>
  </si>
  <si>
    <t>DIRECTIVA DE LA COMISIÓN VECINAL SAN VALENTÍN (DESC. ASPECTO SOCIAL GS. 12.310.626)</t>
  </si>
  <si>
    <t>COMISION VECINAL SAGRADO CORAZON DE JESUS</t>
  </si>
  <si>
    <t>LIC RUBIRA</t>
  </si>
  <si>
    <t>COMISIÓN VECINAL PORVENIR I</t>
  </si>
  <si>
    <t>COMISIÓN VECINAL DE FOMENTO 12 DE DICIEMBRE</t>
  </si>
  <si>
    <t>COMISIÓN DE FOMENTO URBANO SUEÑO Y ESPERANZA</t>
  </si>
  <si>
    <t>COMISIÓN VECINAL VILLA POLICIAL</t>
  </si>
  <si>
    <t>GUSTAVO MEZA RIVET</t>
  </si>
  <si>
    <t>COMISIÓN VECINAL GUILLERMINA DURE</t>
  </si>
  <si>
    <t>COMISIÓN VECINAL DEL ASENTAMIENTO TAPYIRÁ</t>
  </si>
  <si>
    <t>MAPA INMOBILIARIA S.A.</t>
  </si>
  <si>
    <t>COMISIÓN VECINAL DE FOMENTO TERRITORIO SOCIAL 2 DE NOVIEMBRE</t>
  </si>
  <si>
    <t>COMISIÓN DE FOMENTO URBANO SAN PEDRO</t>
  </si>
  <si>
    <t>COMISION VECINAL DE ACCION MULTIPLE ASENTAMIENTO SAN ROQUE</t>
  </si>
  <si>
    <t>COMISION VECINAL PRO-VIVIENDA VILLA SAN MARCOS</t>
  </si>
  <si>
    <t>COMISION VECINAL DE FOMENTO 06 DE ABRIL</t>
  </si>
  <si>
    <t>COMISION VECINAL DEL ASENTAMIENTO TAPYIRA</t>
  </si>
  <si>
    <t>COMISION VECNAL ASOCIACION DE VECINOS DEL ASENTAMIENTO SAN JOSE</t>
  </si>
  <si>
    <t>COMISION DE FOMENTO URBANO ARASATY</t>
  </si>
  <si>
    <t>COMISION VECINAL ASENTAMIENTO EL BOSQUE RESTAURADOR I</t>
  </si>
  <si>
    <t>COMISION VECINAL FORTALEZA</t>
  </si>
  <si>
    <t>COMISION VECINAL EL PORTAL</t>
  </si>
  <si>
    <t>COMISION VECINAL ESPIRITU SANTO</t>
  </si>
  <si>
    <t xml:space="preserve">ARQ. REBECA ZELAYA GONZALEZ </t>
  </si>
  <si>
    <t>COMISION VECINAL LA CONQUISTA SECTOR MUNICIPAL DEL BARRIO LA LOMITA</t>
  </si>
  <si>
    <t>COMISIÓN DE FOMENTO URBANO ASENTAMIENTO DON ANTONIO 2° ETAPA</t>
  </si>
  <si>
    <t>COMISION DE FOMENTO URBANO ASENTAMIENTO EL TRIUNFAL B° SAN ANTONIO - Cñia 9 ROJAS CAÑADA</t>
  </si>
  <si>
    <t>COMISION VECINAL DEL ASENTAMIENTO 8 DE OCTUBRE</t>
  </si>
  <si>
    <t>HABITAT PARA LA HUMANIDAD</t>
  </si>
  <si>
    <t xml:space="preserve">COMISION VECINAL SOL NACIENTE I </t>
  </si>
  <si>
    <t>COMISION VECINAL SOL NACIENTE II</t>
  </si>
  <si>
    <t xml:space="preserve">COMISION DE FOMENTO URBANO ASENTAMIENTO TIERRA PROMETIDA </t>
  </si>
  <si>
    <t>COMISION VECINAL DE FOMENTO SAN CAYETANO</t>
  </si>
  <si>
    <t>COMISION VECINAL DE FOMENTO RENACER III</t>
  </si>
  <si>
    <t>COMISION VECINAL DE FOMENTO ÑANDE ROGARA</t>
  </si>
  <si>
    <t>AREGUÁ</t>
  </si>
  <si>
    <t>COMISION VECINAL KO´E PYAHU</t>
  </si>
  <si>
    <t>LAMBARÉ</t>
  </si>
  <si>
    <t>COMISION VECINAL DEL ASENTAMIENTO NUEVO HORIZONTE II</t>
  </si>
  <si>
    <t>COMISION VECINAL DE FOMENTO TERRITORIO SOCIAL LA PIEDAD</t>
  </si>
  <si>
    <t xml:space="preserve">COMISION VECINAL DE FOMENTO ARA PYAHU 1° </t>
  </si>
  <si>
    <t>COMISION VECINAL DE FOMENTO POR UNA SONRISA</t>
  </si>
  <si>
    <t>CONSULTORIA DE ASISTENCIA TECNICA MULTIDISCIPLINARIA - CONATEM</t>
  </si>
  <si>
    <t>COMISION VECINAL DE FOMENTO INDEPENDENCIA I</t>
  </si>
  <si>
    <t>REBECA ZELAYA GONZALEZ</t>
  </si>
  <si>
    <t xml:space="preserve">COMISION VECINAL ASENTAMIENTO EL PROGRESO </t>
  </si>
  <si>
    <t>COMISION VECINAL SAGRADA FAMILIA</t>
  </si>
  <si>
    <t>ARQ.- REBECA ZELAYA GONZALEZ</t>
  </si>
  <si>
    <t>COMISION VECINAL TERRITORIO SOCIAL 11 DE SETIEMBRE</t>
  </si>
  <si>
    <t>COMISION VECINAL DE FOMENTO ARA PYAHU II</t>
  </si>
  <si>
    <t>ASOCIACION DE VECINOS VILLA SAN FRANCISCO GHA</t>
  </si>
  <si>
    <t>ASENTAMIENTO SAN FRANCISCO</t>
  </si>
  <si>
    <t>ELBA FIGUEREDO</t>
  </si>
  <si>
    <t>CAPIATÁ</t>
  </si>
  <si>
    <t>COMUNIDAD INDIGENA PINDO ETNIA GUARANÍ</t>
  </si>
  <si>
    <t>COM. HABITACIONAL CHE ROGARÁ MI DE YASY CAÑY</t>
  </si>
  <si>
    <t xml:space="preserve">COMUNIDAD INDIGENA AVA GUARANI DE LA COLONIA FORTUNA </t>
  </si>
  <si>
    <t>CURUGUATY</t>
  </si>
  <si>
    <t>COMISION VECINAL 8 DE DICIEMBRE DEL KM 5</t>
  </si>
  <si>
    <t>COMUNIDAD INDIGENA ARROYO PORA</t>
  </si>
  <si>
    <t>OSCAR FELIPE BARBOZA</t>
  </si>
  <si>
    <t>YBYRAROBANA</t>
  </si>
  <si>
    <t xml:space="preserve">COMUNIDAD INDIGENA AVA CHIRIPA DE CERRO CAMPI </t>
  </si>
  <si>
    <t>COMUNIDAD INDIGENA CHUPA POU</t>
  </si>
  <si>
    <t>VILLA YGATYMI</t>
  </si>
  <si>
    <t>COMUNIDAD INDIGENA ARROYO BANDERA</t>
  </si>
  <si>
    <t>COMUNIDAD INDIGENA FISTCHAT - SAN LEONARDO</t>
  </si>
  <si>
    <t>COMUNIDAD INDIGENA NICH´A TOYISH</t>
  </si>
  <si>
    <t>TTE 1º MANUEL IRALA FERNANDEZ</t>
  </si>
  <si>
    <t>COMUNIDAD INDIGENA CONAMOTOLOLAG</t>
  </si>
  <si>
    <t>COMUNIDAD INDIGENA ANGAITE NEPOXEN</t>
  </si>
  <si>
    <t>PUERTO PINASCO</t>
  </si>
  <si>
    <t>COMUNIDAD INDIGENA COLONIA ARMONIA</t>
  </si>
  <si>
    <t>COMISION VECINAL SIN TECHO NUEVA ESPERANZA</t>
  </si>
  <si>
    <t>COMUNIDAD INDIGENA PRIMAVERA - LA HERENCIA</t>
  </si>
  <si>
    <t>IMARVEST S.R.L.</t>
  </si>
  <si>
    <t>COMUNIDAD INDIGENA ENGLET YAN´YKYAHA - ESPINILLO</t>
  </si>
  <si>
    <t>COMUNIDAD INDIGENA TOBA QOM SAN FRANCISCO DE ASIS</t>
  </si>
  <si>
    <t>COMUNIDAD INDIGENA CAMPO ALEGRE</t>
  </si>
  <si>
    <t>MCAL. ESTIGARRIBIA</t>
  </si>
  <si>
    <t>COMUNIDAD INDIGENA " CAMPO ALEGRE"</t>
  </si>
  <si>
    <t xml:space="preserve">COMUNIDAD INDIGENA CASUARINA </t>
  </si>
  <si>
    <t>COMUNIDAD INDIGENA NIVACLE UNIDA YALVE SANGA</t>
  </si>
  <si>
    <t>COMUNIDAD INDIGENA GUARANI GUARAYO SANTA TERESITA</t>
  </si>
  <si>
    <t>ARQUITECTONICA S.R.L.</t>
  </si>
  <si>
    <t>COMUNIDAD INDIGENA YACACUASH</t>
  </si>
  <si>
    <t>COMUNIDAD INDIGENA EMAUS DE LAGUNA NEGRA</t>
  </si>
  <si>
    <t>COMUNIDAD INDIGENA MASKOY BOQUERON CUE</t>
  </si>
  <si>
    <t>PANAMERICANA EMPRENDIMIENTOS S.A.</t>
  </si>
  <si>
    <t>PUERTO CASADO</t>
  </si>
  <si>
    <t>LA VICTORIA</t>
  </si>
  <si>
    <t xml:space="preserve">MASKOY RECOPORAVERA </t>
  </si>
  <si>
    <t>COMPRA DE VIVIENDA</t>
  </si>
  <si>
    <t>ALCANCE NACIONAL</t>
  </si>
  <si>
    <t>ADRIANO MARTINEZ</t>
  </si>
  <si>
    <t>MARIA ESTER RUIZ DIAZ MEDINA</t>
  </si>
  <si>
    <t>LOURDES BEATRIZ BRANDELL</t>
  </si>
  <si>
    <t>MIRIAN LETICIA OSORIO PAIVA</t>
  </si>
  <si>
    <t>NESTOR ZARATE LOVERA</t>
  </si>
  <si>
    <t>DARIO SANTOS PEREIRA</t>
  </si>
  <si>
    <t>LILIAN BEATRIZ GONZALEZ LOPEZ</t>
  </si>
  <si>
    <t>LILIAN DOLORES SERVIN GOMEZ</t>
  </si>
  <si>
    <t>SARA MARCIONILIO MARQUES</t>
  </si>
  <si>
    <t>VENUS MARIA CAÑETE AYALA</t>
  </si>
  <si>
    <t>KAREN LILIANA JASINSKI MOSTEIRO</t>
  </si>
  <si>
    <t>NATALIA CAROLINA GONZALEZ CABRERA</t>
  </si>
  <si>
    <t>ADELAIDA OLMEDO MENDOZA</t>
  </si>
  <si>
    <t>GLORIA CARMEN ESPINOLA CRISTALDO</t>
  </si>
  <si>
    <t>DERLIS FRANCISCO RUIZ DIAZ VILLAMAYOR</t>
  </si>
  <si>
    <t>GLADYS VIDALINA MOREL DE BAEZ</t>
  </si>
  <si>
    <t>PATRICIA SOLEDAD ROMERO DE MARTINEZ</t>
  </si>
  <si>
    <t>ELENA ZARATE</t>
  </si>
  <si>
    <t>ENRIQUE ALBERTO VAZQUEZ ORREGO</t>
  </si>
  <si>
    <t>FREDY GUSTAVO FRUTOS ACOSTA</t>
  </si>
  <si>
    <t>MARIA ELENA BAEZ</t>
  </si>
  <si>
    <t>CIRA NOELIA LUGO AVILA</t>
  </si>
  <si>
    <t>GUSTAVO JAVIER FERREIRA GONZALEZ</t>
  </si>
  <si>
    <t>FIDELINA OCAMPOS RISSI</t>
  </si>
  <si>
    <t>MARIA REGINA DUARTE GONZALEZ</t>
  </si>
  <si>
    <t>CARMEN VANESSA ORTELLADO GONZALEZ</t>
  </si>
  <si>
    <t>GLADYS TERESITA OLIVERA ROJAS</t>
  </si>
  <si>
    <t>IRMA GONZALEZ VDA. DE ROMAN</t>
  </si>
  <si>
    <t>SILVIA ELIZABETH ROMERO MONGES</t>
  </si>
  <si>
    <t>SILVIA VANESA SAMUDIO MONGES</t>
  </si>
  <si>
    <t>ALCIRA FERNANDA VELAZQUEZ FLORES</t>
  </si>
  <si>
    <t>NIDIA NURIS MAR VILLALBA</t>
  </si>
  <si>
    <t>BERNARDINA ROLON GAETTE</t>
  </si>
  <si>
    <t>ARSENIO BENITEZ CARDOZO</t>
  </si>
  <si>
    <t>HERMES VERGARA NUÑEZ</t>
  </si>
  <si>
    <t>MIRTHA ELIZABETH ARGUELLO SEGOVIA</t>
  </si>
  <si>
    <t>MIGUEL ELEUTERIO SELLITTI GODOY</t>
  </si>
  <si>
    <t>MARGARITA LOPEZ RIOS</t>
  </si>
  <si>
    <t>CARLA LORENA ALONSO AVEIRO</t>
  </si>
  <si>
    <t>DAVID FAUSTINO DURE DUARTE</t>
  </si>
  <si>
    <t>ARMINDA BEATRIZ VELAZQUEZ DE FERNANDEZ</t>
  </si>
  <si>
    <t>FELIPE GARCETE VAZQUEZ</t>
  </si>
  <si>
    <t>ALICIA ELIZABETH RISO AGUAYO</t>
  </si>
  <si>
    <t>VICTOR JAVIER VERA RAMOS</t>
  </si>
  <si>
    <t>FELIPA ROJAS IRIARTE</t>
  </si>
  <si>
    <t>JULIA BEATRIZ TORRES</t>
  </si>
  <si>
    <t>CESAR NICOLAS DUARTE NUÑEZ</t>
  </si>
  <si>
    <t>JORGE MIGUEL VILLALBA FERREIRA</t>
  </si>
  <si>
    <t>JACINTA PEÑA ROTELA</t>
  </si>
  <si>
    <t>ANA GARAY MARECOS</t>
  </si>
  <si>
    <t>AMILCAR FABIAN ROMERO CABRERA</t>
  </si>
  <si>
    <t>PATRICIA CAROLINA TORALES ALMADA</t>
  </si>
  <si>
    <t>LIZZE GISELL FLORES ORTIGOZA</t>
  </si>
  <si>
    <t>LUCIANA DURE BENEGAS</t>
  </si>
  <si>
    <t>SILVINA RAMOS</t>
  </si>
  <si>
    <t>HADA DORIGGONI MARTINEZ</t>
  </si>
  <si>
    <t>CRISTINA ELIZABETH BAEZ GOMEZ</t>
  </si>
  <si>
    <t xml:space="preserve">MARIANA CABRAL DE ROMERO </t>
  </si>
  <si>
    <t>PEDROLINA ENCISO DE CACERES</t>
  </si>
  <si>
    <t>WILMA SILVERIA CABALLERO</t>
  </si>
  <si>
    <t>GERARDO SANCHEZ ARANDA</t>
  </si>
  <si>
    <t>RAMON ACOSTA MEDINA</t>
  </si>
  <si>
    <t>PEDRO RUBEN GONZALEZ SILVA</t>
  </si>
  <si>
    <t xml:space="preserve">MANUEL PEÑA YUNIS </t>
  </si>
  <si>
    <t>ALCIDES MANUEL ALBARIÑO LEGUIZAMON</t>
  </si>
  <si>
    <t>REINALDO DAVID FERREIRA REYES</t>
  </si>
  <si>
    <t>EDIFICACION EN LOTE PROPIO</t>
  </si>
  <si>
    <t>EN PROCESO</t>
  </si>
  <si>
    <t>CELSA ELIZABETH DURE COLMAN</t>
  </si>
  <si>
    <t>ESMILCE RAQUEL FRANCO COLMAN</t>
  </si>
  <si>
    <t>MIGUELINA MAIDANA VALDEZ</t>
  </si>
  <si>
    <t>JOSE DOLORES ALVAREZ INSFRAN y SINDIA LORENA CABALLERO LOPEZ</t>
  </si>
  <si>
    <t>ARMINDA CORONEL RECALDE</t>
  </si>
  <si>
    <t>RICARDO RAMON PASTOR MOLINA y OLGA ELIZABETH BRUNAGA ALVARENGA</t>
  </si>
  <si>
    <t>VILMA ESTELA AMARILLA VERA</t>
  </si>
  <si>
    <t>PRISCILO GONZALEZ</t>
  </si>
  <si>
    <t>RAUL SECUNDINO COBO ROMAN y CLAUDIA ELIZABETH AQUINO RODA</t>
  </si>
  <si>
    <t>PEDRO ANASTACIIO BARIJOH OLMEDO y FELICIA IRIS PESOA DE BARIJOH</t>
  </si>
  <si>
    <t>TEODOLINA LOPEZ</t>
  </si>
  <si>
    <t xml:space="preserve">PAULINA CORONEL FLORES </t>
  </si>
  <si>
    <t>CARMEN MARIA AUXILIADORA IBARROLA GONZALEZ</t>
  </si>
  <si>
    <t>MIRTA LILIAN BENITEZ GODOY</t>
  </si>
  <si>
    <t>JUANA RIOS ROJAS</t>
  </si>
  <si>
    <t>SONIA MARICEL CRISTALDO MARECO</t>
  </si>
  <si>
    <t>COMPRA DE VIVIENDAS PARA DISCAPACITADOS</t>
  </si>
  <si>
    <t>OSVALDO DANIEL SANCHEZ</t>
  </si>
  <si>
    <t>MARIA ANTONIA GIMENEZ ZORRILLA</t>
  </si>
  <si>
    <t xml:space="preserve">MARCIANA LOPEZ </t>
  </si>
  <si>
    <t xml:space="preserve">SUSANA ISABEL ORONA GARCETE </t>
  </si>
  <si>
    <t>NIDIA MABEL AVALOS</t>
  </si>
  <si>
    <t xml:space="preserve">SALVADORA GÓMEZ AVEIRO </t>
  </si>
  <si>
    <t xml:space="preserve">DOLORES RAMIREZ BOBADILLA </t>
  </si>
  <si>
    <t xml:space="preserve">MYRIAM ESTELA VILLORDO </t>
  </si>
  <si>
    <t xml:space="preserve">SANDRA ELIZABET DUARTE BARUA </t>
  </si>
  <si>
    <t>CLAUDIA MARIELA CASURIAGA DOMINGUEZ</t>
  </si>
  <si>
    <t xml:space="preserve">AURELIANA BOGADO VDA. DE GONZÁLEZ </t>
  </si>
  <si>
    <t>GILBERTO SANCHEZ AMARILLA Y MARIA ELVA SANCHEZ DE SANCHEZ</t>
  </si>
  <si>
    <t>ALFREDO REINALDO RIVALDI PARRA</t>
  </si>
  <si>
    <t>FIDELINA DURE DE MEDINA Y ALCIDES MEDINA</t>
  </si>
  <si>
    <t>RUMILDA GARCIA CORONE</t>
  </si>
  <si>
    <t>NINFA IBAÑEZ BURGOS</t>
  </si>
  <si>
    <t>ALICIA RAMONA VILLAMAYOR ZARATE</t>
  </si>
  <si>
    <t>FLORIA ILUSION GALEANO MARIN</t>
  </si>
  <si>
    <t>GUSTAVO ADOLFO DUARTE MARTINEZ Y LIDIA KATHERINE BENITEZ MORENO</t>
  </si>
  <si>
    <t>ANTONIA ISABEL GONZALEZ BAEZ</t>
  </si>
  <si>
    <t>DOMINGA ELIANA BARRETO OJEDA</t>
  </si>
  <si>
    <t>LILIANA CENTURION</t>
  </si>
  <si>
    <t>MARIO CELSO ACOSTA</t>
  </si>
  <si>
    <t>LIZ ADELA DEL PILAR FRANCO LEZCANO Y ROBERTO GERONIMO TORRADO GARAY</t>
  </si>
  <si>
    <t>TOMASA BEATRIZ DIAZ DE BRITEZ Y MIGUEL ANGEL BRITEZ ARGUELLO</t>
  </si>
  <si>
    <t>ESTEBAN RENE PIRO ADORNO</t>
  </si>
  <si>
    <t>GABRIELA NARCISA DUARTE</t>
  </si>
  <si>
    <t>LORENZO PASCUAL SABUBBI DUARTE Y LORENA ELENA BAEZ GONZALEZ</t>
  </si>
  <si>
    <t>ANTONIO PIO VILLAGRA ALCARAZ Y SOLEDAD RUIZ DIAZ</t>
  </si>
  <si>
    <t>ANTONIA NORMINA CANIZA</t>
  </si>
  <si>
    <t>CARMELO FARIÑA AQUINO Y YACY MOROTI LEGAL DE FARIÑA</t>
  </si>
  <si>
    <t>ROBERTO GARAY e ISABEL MALDONADO FRANCO</t>
  </si>
  <si>
    <t>COMPRA DE VIVIENDA NUEVA O USADA PARA PERSONAS CON DISCAPACIDAD</t>
  </si>
  <si>
    <t>LILIANA  CAROLINA LEIVA</t>
  </si>
  <si>
    <t>CRISTINA PANIAGUA MARTINEZ Y PEDRO ALCIDES ACUÑA GIMENEZ</t>
  </si>
  <si>
    <t xml:space="preserve">ISOLDA ARCE RAMIREZ </t>
  </si>
  <si>
    <t>NURIA ARZOF VELAZQUEZ VALENZUELA</t>
  </si>
  <si>
    <t xml:space="preserve">ARTURO MANUEL IRALA ARGUELLO y SARA JEANETTE SILVERA NOGUERA </t>
  </si>
  <si>
    <t>MARCELA RAQUEL GONZALEZ SOSA</t>
  </si>
  <si>
    <t>OSVALDO ALBERTO CABRERA LEGUIZAMON</t>
  </si>
  <si>
    <t xml:space="preserve">ANTONIA MARTINEZ DE CASTILLO </t>
  </si>
  <si>
    <t xml:space="preserve">GLADYS JUSTINA GAUTO GIMENEZ </t>
  </si>
  <si>
    <t xml:space="preserve">BENIGNA ELIZABETH VERA AGUILAR </t>
  </si>
  <si>
    <t>EMILIANA VERA LOPEZ</t>
  </si>
  <si>
    <t>IVAN GREGORIO SANABRIA VIVEROS</t>
  </si>
  <si>
    <t>ZACARIAS RECALDE FERREIRA Y LETICIA RAQUEL AGÜERO SAMUDIO</t>
  </si>
  <si>
    <t>NILDA BEATRIZ SANTACRUZ</t>
  </si>
  <si>
    <t>CONCEPCION GORGONIA GONZALEZ ZENA</t>
  </si>
  <si>
    <t>CRESCENCIA GOMEZ GONZALEZ</t>
  </si>
  <si>
    <t xml:space="preserve">MARTIN JULIAN LEON SANCHEZ </t>
  </si>
  <si>
    <t>OLGA ARRUA ZEBALLOS</t>
  </si>
  <si>
    <t>CARMEN PATRICIA ROJAS ZARZA</t>
  </si>
  <si>
    <t>JESSICA NUAR ZARZA GIMENEZ y GUSTAVO ENRIQUE VILLALBA BENITE</t>
  </si>
  <si>
    <t>CARMEN ESTELVINA VARGAS JIMENEZ</t>
  </si>
  <si>
    <t>FABIA EPIFANIA BENITEZ</t>
  </si>
  <si>
    <t xml:space="preserve">RAFAEL SANTA CRUZ ORTIZ </t>
  </si>
  <si>
    <t>NANCY VERONICA CENTURION RAMIREZ</t>
  </si>
  <si>
    <t>MIRTA ELIZABETH GUIRGER DAVALOS</t>
  </si>
  <si>
    <t>LIZ PAOLA CESPEDES FERREIRA</t>
  </si>
  <si>
    <t>ANA GRACIELA SERVIN BRITEZ</t>
  </si>
  <si>
    <t>DOMINGA BEATRIZ CANDIA</t>
  </si>
  <si>
    <t>MARIA SOFIA GALEANO</t>
  </si>
  <si>
    <t xml:space="preserve">NORMA DIANA GONZALEZ ACOSTA </t>
  </si>
  <si>
    <t>GABRIEL BENJAMIN GONZALEZ</t>
  </si>
  <si>
    <t>CLARISA SERRAN MENZEL</t>
  </si>
  <si>
    <t>SATURNINA CACERES PAREDES</t>
  </si>
  <si>
    <t>ENRIQUE RAMON MALDONADO PEREZ</t>
  </si>
  <si>
    <t>GEORGINA AGUERO VDA DE VALDEZ</t>
  </si>
  <si>
    <t>CRISTINA IRALA LUGO</t>
  </si>
  <si>
    <t>RODRIGO FEDERICO CAMPOS GAMARRA</t>
  </si>
  <si>
    <t>LUCIA RAMONA BRITEZ FERNANDEZ</t>
  </si>
  <si>
    <t xml:space="preserve">GLORIA BEATRIZ MARTINEZ ESCOBAR </t>
  </si>
  <si>
    <t>LIDUVINA RÍOS FERNÁNDEZ</t>
  </si>
  <si>
    <t>GLORIA CONCEPCION MELGAREJO RAMIREZ</t>
  </si>
  <si>
    <t>CELSO GABRIEL ROTELA GOMEZ</t>
  </si>
  <si>
    <t>LUCIANO AGUSTIN BARRIOS DUARTE</t>
  </si>
  <si>
    <t>ALICIA SUSANA GIMÉNEZ AGUILAR</t>
  </si>
  <si>
    <t xml:space="preserve">ESTELA MARISEL GOMEZ FARIÑA </t>
  </si>
  <si>
    <t xml:space="preserve">BARBARA FERNANDEZ VDA DE GAMARRA </t>
  </si>
  <si>
    <t>CLAUDIA GABRIELA CORVALAN RIVEROS</t>
  </si>
  <si>
    <t>MARIA ANGELICA BOGARIN DE OLMEDO Y  BERNARDO OLMEDO CHAVEZ</t>
  </si>
  <si>
    <t xml:space="preserve">CYNTHIA ROMINA GALEANO ALARCON </t>
  </si>
  <si>
    <t>CARLOS OSVALDO HORACIO CHIOLA MAIDANA</t>
  </si>
  <si>
    <t>ROSSANA CELESTE FERNANDEZ AMARILLA</t>
  </si>
  <si>
    <t>HÉCTOR ENRIQUE GAMARRA OCAMPOS</t>
  </si>
  <si>
    <t>LUCIANA VARGAS ROJAS</t>
  </si>
  <si>
    <t>FACUNDA AQUINO DE FERREIRA</t>
  </si>
  <si>
    <t>RAMONA OJEDA MARIN</t>
  </si>
  <si>
    <t>ROLANDO AGÜERO</t>
  </si>
  <si>
    <t>EUGENIA ESPINOLA VDA. DE RIVEROS</t>
  </si>
  <si>
    <t>MARIA EUGENIA INSFRAN DE MONGES</t>
  </si>
  <si>
    <t xml:space="preserve">MARÍA ELENA ZARZA GOIRIZ </t>
  </si>
  <si>
    <t xml:space="preserve">MARÍA LAURA B. VILLAGRA FERREIRA </t>
  </si>
  <si>
    <t xml:space="preserve">JORGE RAÚL ÑAMANDÚ </t>
  </si>
  <si>
    <t>1 - CONCEPCION</t>
  </si>
  <si>
    <t>2 - SAN PEDRO</t>
  </si>
  <si>
    <t>3 - CORDILLERA</t>
  </si>
  <si>
    <t>4 - GUAIRA</t>
  </si>
  <si>
    <t>5 - CAAGUAZU</t>
  </si>
  <si>
    <t>6 - CAAZAPÁ</t>
  </si>
  <si>
    <t>7 - ITAPUA</t>
  </si>
  <si>
    <t>8 - MISIONES</t>
  </si>
  <si>
    <t>9 - PARAGUARÍ</t>
  </si>
  <si>
    <t>10 - ALTO PARANÁ</t>
  </si>
  <si>
    <t>11 - CENTRAL</t>
  </si>
  <si>
    <t>14 - CANINDEYÚ</t>
  </si>
  <si>
    <t>15 - PRESIDENTE HAYES</t>
  </si>
  <si>
    <t>16 - BOQUERÓN</t>
  </si>
  <si>
    <t>17 - ALTO PARAGUAY</t>
  </si>
  <si>
    <t>PRESIDENTE FRANCO</t>
  </si>
  <si>
    <r>
      <t>ANDRES CARDOZO AQUINO</t>
    </r>
    <r>
      <rPr>
        <sz val="8"/>
        <color indexed="8"/>
        <rFont val="Calibri"/>
        <family val="2"/>
      </rPr>
      <t xml:space="preserve"> </t>
    </r>
    <r>
      <rPr>
        <b/>
        <sz val="8"/>
        <color indexed="8"/>
        <rFont val="Calibri"/>
        <family val="2"/>
      </rPr>
      <t xml:space="preserve"> </t>
    </r>
  </si>
  <si>
    <t>JUNTA COM. DE VECINOS LOCAL JORGE S. MIRANDA</t>
  </si>
  <si>
    <t>COM. VEC. NUEVA FORTUNA ASENT NUEVA FORTUNA 2° ETAPA</t>
  </si>
  <si>
    <t>COMPRA DE VIVIENDA P/DISCAPACITADO</t>
  </si>
  <si>
    <t xml:space="preserve">MARIA ELIZABEHT FLEITAS FLEITAS </t>
  </si>
  <si>
    <t>A INICIAR</t>
  </si>
  <si>
    <t>AZOTEY</t>
  </si>
  <si>
    <t>SALTO DE GUAIRA</t>
  </si>
  <si>
    <t>VERONICA OJEDA</t>
  </si>
  <si>
    <t>CARMEN ROMINA CÁCERES DE TORRES</t>
  </si>
  <si>
    <t>MATILDE ENCISO MARTÍNEZ</t>
  </si>
  <si>
    <t>GLORIA FÁTIMA AYALA DE AMARILLA</t>
  </si>
  <si>
    <t>EVER ISMAEL VONSTREBER</t>
  </si>
  <si>
    <t>MIGUEL ÁNGEL AYALA GONZÁLEZ</t>
  </si>
  <si>
    <t>ELSA ROSSANA MOSTEIRO LARATRO</t>
  </si>
  <si>
    <t>NANCI URSULINA MARTÍNEZ</t>
  </si>
  <si>
    <t>ILDA RAMONA FRANCO DE MENDEZ</t>
  </si>
  <si>
    <t>DELMA IBAÑEZ MARTÍNEZ</t>
  </si>
  <si>
    <t>CARMEN GRACIELA CABRAL</t>
  </si>
  <si>
    <t>EMILCE MARIELA MARECO</t>
  </si>
  <si>
    <t xml:space="preserve">VIRGINIA AYALA </t>
  </si>
  <si>
    <t xml:space="preserve">JOHANA ALICE GAONA CARDOZO </t>
  </si>
  <si>
    <t xml:space="preserve">LIDIA RUPERTA FERNANDEZ </t>
  </si>
  <si>
    <t>COMUNIDAD INDIGENA LOMA TAJY</t>
  </si>
  <si>
    <t>JUAN E. O'LEARY</t>
  </si>
  <si>
    <t>COMUNIDAD INDIGENA KA'AGUAY ROKY</t>
  </si>
  <si>
    <t>COMUNIDAD INDIGENA KA'AGUAY POTY</t>
  </si>
  <si>
    <t>LIC. LUIS ALBERTO RUBIRA</t>
  </si>
  <si>
    <t>SAN JUAN NEPOMUCENO</t>
  </si>
  <si>
    <t>SAN IGNACIO</t>
  </si>
  <si>
    <t>J. AUGUSTO  SALDIVAR</t>
  </si>
  <si>
    <t>MARIANO ROQUE ALONSO</t>
  </si>
  <si>
    <t xml:space="preserve">VILLA HAYES </t>
  </si>
  <si>
    <t>MARIA LUISA BELLO</t>
  </si>
  <si>
    <t>COMISION PRO VIVIENDA POPULAR
LA ESPERANZA</t>
  </si>
  <si>
    <t>COMISIÓN VECINAL LA ESPERANZA DEL BO. SAN CAYETANO</t>
  </si>
  <si>
    <t>EMBOSCADA</t>
  </si>
  <si>
    <t xml:space="preserve">COMISIÓN FORTALEZA I </t>
  </si>
  <si>
    <t>COMISIÓN VECINAL DE FOMENTO 6 DE AGOSTO DEL HÁBITAT SOCIAL</t>
  </si>
  <si>
    <t xml:space="preserve">COTEP S.A. </t>
  </si>
  <si>
    <t xml:space="preserve">SAGRADO CORAZÓN DE JESÙS </t>
  </si>
  <si>
    <t>CONSULTORA IGNACIO RAMÓN OCAMPOS</t>
  </si>
  <si>
    <t xml:space="preserve">YHU </t>
  </si>
  <si>
    <t>COMISIÓN VECINAL NUEVA LONDRES</t>
  </si>
  <si>
    <t>NATANAEL CADOGAN</t>
  </si>
  <si>
    <t xml:space="preserve">BEATRIZ GONZALEZ BURGOS </t>
  </si>
  <si>
    <t>COMISION DIRECTIVA DEL TERRITORIO SOCIAL BUENA VISTA</t>
  </si>
  <si>
    <t>Exp. N° 11.117-16</t>
  </si>
  <si>
    <t>COMISION VECINAL EL PORTAL III</t>
  </si>
  <si>
    <t>CONSULTORA SG SRL</t>
  </si>
  <si>
    <t>ASOCIACION TEKOVERA</t>
  </si>
  <si>
    <t>COMISION DE FOMENTO Y DESARROLLO DE LAUREL NUEVA ESPERANZA</t>
  </si>
  <si>
    <t>NUEVA ESPERANZA</t>
  </si>
  <si>
    <t>SATOC</t>
  </si>
  <si>
    <t>MARIA CELIA ACOSTA</t>
  </si>
  <si>
    <t>MARIA BEATRIZ LEIVA GUERRERO</t>
  </si>
  <si>
    <t>CONCEPCION TORRES</t>
  </si>
  <si>
    <t>ROSA CRISTALDO</t>
  </si>
  <si>
    <t>EUGENIO MEDINA OLMEDO</t>
  </si>
  <si>
    <t>JULIA SANTA GAVILAN CAÑETE</t>
  </si>
  <si>
    <t>EPIFANIA OZUNA</t>
  </si>
  <si>
    <t>MARIA ELIGIA MIÑO GODOY</t>
  </si>
  <si>
    <t>Proyecto de 29 viviendas Res. 1856 del 26/08/2016</t>
  </si>
  <si>
    <t>NUEVA LONDRES</t>
  </si>
  <si>
    <t xml:space="preserve">ALCIDES TILLERIA GAMARRA Y </t>
  </si>
  <si>
    <t>TERMINADO 2016 NO INFORMADO</t>
  </si>
  <si>
    <t>JORGE LUIS CORONEL GAMARRA</t>
  </si>
  <si>
    <t>MIRIAN MERCEDES MARTINEZ</t>
  </si>
  <si>
    <t>MARIA CELESTINA MENDOZA</t>
  </si>
  <si>
    <t>TEODULO JAVIER REYES CENTURION</t>
  </si>
  <si>
    <t>AMILCAR DANIEL MARIN CABRAL</t>
  </si>
  <si>
    <t>ANIBAL GONZALEZ MOREL</t>
  </si>
  <si>
    <t>COMPRA  DE VIVIENDA</t>
  </si>
  <si>
    <t xml:space="preserve">COMPRA DE VIVIENDA </t>
  </si>
  <si>
    <t>RAUL SALUSTIANO MORALES</t>
  </si>
  <si>
    <t>MARTINA VERA SERVIN</t>
  </si>
  <si>
    <t xml:space="preserve">NELSON BENITEZ CARDOZO </t>
  </si>
  <si>
    <t>NIDIA ISABEL FRANCO ARBO</t>
  </si>
  <si>
    <t>ELVIO RAFAEL VALIENTE VILLAMAYOR</t>
  </si>
  <si>
    <t>DIONISIA VILLALBA ACOSTA</t>
  </si>
  <si>
    <t>MARCELINO CONCEPCION LEGUIZAMON PORTILLO</t>
  </si>
  <si>
    <t xml:space="preserve">LILIAN DEL CARMEN CABALLERO </t>
  </si>
  <si>
    <t>PEDRO RAMON BENITEZ CALONGA y LUZ MIRNA MANCUELLO BRITOS</t>
  </si>
  <si>
    <t>MARIA SELVA ACOSTA Y HERMENEGILDO GONZALEZ CACERES</t>
  </si>
  <si>
    <t xml:space="preserve">PELAGIA MAIDANA LOPEZ </t>
  </si>
  <si>
    <t xml:space="preserve">MAGDALENA GIMENEZ DE FRANCO  y Sr. ELISEO FRANCO PAREDES  </t>
  </si>
  <si>
    <t xml:space="preserve">ALBERTO GONZALEZ PEREIRA y Sra. CARMEN ONORIA MARTINEZ </t>
  </si>
  <si>
    <t>WILMA ESTHER CORONEL TALAVERA</t>
  </si>
  <si>
    <t xml:space="preserve">CELIA PATRICIA FUNES AGUERO </t>
  </si>
  <si>
    <t>NESTOR ANTONIO BAREIRO GOMEZ</t>
  </si>
  <si>
    <t>VIDALINA SERNA DE FLEITAS</t>
  </si>
  <si>
    <t xml:space="preserve">MIRNA RAMONA BOBADILLA SALDIVAR </t>
  </si>
  <si>
    <t>VICTORIA BEATRIZ GALEANO BENITEZ</t>
  </si>
  <si>
    <t xml:space="preserve">MARIO SANCHEZ ARANDA y MARIA CONCEPCIÓN  ESCALANTE </t>
  </si>
  <si>
    <t>BASILIA CENTURION ROMERO</t>
  </si>
  <si>
    <t>VENANCIA BOGADO GAUTO</t>
  </si>
  <si>
    <t>CINTHIA CAROLINA RODRIGUEZ MEDINA</t>
  </si>
  <si>
    <t xml:space="preserve">RAMON RUIZ DIAZ y MIRNA MARIELA ALONSO RIQUELME </t>
  </si>
  <si>
    <t>MONICA MIRANDA</t>
  </si>
  <si>
    <t>VILMA BEATRIZ CARRERA BAEZ</t>
  </si>
  <si>
    <t>TERESA ALEGRE FLORENTIN</t>
  </si>
  <si>
    <t xml:space="preserve">ELISS ANTONIA VALIENTE LEGUIZAMON </t>
  </si>
  <si>
    <t>MARIA LUCIA FRETES PRIETO</t>
  </si>
  <si>
    <t>MARIA URSULINA VAZQUEZ BRIZUELA</t>
  </si>
  <si>
    <t>NERI ALBINO CAZAL Y BARSILISA BAEZ ALCARAZ</t>
  </si>
  <si>
    <t xml:space="preserve">EDILTRUDIS MALDONADO DE NUÑEZ  y JUAN RAFAEL NUÑEZ ESCOBAR </t>
  </si>
  <si>
    <t>CLAUDIO MARCELINO DOMINGUEZ BORDON Y ALBA MARIA ESCOBAR GIMENEZ</t>
  </si>
  <si>
    <t xml:space="preserve">SIRLEY ROMINA VILLALBA SEGOVIA  </t>
  </si>
  <si>
    <t xml:space="preserve">MARIA RUFINA RAMIREZ GONZALEZ  y NORBERTO BARRIOS MARTINEZ </t>
  </si>
  <si>
    <t>MIGUEL ANGEL ROJA SILVA y JUANA JOSEFINA LEZCANO GOMEZ</t>
  </si>
  <si>
    <t xml:space="preserve">LIDIA PENAYO </t>
  </si>
  <si>
    <t xml:space="preserve">MARIA AEJANDRA DORIA ARGAÑA y ENRIQUE RAFAEL SEGOVIA BONET </t>
  </si>
  <si>
    <t>KARINA ELIZABETH CARDOZO ROMAN</t>
  </si>
  <si>
    <t>LLAMADO</t>
  </si>
  <si>
    <t xml:space="preserve"> 1/17</t>
  </si>
  <si>
    <t>O.G.</t>
  </si>
  <si>
    <t xml:space="preserve">OGA PORA GYUPE </t>
  </si>
  <si>
    <t>MAYRA ANELI SALINAS</t>
  </si>
  <si>
    <t>Exp. N° 26.658-15, 1705/16</t>
  </si>
  <si>
    <t xml:space="preserve"> 3/16</t>
  </si>
  <si>
    <t xml:space="preserve"> 4/16</t>
  </si>
  <si>
    <t>res 2616/16</t>
  </si>
  <si>
    <t xml:space="preserve">Exp. N° 0231-17 Pend. En Transparencia </t>
  </si>
  <si>
    <t>Exp. N° 31185-14 y 18976-13</t>
  </si>
  <si>
    <t>Exp. N~ 10434-15 y 22190-14</t>
  </si>
  <si>
    <t>PARAGUARI</t>
  </si>
  <si>
    <t>67 Viv en ej./ 25 a iniciar</t>
  </si>
  <si>
    <t>9 Viv en ej./ 4 a iniciar</t>
  </si>
  <si>
    <t>27 Viv en ej./ 7 a iniciar</t>
  </si>
  <si>
    <t>a iniciar / 1 viv anulada</t>
  </si>
  <si>
    <t>CULMINADA</t>
  </si>
  <si>
    <t xml:space="preserve"> 1/14</t>
  </si>
  <si>
    <t xml:space="preserve"> 1/15</t>
  </si>
  <si>
    <t>COMISION SIN TECHO DE LA LOCALIDAD YCUA HOVY</t>
  </si>
  <si>
    <t xml:space="preserve"> 5/16</t>
  </si>
  <si>
    <t xml:space="preserve"> 2/16</t>
  </si>
  <si>
    <t>COMISION VECINAL DEL ASENTAMIENTO 20 DE JULIO</t>
  </si>
  <si>
    <t xml:space="preserve"> 7/15</t>
  </si>
  <si>
    <t xml:space="preserve"> CIUDAD NUEVA</t>
  </si>
  <si>
    <t xml:space="preserve"> 1/11</t>
  </si>
  <si>
    <t>COMISION VECINAL SINAI II - BARRIO ESTACION</t>
  </si>
  <si>
    <t xml:space="preserve"> 2/13</t>
  </si>
  <si>
    <t xml:space="preserve"> 6/15</t>
  </si>
  <si>
    <t xml:space="preserve"> 1/12</t>
  </si>
  <si>
    <t>COMISION PRO-CONSTRUCCIÓN DE VIVIENDAS VIRGEN DEL ROSARIO</t>
  </si>
  <si>
    <t xml:space="preserve"> 2/12</t>
  </si>
  <si>
    <t>COMISIÓN DIRECTIVA DEL ASENTAMIENTO 24 DE JULIO</t>
  </si>
  <si>
    <t xml:space="preserve"> 1/13</t>
  </si>
  <si>
    <t xml:space="preserve"> 1/16</t>
  </si>
  <si>
    <t>COMISION DE DESARROLLO RURAL DE LA COMUNIDAD DE SANTA ROSA DE LIMA</t>
  </si>
  <si>
    <t>COMISIÓN DIRECTIVA DEL CONDOMINIO LUNA PARK</t>
  </si>
  <si>
    <t>COMISIÓN  VECINAL DE FOMENTO Y DESARROLLO DEL ASENTAMIENTO SAN FRANCISCO</t>
  </si>
  <si>
    <t>COMISIÓN DIRECTIVA DE FOMENTO Y DESARROLLO DEL ASENTAMIENTO LIZ Y FRANCISCO</t>
  </si>
  <si>
    <t>COMISIÓN  VECINAL SANTA LUCIA DE LA COLONIA SANTA LUCIA - 2DA. FASE</t>
  </si>
  <si>
    <t>COMUNIDAD INDIGENA AVA GUARANI DE PASO CADENA</t>
  </si>
  <si>
    <t>COMISION VECINAL DESARROLLO INTERNO ASENTAMIENTO R.I. SUR</t>
  </si>
  <si>
    <t>LUIS ALBERTO RUBIRA</t>
  </si>
  <si>
    <t xml:space="preserve"> 3/12 Y 2/13 </t>
  </si>
  <si>
    <t xml:space="preserve"> 3/15</t>
  </si>
  <si>
    <t>OBLIG JUNIO</t>
  </si>
  <si>
    <t>SE REQUIERE PODER</t>
  </si>
  <si>
    <t>OBLIG EN JUNIO</t>
  </si>
  <si>
    <t>OBLIG. EN JUNIO</t>
  </si>
  <si>
    <t>ver</t>
  </si>
  <si>
    <t>3/14</t>
  </si>
  <si>
    <t>1/16</t>
  </si>
  <si>
    <t>4/16</t>
  </si>
  <si>
    <t>5/16</t>
  </si>
  <si>
    <t>2/16</t>
  </si>
  <si>
    <t>2/15</t>
  </si>
  <si>
    <t xml:space="preserve"> 4/15</t>
  </si>
  <si>
    <t>ANULADA</t>
  </si>
  <si>
    <t>RESUMEN 2017</t>
  </si>
  <si>
    <t>(FALTA RECTIFICAR LA RES. 845 POR LA NUEVA CALIFICACION Gs. 114.193.267)</t>
  </si>
  <si>
    <t xml:space="preserve">COMISION VECINAL VYA RENDA DE LA COMPAÑÍA ÑUATI </t>
  </si>
  <si>
    <t xml:space="preserve"> 3/14</t>
  </si>
  <si>
    <t>COMISIÓN DE FOMENTO URBANO DE VIVIENDA Y HÁBITAT DE LA CIA. CAAGUAZÚ</t>
  </si>
  <si>
    <t xml:space="preserve"> 2/15</t>
  </si>
  <si>
    <t>COMISIÓN VECINAL ASENTAMIENTO VICTORIA I</t>
  </si>
  <si>
    <t>COMISION VECINAL ASENTAMIENTO DR. GASPAR RODRIGUEZ DE FRANCIA</t>
  </si>
  <si>
    <t xml:space="preserve">COMISION VECINAL DE FOMENTO TERRITORO SOCIAL CERRO CORA </t>
  </si>
  <si>
    <t xml:space="preserve">ASOCIACION DE VECINOS DEL TERRITORIO SOCIAL ARA PYAHU DE ISLA VALLE </t>
  </si>
  <si>
    <t xml:space="preserve">COMISION VECINAL VILLA POLICIAL </t>
  </si>
  <si>
    <t xml:space="preserve">ASENTAMEINTO LA VICTORIA </t>
  </si>
  <si>
    <t>Exp. N° 2062/17 Pendiente en Transparencia</t>
  </si>
  <si>
    <t>duplicado en concepción</t>
  </si>
  <si>
    <t>COMISIÓN VECINAL DEL ASENTAMIENTO NUEVA FORTUNA</t>
  </si>
  <si>
    <t>OBSERVACIONES</t>
  </si>
  <si>
    <t>AUMENTA META A ADJUDICAR</t>
  </si>
  <si>
    <t>OBLIG EN JULIO EXP. Nº 4509-16, 31145-15, 25692-14</t>
  </si>
  <si>
    <t>OBLIG EN JULIO EXP. Nº 12482-15, 20094-12</t>
  </si>
  <si>
    <t>SIXTO MARTIN MORÁN LEÓN Y SOFIA LORENA  RAMÍREZ MARTÍNEZ</t>
  </si>
  <si>
    <t xml:space="preserve">COMUNIDAD INDIGENA PALO BLANCO - 10 LEGUAS </t>
  </si>
  <si>
    <t>COMISIÓN DIRECTIVA DEL TERRITORIO SOCIAL CARAGUATAYMI DE LA LOCALIDAD DEL BARRIO CAPITAN ROA (2° ETAPA)</t>
  </si>
  <si>
    <t>MBY'A GUARANI Y'AKARETA - FASE II</t>
  </si>
  <si>
    <t>COMISION DIRECTIVA DEL TERRITORIO SOCIAL SOL NACIENTE I DEL BARRIO SAN MIGUEL</t>
  </si>
  <si>
    <t>COMISIÓN SIN TECHO DEL PROGRAMA OÑONDIVEPA</t>
  </si>
  <si>
    <t xml:space="preserve"> 2/17</t>
  </si>
  <si>
    <t>COMISIÓN VECINAL DE LA COLONIA SANJA MOROTÍ</t>
  </si>
  <si>
    <t xml:space="preserve"> 3/17</t>
  </si>
  <si>
    <t>JUNTA COMUNAL DE VECINOS DE LA LOCALIDAD DE LA COLONIA JORGE SEBASTIAN MIRANDA</t>
  </si>
  <si>
    <t>COMISIÓN DE FOMENTO Y DESARROLLO DE LA COLONIA SAN RAFAEL</t>
  </si>
  <si>
    <t xml:space="preserve">COMISIÓN VECINAL DE LA LOCALIDAD DE SAN LUIS </t>
  </si>
  <si>
    <t>BELÈN</t>
  </si>
  <si>
    <t xml:space="preserve"> 4/17</t>
  </si>
  <si>
    <t>PROYECTO DE VIVIENDAS DENOMINADAS POR AYUDA MUTUA DE USUARIOS "CENTRO ECO-URBANISTICO LIMITADA"</t>
  </si>
  <si>
    <t>COMISIÓN DE FOMENTO Y DESARROLLO DE LA COLONIA LA GERMANINA</t>
  </si>
  <si>
    <t>ABOG. MARIA CELIA ACOSTA RIOS</t>
  </si>
  <si>
    <t>COMISIÓN VECINAL DEL ASENTAMIENTO JULIAN JARA DE LA CALLE 40 - 2 FASE</t>
  </si>
  <si>
    <t>COMISIÒN PRO VIVIENDA DE LA LOCALIDAD DE AGUERITO</t>
  </si>
  <si>
    <t>COMISIÓN VECINAL SAN MIGUEL</t>
  </si>
  <si>
    <t>GUAYAYBI</t>
  </si>
  <si>
    <t>COMISIÓN SIN TECHO DEL BARRIO SANTA ANA</t>
  </si>
  <si>
    <t>ASOCIACIÓN SATOC</t>
  </si>
  <si>
    <t>ING. ALICIA DAMIANA GIMÈNEZ SOSA</t>
  </si>
  <si>
    <t xml:space="preserve"> 5/17</t>
  </si>
  <si>
    <t>ITACURUBI DE LA CORDILLERA</t>
  </si>
  <si>
    <t>COMISIÓN DEL NÚCLEO HABITACIONAL LA CANDELARIA</t>
  </si>
  <si>
    <t>ABOG. CRISTIAN CÉSAR TURRINI AYALA</t>
  </si>
  <si>
    <t>ARQ. MIRTHA CLAUDELINA POISSÒN</t>
  </si>
  <si>
    <t>TOBATÌ</t>
  </si>
  <si>
    <t>COMISIÓN DEL ASENTAMIENTO SANTA ROSA DE LIMA</t>
  </si>
  <si>
    <t xml:space="preserve">ING. SILVIO FARIÑA MARTINEZ                                 </t>
  </si>
  <si>
    <t xml:space="preserve">COMISION DE FOMENTO Y DESARROLLO DE LA LOCALIDAD DE SAN FRANCISCO EX CIERVO CUA                                                                                                     </t>
  </si>
  <si>
    <t xml:space="preserve">SILVIO FARIÑA MARTINEZ                                      </t>
  </si>
  <si>
    <t xml:space="preserve">COMISION VECINAL DE FOMENTO Y DESARROLLO SAN RAFAEL YROYSA 1º LINEA                                                                                                                 </t>
  </si>
  <si>
    <t xml:space="preserve">COMUNIDAD INDIGENA "YVYRATYMI-VEGA KUE"                                                                                                                                             </t>
  </si>
  <si>
    <t xml:space="preserve">CENTRO DE DES. DEL HABITAT Y M. AMBIENTE (CEDES / HABITAT)  </t>
  </si>
  <si>
    <t xml:space="preserve">COMUNIDAD INDIGENA ''YVYTY KORÁ'' DEL PUEBLO MBYA GUARANI.                                                                                                                          </t>
  </si>
  <si>
    <t xml:space="preserve">COMISIÓN FORTALECIMIENTO COMUNITARIO MARIA AUXILIADORA "PROYECTO VIVIENDA SENAVITAD".                                                                                               </t>
  </si>
  <si>
    <t>CEDES / HABITAT</t>
  </si>
  <si>
    <t xml:space="preserve">COMISIÓN FOMENTO Y DESARROLLO NUEVA ALBORADA                                                                                                                                         </t>
  </si>
  <si>
    <t>COMISIÒN DIRECTIVA DEL TERRITORIO SOCIAL SAN ROQUE GONZÁLEZ</t>
  </si>
  <si>
    <t>TERRITORIO SOCIAL VIRGEN DEL CARMEN</t>
  </si>
  <si>
    <t>COMISIÓN DE COOPERATIVA DE VIVIENDA DE LA LOCALIDAD DE SIDEPAR 3000</t>
  </si>
  <si>
    <t>COOPERATES</t>
  </si>
  <si>
    <t>TERRITORIO SOCIAL 25 DE DICIEMBRE</t>
  </si>
  <si>
    <t>COMISIÒN DE FOMENTO Y DESARROLLO DE LA COLONIA MARIA NIDIA</t>
  </si>
  <si>
    <t>MCAL. FRANCISCO S. LÒPEZ</t>
  </si>
  <si>
    <t>Caazapá</t>
  </si>
  <si>
    <t xml:space="preserve">COMISIÓN DIRECTIVA DEL TERRITORIO SOCIAL PADRE ADOLFO ZARACHO </t>
  </si>
  <si>
    <t>COMISIÓN DE DESARROLLO Y FOMENTO DEL ASENTAMIENTO SAN LORENZO</t>
  </si>
  <si>
    <t xml:space="preserve">ABOG. MARIA CELIA ACOSTA RIOS                               </t>
  </si>
  <si>
    <t xml:space="preserve">EMPRESA UNIPERSONAL CONSULTORA NOESIS                       </t>
  </si>
  <si>
    <t xml:space="preserve">CONSULTORA DGV                                              </t>
  </si>
  <si>
    <t xml:space="preserve">LIC. ENRIQUE JAVIER AYALA ECHAURI                           </t>
  </si>
  <si>
    <t xml:space="preserve">COMISIÒN DE FOMENTO Y DESARROLLO DE PIRAPEY KM. 75, ASENTAMIENTO SANTA LIBRADA                                                                                             </t>
  </si>
  <si>
    <t xml:space="preserve">COMISIÓN DE FOMENTO Y DESARROLLO DEL ASENTAMIENTO 13 DE JUNIO                                                                                                             </t>
  </si>
  <si>
    <t xml:space="preserve">COMISIÓN PRO VIVIENDA RURAL DE LA COMPAÑÍA SAN AGUSTÍN, ASENTAMIENTO NUEVA ESPERANZA                                                                                      </t>
  </si>
  <si>
    <t xml:space="preserve">EMPRENDIMIENTOS INMOBILIARIOS                               </t>
  </si>
  <si>
    <t xml:space="preserve">COMISION VECINAL Y DESARROLLO DE LA COLONIA TORYVETE                                                                                                                                </t>
  </si>
  <si>
    <t xml:space="preserve">ABOG. CRISTIAN CESAR TURRINI AYALA                          </t>
  </si>
  <si>
    <t xml:space="preserve">LA COMISION SENAVITAD DE LA COLONIA SANTA LUCIA.                                                                                                                                    </t>
  </si>
  <si>
    <t xml:space="preserve">ACG CONSULTORIA INTEGRAL                                    </t>
  </si>
  <si>
    <t>13 - AMAMBAY</t>
  </si>
  <si>
    <t>COMUNIDAD INDIGENA AVA GUARANI "PASO HISTORIA"</t>
  </si>
  <si>
    <t>LIC. LUIS ALBERTO RUBIRA FERNANDEZ</t>
  </si>
  <si>
    <t>CAPITÁN BADO</t>
  </si>
  <si>
    <t xml:space="preserve">CODES "COMUNIDAD Y DESARROLLO SUSTENTABLE"                  </t>
  </si>
  <si>
    <t xml:space="preserve">COMISION PRO VIVIENDA DE LA COLONIA SAN JUAN EX ACEPAR SEPTIMA LINEA                                                                                                                </t>
  </si>
  <si>
    <t xml:space="preserve">COMUNIDAD INDIGENA  AVA GUARANI "NUEVA ESPERANZA"                                                                                                                                   </t>
  </si>
  <si>
    <t xml:space="preserve">COMUNIDAD INDIGENA GUARANI-CHIRIPA DE MBOIJAGUA.                                                                                                                                    </t>
  </si>
  <si>
    <t xml:space="preserve">MARIA MERCEDES ENRIQUEZ ARANDA                              </t>
  </si>
  <si>
    <t xml:space="preserve">COMUNIDAD INDÍGENA AVA GUARANÍ DE LA COLONIA FORTUNA                                                                                                                     </t>
  </si>
  <si>
    <t xml:space="preserve">COMUNIDAD INDIGENA NIVACLÉ UNIDA – YALVE SANGA.                                                                                                                                     </t>
  </si>
  <si>
    <t xml:space="preserve">COMUNIDAD INDIGENA AYOREO CAMPO LORO                                                                                                                                                </t>
  </si>
  <si>
    <t xml:space="preserve">ARQUITECTONICA S.R.L.                                       </t>
  </si>
  <si>
    <t>LOMA PLATA</t>
  </si>
  <si>
    <t>FILADELFIA</t>
  </si>
  <si>
    <t>COMUNIDAD INDÍGENA CHAMACOCO DE PUERTO DIANA</t>
  </si>
  <si>
    <t>BAHIA NEGRA</t>
  </si>
  <si>
    <t xml:space="preserve">CONTACONSULT                                                </t>
  </si>
  <si>
    <t xml:space="preserve">COMUNIDAD INDIGENA ‘’CAMPO LARGO''.                                                                                                                                                 </t>
  </si>
  <si>
    <t>COMUNIDAD INDÍGENA POZO AMARILLO</t>
  </si>
  <si>
    <t xml:space="preserve">COMISIÓN VECINAL DEL ASENTAMIENTO NÚCLEO RURAL SAN JORGE                                                                                                                   </t>
  </si>
  <si>
    <t xml:space="preserve">COMUNIDAD INDÍGENA LA HERENCIA EX SOMBRERO PIRÍ- ALDEA PALO BLANCO                                                                                                                   </t>
  </si>
  <si>
    <t>MARTA SOLEDAD PAVÓN  SANABRIA</t>
  </si>
  <si>
    <t>DIANA MARIA TORRES</t>
  </si>
  <si>
    <t>DELIO RAMÓN GOMEZ</t>
  </si>
  <si>
    <t>PATRICIA FLORENTIN GARAY</t>
  </si>
  <si>
    <t>OLGA GONZÁLEZ MARECO</t>
  </si>
  <si>
    <t>COMPRA DE VIVIENDA P/ DISCAPACITADO</t>
  </si>
  <si>
    <t>CRISTIAN SILVANO GIMÉNEZ PAREDES</t>
  </si>
  <si>
    <t>NORMA CÁCERES MORA</t>
  </si>
  <si>
    <t>DOMINGA RESQUIN PAREDES</t>
  </si>
  <si>
    <t>BALBINA VILLALBA CÁCERES</t>
  </si>
  <si>
    <t>ALICIA ESTANISLAA ROJAS ALCARAZ</t>
  </si>
  <si>
    <t>NIZA LAUREL DIAZ PORTILLO</t>
  </si>
  <si>
    <t>FÉLIX RAMÓN VERA CANDIA</t>
  </si>
  <si>
    <t>JOEL LUCAS SANCHEZ</t>
  </si>
  <si>
    <t>TRANQUILINO FERMIN MENDOZA</t>
  </si>
  <si>
    <t>CÉSAR EUSEBIO MARTÍNEZ BLANCO</t>
  </si>
  <si>
    <t>ALBA LORENA BENÌTEZ  VERA</t>
  </si>
  <si>
    <t>MARTA ZUNILDA VELAZQUEZ</t>
  </si>
  <si>
    <t>Exp nº 25494-16</t>
  </si>
  <si>
    <t>ROSAURA ARMINDA CÁCERES</t>
  </si>
  <si>
    <t>MARLENE ESCURRA GALLY</t>
  </si>
  <si>
    <t>EDGAR RENÉ OVIEDO FIGUEREDO</t>
  </si>
  <si>
    <t>Exp. Nº 1590-15</t>
  </si>
  <si>
    <t>MARIAM  LORENA BAEZ DE VILLALBA</t>
  </si>
  <si>
    <t>EXP Nº 9906-16</t>
  </si>
  <si>
    <t xml:space="preserve">EXP. Nº </t>
  </si>
  <si>
    <t>IRENE CAROLINA FELIU VARGAS</t>
  </si>
  <si>
    <t>ADA GRACIELA VERA</t>
  </si>
  <si>
    <t>LUIS RAMÒN UVEDA KULMAN</t>
  </si>
  <si>
    <t>CARLOS ALBERTO GENES ZÀRATE</t>
  </si>
  <si>
    <t>TEODORA BENÍTEZ CABRAL</t>
  </si>
  <si>
    <t xml:space="preserve">JESSICA LORRAINE AYALA RODRÍGUEZ </t>
  </si>
  <si>
    <t>JUAN CARLOS CORREA</t>
  </si>
  <si>
    <t>CARMEN DORA MIRANDA</t>
  </si>
  <si>
    <t>SILVIO OSMAR MARTINEZ</t>
  </si>
  <si>
    <t>MARIO ALBERTO MONTIEL IRALA</t>
  </si>
  <si>
    <t>DARIO ESPÍNOLA SCRIBANO</t>
  </si>
  <si>
    <t>MIGUEL ANGEL YEGROS PERALTA</t>
  </si>
  <si>
    <t>JUAN EMILIO SOTTO VILLASBOA</t>
  </si>
  <si>
    <t>JUSTINA DUARTE NÚÑEZ</t>
  </si>
  <si>
    <t>RAUL MONTIEL ADDOR</t>
  </si>
  <si>
    <t xml:space="preserve">DERLIS JAVIER COLMÁN </t>
  </si>
  <si>
    <t>COMISIÓN VECINAL DEL ASENTAMIENTO ARTEMIO ROJAS I</t>
  </si>
  <si>
    <t>COMISIÓN DE FOMENTO Y DESARROLLO DE MANDU'ARA DE LA COLONIA TAPYTA</t>
  </si>
  <si>
    <t xml:space="preserve">SAN PEDRO DEL PARANÁ             </t>
  </si>
  <si>
    <t xml:space="preserve">ASOCIACION CAMPESINA DE LA COLONIA LIBERTAD                                                                                                                                </t>
  </si>
  <si>
    <t>SAN RAFAEL DEL PARANÁ</t>
  </si>
  <si>
    <t>COMISIÓN VECINAL DEL ASENTAMIENTO TAVA PORA</t>
  </si>
  <si>
    <t>COMISIÓN VECINAL VY ARENDA  ASENTAMIENTO SANTO DOMINGO</t>
  </si>
  <si>
    <t>COMUNIDAD INDIGENA AVA GUARANI DE LA COLONIA FORTUNA</t>
  </si>
  <si>
    <t>COMUNIDAD INDÍGENA SAWHOYAMAXA</t>
  </si>
  <si>
    <t>COMISIÒN VECINAL TECHO-RA DE LA CIUDAD DE YPACARAI</t>
  </si>
  <si>
    <t>COMISIÒN DE FOMENTO URBANO DE VIVIENDA Y HABITAT SAN CAYETANO</t>
  </si>
  <si>
    <t>COMISIÓN FOMENTO URBANO PRO VIVIENDA VIRGEN DE GUADALUPE 1° ETAPA</t>
  </si>
  <si>
    <t>COMISIÓN FOMENTO URBANO PRO VIVIENDA VIRGEN DE GUADALUPE 2° ETAPA</t>
  </si>
  <si>
    <t>COMISIÓN VECINAL DENOMINADA DIVINO NIÑO JESUS DEL BARRIO SAN BLAS</t>
  </si>
  <si>
    <t>COMISIÓN VECINAL DE FOMENTO SARITA DEL TERRITORIO SOCIAL</t>
  </si>
  <si>
    <t>ARQ. CECILIA TOMASA FRETES DE SOSA</t>
  </si>
  <si>
    <t>COMISION VECINAL DEL ASENTAMIENTO CARMEN SOLER</t>
  </si>
  <si>
    <t xml:space="preserve">COMISION DE FOMENTO URBANO ASENTAMIENTO SUEÑO Y ESPERANZA </t>
  </si>
  <si>
    <t xml:space="preserve">COMISIÒN VECINAL ASENTAMIENTO SOL NACIENTE I </t>
  </si>
  <si>
    <t xml:space="preserve">COMISIÒN VECINAL ASENTAMIENTO SOL NACIENTE II </t>
  </si>
  <si>
    <t xml:space="preserve">COMISION VECINAL PRO VIVIENDA  ASENTAMIENTO CARMEN SOLER                                                                                                                            </t>
  </si>
  <si>
    <t xml:space="preserve">GUSTAVO HERIBERTO MEZA RIVET                                </t>
  </si>
  <si>
    <t xml:space="preserve">COMISION VECINAL VY'A RENDA                                                                                                                                                         </t>
  </si>
  <si>
    <t xml:space="preserve">ASOCIACION BASE PARA EL DESARROLLO SOCIAL (BADESO)          </t>
  </si>
  <si>
    <t xml:space="preserve">ARQ. MIGUEL ANGEL PATIÑO CHAVEZ                             </t>
  </si>
  <si>
    <t xml:space="preserve">COMISION VECINAL "LA FAMILIA"                                                                                                                                                       </t>
  </si>
  <si>
    <t xml:space="preserve">UNIDAD DE SERVICIO AGRICOLA GANADERA (U.S.A.G)              </t>
  </si>
  <si>
    <t xml:space="preserve">COMISION VECINAL DE FOMENTO ASENTAMIENTO NUESTRA SEÑORA                                                                                                                             </t>
  </si>
  <si>
    <t xml:space="preserve">CONTADORA PUBLICA MYRIAN DIANA SOSA                         </t>
  </si>
  <si>
    <t xml:space="preserve">COMISION DE FOMENTO URBANO KO'E PUAHU.                                                                                                                                              </t>
  </si>
  <si>
    <t xml:space="preserve">ARQ. REBECA ZELAYA GONZALEZ                                 </t>
  </si>
  <si>
    <t xml:space="preserve">COMISION DE FOMENTO URBANO NUEVA ESPERANZA                                                                                                                                          </t>
  </si>
  <si>
    <t xml:space="preserve">COMISION DEL TERRITORIO SOCIAL DIVINO NIÑO JESUS.                                                                                                                                   </t>
  </si>
  <si>
    <t xml:space="preserve">COMISION DE FOMENTO URBANO ASENTAMIENTO EL PROGRESO                                                                                                                                 </t>
  </si>
  <si>
    <t xml:space="preserve">COMISION DE FOMENTO URBANO EL TRIUNFO                                                                                                                                               </t>
  </si>
  <si>
    <t xml:space="preserve">COMISION DE FOMENTO URBANO LA ESPERANZA.                                                                                                                                            </t>
  </si>
  <si>
    <t xml:space="preserve">CONSULTORA S.G   S.R.L.                                     </t>
  </si>
  <si>
    <t xml:space="preserve">CONSULTORA A&amp;S                                              </t>
  </si>
  <si>
    <t xml:space="preserve">COMISION DE DAMAS DE VILLA ROSITA II.                                                                                                                                               </t>
  </si>
  <si>
    <t xml:space="preserve">COMISION DE FOMENTO URBANO ASENTAMIENTO TIERRA PROMETIDA                                                                                                                            </t>
  </si>
  <si>
    <t xml:space="preserve">COMISIÒN VECINAL PRO VIVIENDA SAN JORGE                                                                                                                                  </t>
  </si>
  <si>
    <t xml:space="preserve">COMISIÓN VECINAL PRO - VIVIENDA 22 DE OCTUBRE ASENTAMEINTO TAPYIRÁ                                                                                                       </t>
  </si>
  <si>
    <t xml:space="preserve">COMISIÓN VECINAL DE FOMENTO TERRITORIO SOCIAL DE "MUJERES VIRTUOSAS"                                                                                                                  </t>
  </si>
  <si>
    <t xml:space="preserve">COMISIÓN VECINAL DEL ASENTAMIENTO FORTALEZA 1,2.                                                                                                                                    </t>
  </si>
  <si>
    <t xml:space="preserve">COMISIÓN DE FOMENTO URBANO ASENTAMIENTO TIERRA PROMETIDA.                                                                                                                           </t>
  </si>
  <si>
    <t xml:space="preserve">COMISIÓN VECINAL DE FOMENTO TERRITORIO SOCIAL CERRO CORÁ.                                                                                                                           </t>
  </si>
  <si>
    <t xml:space="preserve">COMISIÓN VECINAL DE FOMENTO "TERRITORIO SOCIAL INDEPENDENCIA I".                                                                                                                    </t>
  </si>
  <si>
    <t xml:space="preserve">COMISIÓN VECINAL DEL ASENTAMIENTO DENOMINADO "MARÍA AUXILIADORA 2".                                                                                                                 </t>
  </si>
  <si>
    <t xml:space="preserve">COMISIÓN VECINAL DE FOMENTO TERRITORIO SOCIAL CERRO CORÁ
                                                                                                                           </t>
  </si>
  <si>
    <t xml:space="preserve">COMISIÓN VECINAL DEL TERRITORIO SOCIAL 30 DE JULIO DE LA COMPAÑIA PASO DE ORO                                                                                                     </t>
  </si>
  <si>
    <t xml:space="preserve">COMISIÓN VECINAL "VILLA DEL MAESTRO I"                                                                                                                                           </t>
  </si>
  <si>
    <t xml:space="preserve">COMISIÓN DE FOMENTO URBANO ASENTAMIENTO SAN CAYETANO                                                                                                                                                     </t>
  </si>
  <si>
    <t>COMISIÓN VECINAL DEL TERRITORIO SOCIAL SOL NACIENTE III</t>
  </si>
  <si>
    <t>CONTACONSUL</t>
  </si>
  <si>
    <t>VICTORIANO SECUNDINO RAMIREZ ORTIZ</t>
  </si>
  <si>
    <t>PATRICIA NANCY GARAY DE BARÚA Y JUAN HERIBERTO BARÚA</t>
  </si>
  <si>
    <t>MARÍA LIDIA ORTIGOZA DÍAZ</t>
  </si>
  <si>
    <t>ZULMA FRANCISCA ROMERO</t>
  </si>
  <si>
    <t>ABUNDIO CASTOR AGÜERO BAEZ</t>
  </si>
  <si>
    <t xml:space="preserve">CLAUDIA CAROLINA SERVIAN </t>
  </si>
  <si>
    <t>EXP. Nº 28717-15</t>
  </si>
  <si>
    <t>LILIAN GRACIELA MOREL MALLADA</t>
  </si>
  <si>
    <t>TOMASA RAMONA LIZZA VDA DE LATORRE</t>
  </si>
  <si>
    <t>LILIAN BEATRIZ DUARTE VILLABA</t>
  </si>
  <si>
    <t>EVELYN DEL CARMEN FRETES PRIETO Y JOEL ANGEL LÒPEZ</t>
  </si>
  <si>
    <t>LABRIANO GONZÁLEZ Y FRANCISCA LATORRE DE SANABRIA</t>
  </si>
  <si>
    <t>SUSANA MÉNDEZ DE BRÍTEZ</t>
  </si>
  <si>
    <t xml:space="preserve">DOMINGO MORA </t>
  </si>
  <si>
    <t>CYNTHIA CANDICE CAÑETE MEDINA</t>
  </si>
  <si>
    <t>MODESTO VEGA CORONEL</t>
  </si>
  <si>
    <t>ADA RAQUEL VILLANUEVA</t>
  </si>
  <si>
    <t>CECILIA NIMIA AYALA DUARTE</t>
  </si>
  <si>
    <t>SINTIA  RAQUEL MORA GIMÉNEZ Y SAUL DUARTE MERCADO</t>
  </si>
  <si>
    <t>BLANCA LILIAN SALCEDO DE GIMÉNEZ Y BENJAMÍN GIMÉNEZ LÓPEZ</t>
  </si>
  <si>
    <t>NILDA CAROLINA ZARACHO ROJAS</t>
  </si>
  <si>
    <t>DEL PILAR IBAÑEZ ESQUIVEL</t>
  </si>
  <si>
    <t>VALERIA  CRISTINA VELÁZQUEZ TORRES</t>
  </si>
  <si>
    <t>EXP Nº 27313-15</t>
  </si>
  <si>
    <t>EXP Nº 26956-15</t>
  </si>
  <si>
    <t>FUNDACIÓN OJETYPEKA</t>
  </si>
  <si>
    <t>ALBA EVANGELINA RECALDE CACERES</t>
  </si>
  <si>
    <t>COLONIA INDEPENDENCIA</t>
  </si>
  <si>
    <t>ANULADA POR RESOL. Nº 496/16 Y 820/17</t>
  </si>
  <si>
    <t>COMISION PRO- HERMOSEAMIENTO DEL ASENTAMIENTO EDEN</t>
  </si>
  <si>
    <t>ORGANIZACIÓN DIVINO NIÑO JESUS SAGRADA FAMILIA</t>
  </si>
  <si>
    <t>CEDES HABITAD</t>
  </si>
  <si>
    <t>COMISION SANTA ROSA DE LIMA</t>
  </si>
  <si>
    <t>DISTRITO</t>
  </si>
  <si>
    <t xml:space="preserve">COMISIÓN DIRECTIVA DEL ASENTAMIENTO SAN RAFAEL </t>
  </si>
  <si>
    <t>COMISIÓN PRO TECHO DE LA LOCALIDAD DE CALLEJON SANTA ROSA</t>
  </si>
  <si>
    <t>EDELIRA</t>
  </si>
  <si>
    <t>LIC. NOLASCO ALMADA CONSULTORA A&amp;S</t>
  </si>
  <si>
    <t>COMISION VECINAL TERRITORIO SOCIAL  RENACER III DE LA COMPAÑÍA COSTA FLEITA</t>
  </si>
  <si>
    <t>COMUNIDAD INDIGENA KUETUVY-KO'ETI</t>
  </si>
  <si>
    <t xml:space="preserve">POZO COLORADO </t>
  </si>
  <si>
    <t>GUSTAVO RAMON VAZQUEZ PEREIRA</t>
  </si>
  <si>
    <t xml:space="preserve">FÁTIMA NORIS FERREIRA MARTINEZ </t>
  </si>
  <si>
    <t>ESTHER CELLE BOGADO</t>
  </si>
  <si>
    <t>COMISIÓN RENOVADA DEL ASENTAMIENTO VILLA ELBITA  DE LA 2DA CIA ISLA YOBAY</t>
  </si>
  <si>
    <t>COM.VECINAL COLONIA 6 DE ENERO PLANTA 2 2DA FASE</t>
  </si>
  <si>
    <t>COMISION VECINAL DE LA COLONIA 6 DE ENERO PLANTA 1 2DA FASE</t>
  </si>
  <si>
    <t>COMISION VECINAL DE LA LOCALIDAD DE CURUPAY LOMA 3RA FASE</t>
  </si>
  <si>
    <t>SARGENTO JOSÉ FÉLIX LÓPEZ</t>
  </si>
  <si>
    <t>COMISION VECINAL CAACUPE POTY II</t>
  </si>
  <si>
    <t>COMISION VECINAL CURUCAU</t>
  </si>
  <si>
    <t>QUIINDY</t>
  </si>
  <si>
    <t>COM. INDIGENA YBU PERTENECIENTE A LA PARCIALIDAD MBYA GUARANI 3RA FASE</t>
  </si>
  <si>
    <t>Res. Nº 2337/17 excluye a un beneficiario</t>
  </si>
  <si>
    <t>RESCINDIDA</t>
  </si>
  <si>
    <t>COMISION DIRECTIVA DEL COMPLEJO HABITACIONAL SAN FRANCISCO</t>
  </si>
  <si>
    <t>COMISION PRO VIVIENDA ASENTAMIENTO PRIMAVERA DE LA COLONIA 7 DE AGOSTO KM 14</t>
  </si>
  <si>
    <t>COMISION VECINAL PRO VIVIENDA 22 DE OCTUBRE DEL ASENTAMIENTO TAPYIRA</t>
  </si>
  <si>
    <t>COMISIÓN DE FOMENTO URBANO PARA LA APLICACIÓN DE LA LEY 5829/2017 DEL ASENTAMIENTO TIERRA PROMETIDA</t>
  </si>
  <si>
    <t>COMISION VECINAL ASENTAMIENTO SAN NICODEMO</t>
  </si>
  <si>
    <t>COMISION VECINAL DE FOMENTO PO JOAJU</t>
  </si>
  <si>
    <t>COMUNIDAD INDIGENA Y-ASORY/PIRITY</t>
  </si>
  <si>
    <t>COMISION VECINAL (AD-HOC) DEL BARRIO NUEVO AMANECER II</t>
  </si>
  <si>
    <t>COMISION DE FOMENTO URBANO PARA LA APLICACIÓN DE LA LEY N° 5829-17 ASENTAMIENTO NUEVA ESPERANZA</t>
  </si>
  <si>
    <t>COMISION VECINAL DE FOMENTO TERRITORIO SOCIAL SANTA CATALINA</t>
  </si>
  <si>
    <t>DOMINGO PANGRAZIO CANTERO OVIEDO Y NIMIA GARCIA DE CANTERO</t>
  </si>
  <si>
    <t>ISMAEL CANTERO E ISIDRA RAMONA AGÜERO DE GUERRERO</t>
  </si>
  <si>
    <t>MARIZZA BAZÁN FIDENCIO DANIEL PORTILLO BENITEZ</t>
  </si>
  <si>
    <t>GABRIELA CONCEPCION RIQUELME BRASA</t>
  </si>
  <si>
    <t>REGIS EVANGELINA MORENO</t>
  </si>
  <si>
    <t>OSCAR JUSTINIANO MARTINEZ OTAZU</t>
  </si>
  <si>
    <t>SIXTA EMANUELA ROJAS VDA DE CANTERO</t>
  </si>
  <si>
    <t>TOMAS GALEANO GARCETE</t>
  </si>
  <si>
    <t>FLORENCIO AREVALO FARIÑA</t>
  </si>
  <si>
    <t>ANA MARIA TORRES DE COLLANTE</t>
  </si>
  <si>
    <t>CHRISTIAN GABRIEL MEDINA PORTILLO Y PATRICIA BELEN GOMEZ MARECOS</t>
  </si>
  <si>
    <t>GLORIA BEATRIZ BENITEZ DE ZULIAN y RUBEN ANGEL ZULIAN CARBONE</t>
  </si>
  <si>
    <t>PEDRO FARIÑA GONZÁLEZ</t>
  </si>
  <si>
    <t>GUIDO HERNÁN AGUILAR LÒPEZ</t>
  </si>
  <si>
    <t>LUZ BELINDA MOLINAS COMET</t>
  </si>
  <si>
    <t xml:space="preserve"> 1/18</t>
  </si>
  <si>
    <t>SANTA AMALIA GONZALEZ VERA Y MARIO CARLOS ROMÁN AQUINO</t>
  </si>
  <si>
    <t xml:space="preserve">WILMA JESSICA VALIENTE FUNES </t>
  </si>
  <si>
    <t xml:space="preserve">VIVIANA ELIZABET ORTELLADO y RUBEN DARIO GIMÉNEZ ROLON </t>
  </si>
  <si>
    <t>GLADYS ESTER CORONEL SIMBROM</t>
  </si>
  <si>
    <t>NORMA ESTER PATIÑO ROTELA</t>
  </si>
  <si>
    <t>LOURDES GIMENEZ RECALDE</t>
  </si>
  <si>
    <t>JORGE SINFORIANO ZARZA GONZALEZ</t>
  </si>
  <si>
    <t>ROBERTO AMARILLA  y CELMIRA BEATRIZ PAUZIER DOMINGUEZ</t>
  </si>
  <si>
    <t>CARLOS OSMAR NUÑEZ BORDON</t>
  </si>
  <si>
    <t>NIMIA JOSEFA VARGAS DE MELGAREJO Y PABLO MELGAREJO BRITEZ</t>
  </si>
  <si>
    <t>ELVA BRIZUELA CARDOZO</t>
  </si>
  <si>
    <t>PATRICIA MARLENE ESCOBAR</t>
  </si>
  <si>
    <t>DIMIA PERALTA CANDIA</t>
  </si>
  <si>
    <t xml:space="preserve">LUZ ROSANA ROMERO SANCHEZ </t>
  </si>
  <si>
    <t>MIRIAN DE JESUS FRANCO MEZA</t>
  </si>
  <si>
    <t xml:space="preserve">COMPRA DE VIVEINDA NUEVA O USADA </t>
  </si>
  <si>
    <t>COMPRA DE VIVIENDA NUEVA O USADA P/PERSONAS CON DISCAPACIDAD</t>
  </si>
  <si>
    <t>PARALIZADA</t>
  </si>
  <si>
    <t>CONCEPCIÓN</t>
  </si>
  <si>
    <t>ARROYO Y ESTERO</t>
  </si>
  <si>
    <t>COMUNIDAD INDIGENA MBYA GUARANI "NARANJITO", " ISLA HU", " SANTA TERESA", "ARROYO HU"</t>
  </si>
  <si>
    <t>CARLOS ANTONIO LÓPEZ</t>
  </si>
  <si>
    <t>ASOC. TEKOVERA</t>
  </si>
  <si>
    <t xml:space="preserve">COMISIÓN MATRIZ DEL BARRIO SAN ISIDRO "FRACCIÓN LIBERTAD A Y B"                                                                                                                     </t>
  </si>
  <si>
    <t xml:space="preserve">COMUNIDAD INDIGENA "COLONIA  ARMONIA"                                                                                                                                            </t>
  </si>
  <si>
    <t>CÁNDIDO JAVIER PRESENTADO AGUAYO</t>
  </si>
  <si>
    <t>MARÍA FRANCISCA JARA SÁNCHEZ</t>
  </si>
  <si>
    <t>LEIDY LUISANA CACERES</t>
  </si>
  <si>
    <t>COMISION DE FOMENTO URBANO DIVINA MISERICORDIA</t>
  </si>
  <si>
    <t>COTEP. S.A</t>
  </si>
  <si>
    <t>SAN JORGE</t>
  </si>
  <si>
    <t>MA. MERCEDES ENRIQUEZ</t>
  </si>
  <si>
    <t xml:space="preserve">CORONEL OVIEDO </t>
  </si>
  <si>
    <t xml:space="preserve"> 5/12</t>
  </si>
  <si>
    <t xml:space="preserve">CAMBYRETA </t>
  </si>
  <si>
    <t>RES. Nº 1608-17 Y 801-16</t>
  </si>
  <si>
    <t>MYRIAN DIANA SOSA</t>
  </si>
  <si>
    <t>ARQUITECTÓNICA</t>
  </si>
  <si>
    <t>COMUNIDAD INDIGENA TOBA QOM RIO VERDE KM. 49</t>
  </si>
  <si>
    <t>BENJAMÍN ACEVAL</t>
  </si>
  <si>
    <t>COMUNIDAD INDIGENA AVA GUARANI DE LA COLONIA FORTUNA FASE 6</t>
  </si>
  <si>
    <t>PROYECTO DE 50 BENEFICIARIOS NO FUE INFORMADO LAS 47</t>
  </si>
  <si>
    <t>YA TUVO DEVOLUCION DE FONDO DE REPARO, NO SE AJUSTO EL COSTO DEL PROYECTO</t>
  </si>
  <si>
    <t>RUTH MARIELA DUARTE RODRIGUEZ</t>
  </si>
  <si>
    <t>MARIA EUGENIA BENITEZ AÑAZCO Y BERNARDINO AÑAZCO</t>
  </si>
  <si>
    <t xml:space="preserve">COMUNIDAD INDIGENA NARANJITO RIO VERDE </t>
  </si>
  <si>
    <t>CEDES/HABITAT</t>
  </si>
  <si>
    <t xml:space="preserve">COMISION DE FOMENTO Y DESARROLLO DEL ASENTAMIENTO ING. AGRO. GUIDO ALMADA I </t>
  </si>
  <si>
    <t>JUAN DE MENA</t>
  </si>
  <si>
    <t>COMISION LA ESPERANZA</t>
  </si>
  <si>
    <t>SERVICIO AGRARIO DE TECNOOGIA Y ORGANIZACIÓN COMUNITARIA - SATOC</t>
  </si>
  <si>
    <t>VILLARICA</t>
  </si>
  <si>
    <t>VERONICA OJEDA CASTELLI</t>
  </si>
  <si>
    <t xml:space="preserve">COMISION PRO VIVIENDA DE LA COLONIA SAN JUAN EX ACEPAR SEPTIMA LINEA </t>
  </si>
  <si>
    <t>YASY CAÑY</t>
  </si>
  <si>
    <t>COMISION VECINAL DEL ASENTAMIENTO SAN JOSE</t>
  </si>
  <si>
    <t>SONIA RAQUEL LIMOUSIN RIVAS</t>
  </si>
  <si>
    <t>LILIANA BEATRIZ GONZALEZ MONGELOS</t>
  </si>
  <si>
    <t>TERESA CONCEPCIÓN MACIEL DE GALEANO</t>
  </si>
  <si>
    <t>MARIA SANTA MILESI</t>
  </si>
  <si>
    <t>MIGUEL ANGEL LÓPEZ Y MARIA ISABEL LÒPEZ SOSA</t>
  </si>
  <si>
    <t>SARA BEATRÌZ LÓPEZ</t>
  </si>
  <si>
    <t>DINA DE LOS ANGELES BALCAZAR TORRES</t>
  </si>
  <si>
    <t>WENDY DENISSE VALDEZ GONZÁLEZ</t>
  </si>
  <si>
    <t>BLANCA MARGARITA DIAZ CÁCERES</t>
  </si>
  <si>
    <t>ASENTAMIENTO SAN ROQUE GONZÁLEZ DE SANTA CRUZ</t>
  </si>
  <si>
    <t>NO TIENE CALIFICACIÓN DEFINITIVA, EL BENEFICIARIO VENDIO SU TERRENO</t>
  </si>
  <si>
    <t>NO SE  RECTIFICO EL COSTO DE PROYECTO YA TUVO DEVOLUCION DE FONDO DE REPARO - RES. Nº 2633-14</t>
  </si>
  <si>
    <t>CULMINADA EN EL EJERCICIO 2015 Y  NO INFORMADA</t>
  </si>
  <si>
    <t>SE PAGO DEVOLUCION DE REPARO Y NO SE ANULO EL SUBSIDIO</t>
  </si>
  <si>
    <t>MIRIAN DIANA SOSA</t>
  </si>
  <si>
    <t xml:space="preserve">COMISION VECINAL DEL TERRITORIO SOCIAL 8 DE DICIEMBRE </t>
  </si>
  <si>
    <t>RES. Nº 965-18</t>
  </si>
  <si>
    <t>HILDA GRICELDA RECALDE</t>
  </si>
  <si>
    <t>EDU VALENZUELA ROJAS y DANEY SOLEDAD GOMEZ QUINTANA</t>
  </si>
  <si>
    <t xml:space="preserve">ALTO VERA </t>
  </si>
  <si>
    <t>INFORMADO EN EL 2014</t>
  </si>
  <si>
    <t>OBLIG. EN JUNIO/17</t>
  </si>
  <si>
    <t>NO FUE REPORTADO EN EL INFORME DE GESTION DEL 2017, PERO SI EN EL INFORME DE LA CONTRALORIA 2018</t>
  </si>
  <si>
    <t>Res, 801 del 24/04/2017 (EXCLUYE A DOS BENEFICIARIOS , 2440-17 del 26/10/2017 y 2555-17 del 09/11/2017</t>
  </si>
  <si>
    <t>DEPARTAMENTO</t>
  </si>
  <si>
    <t>GRUPO ORGANIZADO</t>
  </si>
  <si>
    <t>COMUNIDAD INDIGENA MBYA DE TEKOHA GUASU YUKERI</t>
  </si>
  <si>
    <t>TOTAL</t>
  </si>
  <si>
    <t>META SIAF INICIAL</t>
  </si>
  <si>
    <t>META SIAF A INCLUIR</t>
  </si>
  <si>
    <t xml:space="preserve">COMUNIDAD INDÍGENA LENGUA  JERUSALÉN                                                                                                                                         </t>
  </si>
  <si>
    <t>COMISIÓN DE FOMENTO Y DESARROLLO DE LA LOCALIDAD DE PASO YRUNDE ' Y</t>
  </si>
  <si>
    <t>COMISION NUEVO BARRIO DE PASO BARRETO</t>
  </si>
  <si>
    <t xml:space="preserve"> 2/18</t>
  </si>
  <si>
    <t>COMISION PRO CONSTRUCCIÓN DE VIVIENDA POR SENAVITAT DEL ASENTAMIENTO SAN MIGUEL DEL NORTE</t>
  </si>
  <si>
    <t>PROYECTO DE VIVIENDAS DENOMINADO POR AYUDA MUTUA DE USUARIOS "CENTRO ECO-URBANISTICO LIMITADA"</t>
  </si>
  <si>
    <t>desagregar por meta 49 terminada en ejercicio 2017 y 38 en ejecucion y 10 a iniciar</t>
  </si>
  <si>
    <t>COMISIÓN VECINAL LA ESPERANZA DEL BARRIO SAN CAYETANO</t>
  </si>
  <si>
    <t>COMISIÓN DE DESARROLLO DEL  ASENTAMIENTO CORONILLO DE LA COMPAÑÍA ISLA GUAZU</t>
  </si>
  <si>
    <t>COMISIÓN PRO VIVIENDA DEL ASENTAMIENTO TUYUTIMI 2</t>
  </si>
  <si>
    <t>COMISION ASENTAMIENTO FAMILIAR</t>
  </si>
  <si>
    <t>COMISIÓN PRO VIVIENDA KO'ETI PYAHU DE LA COLONIA ESTRELLITA</t>
  </si>
  <si>
    <t xml:space="preserve">ABG. MARIA CELIA ACOSTA  RIOS </t>
  </si>
  <si>
    <t>SAN VICENTE PANCHOLO</t>
  </si>
  <si>
    <t>COMISIÓN DE FOMENTO Y DESARROLLO DE LA COLONIA NARANJAYTY Y ASENTAMIENTO PABLO IBAÑEZ II</t>
  </si>
  <si>
    <t>SAN PEDRO DEL YCUAMANDIYU</t>
  </si>
  <si>
    <t xml:space="preserve"> VER SI SE DISMINUYO EL COSTO DEL PYTO</t>
  </si>
  <si>
    <t>EN PROCESO DE ANULACIÓN</t>
  </si>
  <si>
    <t>COMISIÓN DE DESARROLLO Y FOMENTO DENOMINADO MARIA AUXILIADORA DE LA COLONIA MARÍA AUXILIADORA</t>
  </si>
  <si>
    <t>falta anular ya cuenta con devolucion de fondo de reparo</t>
  </si>
  <si>
    <t xml:space="preserve">BERNARDA MARTÌNEZ </t>
  </si>
  <si>
    <t>COMUNIDAD AVA GUARANÍ DE AKARAY-MI</t>
  </si>
  <si>
    <t>COMISIÓN DE FOMENTO URBANO ASENTAMIENTO NUEVA ESPERANZA</t>
  </si>
  <si>
    <t>C.P. OSMAR SALVADOR VERA GAMARRA</t>
  </si>
  <si>
    <t>PEDRO JUAN CABALLERO</t>
  </si>
  <si>
    <t>COMUNIDAD INDIGENA PAI TAVYTERA " ITAGUAZU"</t>
  </si>
  <si>
    <t xml:space="preserve">COMUNIDAD INDIGENA Y´AKAJU DE LA ETNIA AVA GUARANI </t>
  </si>
  <si>
    <t xml:space="preserve">COMUNIDAD INDIGENA DE EL ESTRIBO - ALDEA SANTA FE                                                                                                                                   </t>
  </si>
  <si>
    <t xml:space="preserve">COMUNIDAD INDÌGENA DE EL ESTRIBO ALDEA DOS PALMAS                                                                                                                         </t>
  </si>
  <si>
    <t>COMISION VECINAL KYRE'Y ASENTAMIENTO SAN ROQUE</t>
  </si>
  <si>
    <t>COMISION DE FOMENTO Y DESARROLLO  DE LA LOCALIDAD DE EL TRIUNFO</t>
  </si>
  <si>
    <t xml:space="preserve">COMISION DE DESARROLLO COMUNITARIO SAN LUIS II DE LA COLONIA ARROYO HONDO  I Y III </t>
  </si>
  <si>
    <t>DODANY GUSTAVO VOUGA</t>
  </si>
  <si>
    <t>COMISION DE FOMENTO Y DESARROLLO DEL ASENTAMIENTO SAN PEDRO POTY BASE URBANA</t>
  </si>
  <si>
    <t>COMISION PRO VIVIENDA SAN VICENTE PACHOLO</t>
  </si>
  <si>
    <t xml:space="preserve">SAN PEDRO DE YCUAMANDYYU </t>
  </si>
  <si>
    <t>COMISION VECINAL PRO ACTIVIDAD SAN MARTIN</t>
  </si>
  <si>
    <t>COMISION DE FOMENTO TERRITORIO SOCIAL HABITACIONAL PRIMAVERA</t>
  </si>
  <si>
    <t>CONSULTORA A &amp; S LIC. NOLASCO ALMADA MARTINEZ</t>
  </si>
  <si>
    <t>AARON RICHAR PEÑA VERTE Y LIZ KARINA ALICER CIBILS ALMIRON</t>
  </si>
  <si>
    <t>ROSA AMELIA LOPEZ PEREIRA</t>
  </si>
  <si>
    <t>ARNALDO SANTO ESCOBAR Y AMALIA ILLA DE SANTO</t>
  </si>
  <si>
    <t>ROLANDO HEREBIA RODRIGUEZ Y PRISMELIA ESPINOZA CHAVEZ</t>
  </si>
  <si>
    <t>AUDBERTO ANASTACIO BARRIENTOS RODAS Y PABLA ELVIRA RODAS DE BARRIENTOS</t>
  </si>
  <si>
    <t>FATIMA MARLENE AGÜERO LEON</t>
  </si>
  <si>
    <t>IVAN ARIEL PEREIRA VILLANUEVA Y CECILIA ELIZABETH DAURELLE LOPEZ</t>
  </si>
  <si>
    <t>DOMINGO PANGRACIO CANTERO OVIEDO Y NIMIA GARCIA DE CANTERO</t>
  </si>
  <si>
    <t>COMUNIDAD INDIGENA NUEVA PROMESA SANAPANA</t>
  </si>
  <si>
    <t>DOBLE META</t>
  </si>
  <si>
    <t>COMISIÒN  VECINAL LOS GANSOS - PROYECTO "SUEÑOS Y ESPERANZAS 1"</t>
  </si>
  <si>
    <t>YBY PYTA</t>
  </si>
  <si>
    <t xml:space="preserve">COMUNIDAD INDIGENA "YALVE SANGA"  ETNIA LENGUA                                                                                                                              </t>
  </si>
  <si>
    <t>COMUNIDAD INDIGENA MASKOY DE RIACHO MOSQUITO</t>
  </si>
  <si>
    <t>se encuentra en proceso la solicitud de anulación de ese subsidio, según Expediente N° 32159-18 y aún no tiene Resolución.</t>
  </si>
  <si>
    <t xml:space="preserve">JUNTA COMUNAL DE LA LOCALIDAD DE CURUZU ÑU </t>
  </si>
  <si>
    <t>doble meta</t>
  </si>
  <si>
    <t>COMUNIDAD INDIGENA YPETIMI</t>
  </si>
  <si>
    <t>COMISIÓN DIRECTIVA LA GLORIA I - SEGUNDA FASE</t>
  </si>
  <si>
    <t xml:space="preserve"> 4/18</t>
  </si>
  <si>
    <t>SAN ALFREDO</t>
  </si>
  <si>
    <t>RES. N° 801-16 SE ANULO 1 SUBSIDIO Y RES. N° 1608-17 SE ANULO 11 SUBSIDIOS</t>
  </si>
  <si>
    <t xml:space="preserve"> 3/18</t>
  </si>
  <si>
    <t>CEDES HABITAT</t>
  </si>
  <si>
    <t>SAN MIGUEL</t>
  </si>
  <si>
    <t>COMISION DE FOMENTO Y DESARROLLO 1° DE MAYO</t>
  </si>
  <si>
    <t>COMISION VECINAL DEL ASENTAMIENTO KUARAHY RESE</t>
  </si>
  <si>
    <t>SAN PEDRO DEL PARANA</t>
  </si>
  <si>
    <t xml:space="preserve">COMISON DE FOMENTO Y DESARROLLO DEL ASENTAMIENTO 15 DE MAYO </t>
  </si>
  <si>
    <t>COMISION CHE ROGARA RA</t>
  </si>
  <si>
    <t>RESOLUCION DE RESCICION N° 1958 DEL 2018</t>
  </si>
  <si>
    <t>RES. DE ANULACION N° 274 (3 BENEFICIARIOS)</t>
  </si>
  <si>
    <t>COMISION VECINAL EL PROGRESO</t>
  </si>
  <si>
    <t>RESCNIDIDA</t>
  </si>
  <si>
    <t>LAMBARE</t>
  </si>
  <si>
    <t>COMPRA D+539:856E VIVIENDA</t>
  </si>
  <si>
    <t>COMISION VECINAL SANTA ROSA</t>
  </si>
  <si>
    <t xml:space="preserve">COMISION DIRECTIVA DEL TERRITORIO SOCIAL DOS DE ORO DE LA CALLE VIRGEN DE FATIMA </t>
  </si>
  <si>
    <t>COMISION DIRECTIVA PRO DESARROLLO Y FOMENTO</t>
  </si>
  <si>
    <t>LIC. MARÍA MERCEDES ENRIQUEZ ARANDA</t>
  </si>
  <si>
    <t>ABOG. FEDERICO ARIEL CABRAL MORINIGO  - ACG CONSULTORA INTEGRAL</t>
  </si>
  <si>
    <t xml:space="preserve">COMISION SAGRADA FAMILIA DE LA COMPAÑÍA YACAREY </t>
  </si>
  <si>
    <t>COMISION DE FOMENTO Y DESARROLLO DE LOMA HOVY</t>
  </si>
  <si>
    <t>PIRIBEBUY</t>
  </si>
  <si>
    <t>ABOG MARIA CELIA ACOSTA</t>
  </si>
  <si>
    <t>COMISION PRO VIVIENDA DEL TERRITORIO SOCIAL LAS MERCEDES II</t>
  </si>
  <si>
    <t>COMISION CENTRAL DEL TERRITORIO SOCIAL MBOCAJATY I</t>
  </si>
  <si>
    <t>COMISION CENTRAL DEL TERRITORIO SOCIAL SAN RAFAEL</t>
  </si>
  <si>
    <t>COMISION CENTRAL TERRITORIO  SOCIAL LAS MERCEDES II DEL BARRIO COSTA ALEGRE</t>
  </si>
  <si>
    <t xml:space="preserve">U.S.A.G. -ORGANIZACIÓN NO GUBERNAMENTAL UNIDAD DE SERVICIO AGRICOLA GANADERA - AMBIENTALMENTE SUSTENTABLE </t>
  </si>
  <si>
    <t>OSMAR SALVADOR VERA GAMARRA</t>
  </si>
  <si>
    <t>COMISION DE DESARROLLO RURAL DE LA COLONIA SANTA ROSA DE LIMA</t>
  </si>
  <si>
    <t>SAN JUAN DE NEPOMUCENO</t>
  </si>
  <si>
    <t>COMISION VECINAL DE LA LOCALIDAD DEL ASENTAMIENTO VY´A RAITY</t>
  </si>
  <si>
    <t>COMISION PRO VIVIENDA PROYECTO SIN HABITAD</t>
  </si>
  <si>
    <t>ASOCIACION CAMPESINOS EL TRIUNDO DEL ASENTAMIENTO SAN CAYETANO</t>
  </si>
  <si>
    <t>COMISION VECINAL DE LA LOCALIDAD DE CAPITAN MEZA PUERTO</t>
  </si>
  <si>
    <t>ALTO VERA - SAN PEDRO DEL PARANA</t>
  </si>
  <si>
    <t>GENERAL ARTIGAS</t>
  </si>
  <si>
    <t>COOPERATES "COOPERATIVA DE TRABAJO DE ASISTENCIA TECNICA Y SERVICIOS LIMITADA"</t>
  </si>
  <si>
    <t>YATYTAY</t>
  </si>
  <si>
    <t>CAPITAN MEZA</t>
  </si>
  <si>
    <t>COMISION VECINAL DEL ASENTAMIENTO  UNION SANJUANINA</t>
  </si>
  <si>
    <t>COMISION VECINAL DE FOMENTO URBANO ASENTAMIENTO TIERRA PROMETIDA</t>
  </si>
  <si>
    <t>COMISION VECINAL DEL TERRITORIO SOCIAL SOL NACIENTE 1</t>
  </si>
  <si>
    <t>COMISION VECINAL DIVINO NIÑO JESUS</t>
  </si>
  <si>
    <t>ORGANIZACIÓN DESARROLLO COMUNITARIO -  COMUNIDAD EL PROGRESO</t>
  </si>
  <si>
    <t>RUBEN DARIO CORONEL</t>
  </si>
  <si>
    <t>COMUNIDAD INDIGENA CERRO AKANGUE DE LA ETNIA PAI TAVYTERA</t>
  </si>
  <si>
    <t>BELLA VISTA</t>
  </si>
  <si>
    <t>EMPRENDIMIENTO INMBOLIARIOS - CRISTHIAN MANUEL ARAUJO</t>
  </si>
  <si>
    <t>TENIENTE 1° ESTEBAN MARTINEZ</t>
  </si>
  <si>
    <t>COMISION VECINAL DEL TERRITORIO  SOCIAL RENACER DEL KM 7 1/2 MONDAY</t>
  </si>
  <si>
    <t>ING. ALICIA DAMIANA GIMENEZ SOSA</t>
  </si>
  <si>
    <t>COMISION VECINAL DE FOMENTO TERRITORIO  SOCIAL LA PIEDAD</t>
  </si>
  <si>
    <t>BADESO</t>
  </si>
  <si>
    <t>COMISIÓN VECINAL PRO VIVIENDA CARMEN SOLER</t>
  </si>
  <si>
    <t xml:space="preserve">COMISIÓN PRO CONSTRUCCIÓN DE VIVIENDAS </t>
  </si>
  <si>
    <t>RUBÉN DARIO RAMIREZ SOSA</t>
  </si>
  <si>
    <t>COMISIÓN CENTRAL DEL TERRITORIO SOCIAL JUAN LATÍN DEL BARRIO SAN LUIS</t>
  </si>
  <si>
    <t>COMUNIDAD INDIGENA ITAYPAVUSU PERTENECIENTE A LA PARCIALIDAD PAÍ- TAVYTERA</t>
  </si>
  <si>
    <t>CONATEM</t>
  </si>
  <si>
    <t>ZANJA PYTA</t>
  </si>
  <si>
    <t>TAVA PORA</t>
  </si>
  <si>
    <t>TAVA' I</t>
  </si>
  <si>
    <t>TEODORA ROJAS</t>
  </si>
  <si>
    <t xml:space="preserve">TERESA AREVALOS </t>
  </si>
  <si>
    <t>NICOLASA ISABEL  MENDEZ</t>
  </si>
  <si>
    <t>RAMONA CORONEL MARTINEZ</t>
  </si>
  <si>
    <t>COMPRA DE VIVIENDA NUEVA O USADA</t>
  </si>
  <si>
    <t>EDIFICACIÓN EN LOTE PROPIO</t>
  </si>
  <si>
    <t>NORMA BEATRIZ ROMERO INSFRAN</t>
  </si>
  <si>
    <t>JULIO CESAR SAMANIEGO HERMOSILLA</t>
  </si>
  <si>
    <t>ALFREDO JUAN CAÑIZA SANCHEZ Y MARIA BELEN AYALA RODRIGUEZ</t>
  </si>
  <si>
    <t>ROBERTO ALMEIDA CAÑETE</t>
  </si>
  <si>
    <t>CLARA ROSANA TORALES ESCOBAR</t>
  </si>
  <si>
    <t>EDELMIRA MADDE MEDINA DE INSFRAN Y JACINTO NERY INSFRAN DAVALOS</t>
  </si>
  <si>
    <t>ROBERTO CASTILLO BENITEZ Y MARIA CRISTINA FERREIRA BAEZ</t>
  </si>
  <si>
    <t>WILSON FABIAN RODRIGUEZ VERA y BLANCA ESTELA MERELES GARCIA</t>
  </si>
  <si>
    <t>LIMPIA CONCEPCIÓN MORENO VELAZQUEZ y JOSE SEBASTIAN MARIN</t>
  </si>
  <si>
    <t>MARIA ALBANA FRUTOS FLORENTIN y OSCAR DARIO CANO NUÑEZ</t>
  </si>
  <si>
    <t>PATRICIA NOEMI PORTILLO DE ARZAMENDIA Y NESTOR ARZAMENDIA MARTINEZ</t>
  </si>
  <si>
    <t>HORACIO CENTURION HOPF</t>
  </si>
  <si>
    <t>FATIMA NOEMI GALEANO MARTINEZ</t>
  </si>
  <si>
    <t>TORIBIA DOMINGUEZ GONZALEZ</t>
  </si>
  <si>
    <t>MARINO RODAS CORONEL  Y NANCY GRACIELA GONZALEZ  GIMENEZ</t>
  </si>
  <si>
    <t>MARIANA BELEN SANTANDER FRETES Y VICTOR DANILO PAREDES</t>
  </si>
  <si>
    <t>CYNTHIA LORENA FLEITAS FALCÓN</t>
  </si>
  <si>
    <t xml:space="preserve"> HILARIO GALEANO VELAZTIQUI  y MARGARITA CAÑIZA DE GALEANO</t>
  </si>
  <si>
    <t>EVER HUGO LEON OZORIO y CLARA GRISELDA SANCHEZ DE LEON</t>
  </si>
  <si>
    <t>ISIDRO LOPEZ CENTURION Y CANDIDA AVALOS DE LOPEZ</t>
  </si>
  <si>
    <t>ZULMA CHAPARRO ENCISO DE SANTOS</t>
  </si>
  <si>
    <t>AGUSTIN RESQUIN CACERES</t>
  </si>
  <si>
    <t>RAMON EVER VELAZQUEZ SANTACRUZ</t>
  </si>
  <si>
    <t xml:space="preserve">RESUMEN META  AL 31/12/2018 SIAF INICIAL  </t>
  </si>
  <si>
    <t>RESUMEN META AL 31/12/2018 - SIAF A INCLUIR</t>
  </si>
  <si>
    <t>COMISION DIRECTIVA ASENTAMIENTO 1° DE MAYO</t>
  </si>
  <si>
    <t>COMISION VECINAL DE FOMENTO TERRITORIO SOCIAL 2 DE NOVIEMBRE</t>
  </si>
  <si>
    <t>COMISION VECINAL DEL TERRITORIO SOCIAL PORVENIR II</t>
  </si>
  <si>
    <t>COMISON VECINAL 8 DE DICIEMBRE DE KM 5</t>
  </si>
  <si>
    <t>TENIENTE ESTEBAN MARTINEZ</t>
  </si>
  <si>
    <t>COMISION VECINAL SAN MIGUEL</t>
  </si>
  <si>
    <t>COMUNIDAD INDIGENA KIRITO NUEVO, PERTENCIENTE A LA PARCIALIDAD AVA CHIRIPA</t>
  </si>
  <si>
    <t>CODES - COMUNIDAD Y DESARROLLO SUSTENTABLE</t>
  </si>
  <si>
    <t>P ANULAR BUSCAR N° DE RES.</t>
  </si>
  <si>
    <t>CARMEN ECHAGUE DE BENITEZ y HERIBERTO BENITEZ FARIÑA</t>
  </si>
  <si>
    <t>MILDER MANUEL TULLO ALFONZO Y ZUNILDA BEATRIZ LARREA CENTURIÓN</t>
  </si>
  <si>
    <t>VIRGILIO QUINTIN BELOTTO BENITEZ Y MARIANA SALDIVAR INSFRÁN</t>
  </si>
  <si>
    <t>VER SI SE ANULO</t>
  </si>
  <si>
    <t>CAMBIO DE SAT</t>
  </si>
  <si>
    <t>NO SE INICIO, FUE INFORMADO EN EJECUCION POR ERROR</t>
  </si>
  <si>
    <t>COMUNIDAD INDIGENA AVA - GUARANI ÑANDEVA DE TIMOTEO</t>
  </si>
  <si>
    <t>Res. De rescisión N° 488 del 26/11/2018, SE VISUALIZA UNA VARIACION DE LO REPORTADO EN EL 2018 EN EL PORCENTAJE DE OBRA DEBIDO A LA CUENTA FINAL</t>
  </si>
  <si>
    <t>RES.N° 317 DEL 01/11/18, SE VISUALIZA UNA VARIACION DE LO REPORTADO EN EL 2018 POR ACUERDO</t>
  </si>
  <si>
    <t>81,36 FIGURABA EN EL INFORME ANTERIOR, SE VISUALIZA UNA VARIACION DE LO REPORTADO EN EL 2018 EN EL PORCENTAJE DE OBRA DEBIDO A LA CUENTA FINAL</t>
  </si>
  <si>
    <t xml:space="preserve"> %AVANCE DE OBRAS AL 10/04/2019</t>
  </si>
  <si>
    <t>ESTADO DE OBRAS AL 10/04/2019</t>
  </si>
  <si>
    <t>COMISIÓN PRO VIVIENDA DE LA LOCALIDAD DE CULANDRILLO DEL DISTRITO DE HORQUETA</t>
  </si>
  <si>
    <t xml:space="preserve"> 1/19</t>
  </si>
  <si>
    <t>ASOCIACIÓN COMUNITARIA CAMPESINA DEL ASENTAMIENTO ARROYITO (ACC-A)</t>
  </si>
  <si>
    <t>HIDROCONTROL S.A.</t>
  </si>
  <si>
    <t>ARROYITO</t>
  </si>
  <si>
    <t>COMISIÓN PRO- TECHO DE LA LOCALIDAD DE PEGUAJHO LOMA</t>
  </si>
  <si>
    <t>SILVIO FARIÑA MARTÍNEZ</t>
  </si>
  <si>
    <t>COMISIÓN VECINAL DEL ASENTAMIENTO JULIÁN JARA DE LA CALLE 40 DEL BO. VIRGEN DE FÁTIMA</t>
  </si>
  <si>
    <t>COMISIÓN DE FOMENTO Y DESARROLLO DEL ASENTAMIENTO TACUATI POTY</t>
  </si>
  <si>
    <t>COMISIÓN PRO VIVIENDA POR UNA CASA DIGNA REGINA MARECOS</t>
  </si>
  <si>
    <t>COMISIÓN PRO-VIVIENDA DE LA LOCALIDAD DE ARROYO HU</t>
  </si>
  <si>
    <t>CAAGUAZU</t>
  </si>
  <si>
    <t>DR. EULOGIO ESTIGARRIBIA</t>
  </si>
  <si>
    <t>COMISIÓN "CHE ROGARA TEETE" DE SAN MIGUEL MISIONES</t>
  </si>
  <si>
    <t>CVI CONSULTORES Y ASOCIADOS</t>
  </si>
  <si>
    <t>COMISIÓN DIRECTIVA PRO VIVIENDA COLONIAS UNIDAS DE MBUYAPEY</t>
  </si>
  <si>
    <t>COMISIÓN VECINAL SOL NACIENTE</t>
  </si>
  <si>
    <t>COMUNIDAD INDIGENA MAKA DE MARIANO ROQUE ALONSO</t>
  </si>
  <si>
    <t xml:space="preserve">ERROR DE AVANCE DE OBRAS PRESENTADO POR FISCAL </t>
  </si>
  <si>
    <t>COMISIÓN PRO- VIVIENDA Y NUEVA VIDA</t>
  </si>
  <si>
    <t>COMUNIDAD INDÍGENA "CANINDE" PERTENECIENTE A LA ETNIA AVA</t>
  </si>
  <si>
    <t>COMUNIDAD INDÍGENA "SANJA MOROTÍ (JOYVY)", PERTENECIENTE A LA ETNIA</t>
  </si>
  <si>
    <t>COMUNIDAD INDÍGENA EL ESTRIBO- ALDEA ALEGRE</t>
  </si>
  <si>
    <t>COMUNIDAD INDÍGENA EL ESTRIBO-ALDEA PALO SANTO</t>
  </si>
  <si>
    <t>"COMUNIDAD INDÍGENA EL ESTRIBO - ALDEA KARANDA"</t>
  </si>
  <si>
    <t>COMUNIDAD INDÍGENA ISHOR DEL LUGAR DENOMINADO ONHICHTA</t>
  </si>
  <si>
    <t xml:space="preserve">SE DESCONTO EL MONTO CORRESPONDIENTE AL 1ER DESEMBOLSO DE 4 VIVI. EN EL SEGUNDO DESEMBOLSO DE 22 VIV. </t>
  </si>
  <si>
    <t>SUFRIO VARIACION POR CUENTA FINAL</t>
  </si>
  <si>
    <t>COMISIÓN CENTRAL DEL TERRITORIO SOCIAL "8 DE DICIEMBRE" DE LA COMPAÑÍA WALTER INSFRÁN</t>
  </si>
  <si>
    <t>COMUNIDAD INDIGENA CHEIRO ARAPOTY, PARCIALIDAD MBYA APYTERE DE SAN JUAN YHOVY</t>
  </si>
  <si>
    <t>COMUNIDAD INDIGENA CHEIRO ARAPOTY,  PARCIALIDAD MBYA APYTERE DE JAGUARY</t>
  </si>
  <si>
    <t>COMISIÓN  DE FOMENTO Y DESARROLLO DEL ASENTAMIENTO JUSTO VILLANUEVA DE LA  COLONIA LUZ BELLA</t>
  </si>
  <si>
    <t>CULMINADA 2016</t>
  </si>
  <si>
    <t>CULMINADA 2017</t>
  </si>
  <si>
    <t>CULMINADA 2018</t>
  </si>
  <si>
    <t>CULMINADA 2019</t>
  </si>
  <si>
    <t xml:space="preserve">AMANDA  LEDESMA </t>
  </si>
  <si>
    <t>COMISIÓN VECINAL DE ACCIÓN MÚLTIPLE ASENTAMIENTO SAN ROQUE UBICADO EN KILOMETRO 24 1/2</t>
  </si>
  <si>
    <t>COMISIÓN VECINAL FORTALEZA 1, 2, 3 YPANÉ CENTRO</t>
  </si>
  <si>
    <t xml:space="preserve">COMISION PRO TECHO DEL BARRIO SAN JUAN </t>
  </si>
  <si>
    <t>GRAL. ELIZARDO AQUINO</t>
  </si>
  <si>
    <t>SEMPRONIANA CENTURION BENITEZ</t>
  </si>
  <si>
    <t>CARMEN ALEXANDRA CABALLERO GONZALEZ - COMPRA DE VIVIENDA PCD</t>
  </si>
  <si>
    <t xml:space="preserve"> MARIA BEATRIZ MASI REJALA - COMPRA DE VIVIENDA PCD</t>
  </si>
  <si>
    <t xml:space="preserve"> AZUCENA RUIZ DIAZ DE ROJAS - COMPRA DE VIVIENDA PCD</t>
  </si>
  <si>
    <t>ALICIA ELIZABETH AQUINO GONZALEZ - COMPRA DE VIVIENDA PCD</t>
  </si>
  <si>
    <t xml:space="preserve"> YGNACIA DELVALLE VDA DE ACUÑA - COMPRA DE VIVIENDA PCD</t>
  </si>
  <si>
    <t xml:space="preserve"> MARIA BEATRIZ ALEGRE BERNAL- COMPRA DE VIVIENDA PCD</t>
  </si>
  <si>
    <t xml:space="preserve"> SONIA CELESTE ORTIZ RAMIREZ - EDIFICACIÓN LOTE PROPIO</t>
  </si>
  <si>
    <t xml:space="preserve"> MARILDA MABEL NUÑEZ ESCOBAR - COMPRA DE VIVIENDA PCD</t>
  </si>
  <si>
    <t xml:space="preserve"> MARIA FIDELA ARTETA MENDEZ</t>
  </si>
  <si>
    <t xml:space="preserve">CULMINADAS ADMINISTRACIÓN DURÁN </t>
  </si>
  <si>
    <t>DANY DURÁN</t>
  </si>
  <si>
    <t>SINDULFO RAFAEL MELGAREJO GARCIA</t>
  </si>
  <si>
    <t>MIGUELA ROMERO FRANCO</t>
  </si>
  <si>
    <t>CYNTHIA NOELIA IBARRA PEÑA}</t>
  </si>
  <si>
    <t>Departamento</t>
  </si>
  <si>
    <t>CULMINADAS POR AÑO</t>
  </si>
  <si>
    <t>OBRAS 2019</t>
  </si>
  <si>
    <t>DUPLICADO</t>
  </si>
  <si>
    <t>INFORMADA EN EL 2015</t>
  </si>
  <si>
    <t xml:space="preserve">   </t>
  </si>
  <si>
    <t>META A MODIFICAR</t>
  </si>
  <si>
    <t>VER RESOLUCION DE ANULACION</t>
  </si>
  <si>
    <t>P/ ANULAR</t>
  </si>
  <si>
    <t>MYRIAN BRITOS</t>
  </si>
  <si>
    <t>P/ANULAR</t>
  </si>
  <si>
    <t>VER RESOLUCION DE RECTIFICACION DE DISTRIBUCION DE DEPARTAMENTO</t>
  </si>
  <si>
    <t>CAMBIODE SAT POR RESOLUCION n| 2861-17</t>
  </si>
  <si>
    <t>VER AVANCE DE OBRAS</t>
  </si>
  <si>
    <t>VER EL EXP. DEL SEGUNDO DESEMBOLSO PORQUE NO FUE PROCESADO</t>
  </si>
  <si>
    <t>VER N° DE RESOLUCION DE ANULACION FECHA 30/07/2018</t>
  </si>
  <si>
    <t>VER N|° DE RESOLUCION DE ANULACION AÑO 2017</t>
  </si>
  <si>
    <t>P/ ANULAR PROYECTO</t>
  </si>
  <si>
    <t>DOBLE META (VER SI TIENE RESOLUCION DE ANULACION YA CUENTA CON CALIFICACION DEFINITIVA), PEDIDO DE CAMBIO DE SAT PARA UNA VIVIV.</t>
  </si>
  <si>
    <t>VER N° DE RESOLUCION DE ANULACION 06/07/2018</t>
  </si>
  <si>
    <t>VER N° DE RESOLUCION DE ANULACION 09/01/2019</t>
  </si>
  <si>
    <t>ENRIQUE AYALA</t>
  </si>
  <si>
    <t>RESOLUCIÓN N° 470 DEL 22/11/2018, LA EMPRESA AVANZÓ CON LAS OBRAS CONFORME A ACUERDO FIRMADO, VER RESOLUCION DE CAMBIO DE SAT</t>
  </si>
  <si>
    <t xml:space="preserve">RESOLUCION DE DISMINUCION DE COSTO DE PROYECTO Y CAMBIO DE PROYECTO </t>
  </si>
  <si>
    <t>VER RESOLUCION DE ANULACION 23/07/2018</t>
  </si>
  <si>
    <t xml:space="preserve">VER SITUACION DE OBRAS, INICIADA </t>
  </si>
  <si>
    <t>p/ANULAR</t>
  </si>
  <si>
    <t>CAMBIO DE BENEFICIARIO</t>
  </si>
  <si>
    <t>FALTA POLIZA PARA PAGO DE PRIMER DESEMBOLSO</t>
  </si>
  <si>
    <t>FALTA LICENCIA AMBIENTAL</t>
  </si>
  <si>
    <t>VERIFICAR AVANCE DE OBRAS PORQUE RECIBIO EL PRIMER DESEMBOLSO ABRIL/18</t>
  </si>
  <si>
    <t>VERIFICAR AVANCE DE OBRAS PORQUE RECIBIO EL PRIMER DESEMBOLSO ABRIL/18- SE CONCEDIERON 176 DIAS DE PRORROGA HASTA EL 27/05/2019</t>
  </si>
  <si>
    <t>16 Viv en ej./ 9 a iniciar, 3 FALLECIDOS Y FALTA ANULACION (INDIGINAS NO CUENTA CON CERTIFICADO DE DEFUNCION)</t>
  </si>
  <si>
    <t>ASOCIACIÓN TEKOVE SERVICIO DE ACCIÓN SOCIAL</t>
  </si>
  <si>
    <t>COMUNIDAD INDIGENA MAKA</t>
  </si>
  <si>
    <t xml:space="preserve">COMISIÓN "CHE ROGARA TEETE" </t>
  </si>
  <si>
    <t>COMUNIDAD INDIGENA  LA ESPERANZA, PERTENECIENTE  AL PUEBLO SANAPANÁ</t>
  </si>
  <si>
    <t>EMPRENDIMIENTO INMBOLIARIOS</t>
  </si>
  <si>
    <t>DIFERENCIA NO DECLARADA A FEBRERO</t>
  </si>
  <si>
    <t>INFORMADAS A FEBRERO/2019</t>
  </si>
  <si>
    <t>NO TIENE TITULO DE PROPIEDAD</t>
  </si>
  <si>
    <t>J.M</t>
  </si>
  <si>
    <t>CAMBIO DE CONSTRUCTORA</t>
  </si>
  <si>
    <t>VERIFICAR AVANCE DE OBRAS PORQUE RECIBIO EL PRIMER DESEMBOLSO ABRIL/18, SE CONCEDIERON 176 DIAS DE PRORROGA HASTA EL 27/05/2019</t>
  </si>
  <si>
    <t>COMUNIDAD INDIGENA  LA ESPERANZA , PERTENECIENTE AL PUEBLO SANAPANÁ</t>
  </si>
  <si>
    <t>Dirección General de Planificación Estratégica</t>
  </si>
  <si>
    <t>ALTO VERA</t>
  </si>
  <si>
    <t>SE VA RECTIFICAR 2 benef., motivos abandono de hogar Exped. N° 605-19( proceso ) y otro por fallecimiento ya rectificado con N° de Res.624/19del nexo de la Resol. 708/18. Monto del Susb. Para 16 Benef. Gs: 1.202.917.443</t>
  </si>
  <si>
    <t>META SIAF INICIAL 2019</t>
  </si>
  <si>
    <t>SERVICIO AGRARIO DE TECNOLOGIA Y ORGANIZACIÓN COMUNITARIA - SATOC</t>
  </si>
  <si>
    <t>MYRIAN BRITOS DE CABRERA</t>
  </si>
  <si>
    <t>CAMBIO DE SAT, CULMINADA EN MAYO</t>
  </si>
  <si>
    <t>TERRITORIO SOCIAL SAN JORGE DE LA LOCALIDAD DE SAN ISIDRO</t>
  </si>
  <si>
    <t>COMISIÓN VECINAL DE TAVA PORA</t>
  </si>
  <si>
    <t>COMISION DE FOMENTO Y DESARROLLO DEL ASENTAMIENTO 1° DE MAYO</t>
  </si>
  <si>
    <t>ASOCIACION CAMPESINOS EL TRIUNDO DEL ASENTAMIENTO SAN CAYETANO DE LA COLONIA BONANZA</t>
  </si>
  <si>
    <t>CULMINADA EN MAYO</t>
  </si>
  <si>
    <t>COMUNIDAD INDIGENA AVA GUARANÍ DE AKARAY-MI</t>
  </si>
  <si>
    <t>COMUNIDAD INDÍGENA "CANINDE" PERTENECIENTE A LA ETNIA AVA GUARANÍ</t>
  </si>
  <si>
    <t>COMUNIDAD INDÍGENA "SANJA MOROTÍ (JOYVY)", PERTENECIENTE A LA ETNIA MBYA GUARANÍ</t>
  </si>
  <si>
    <t>COMISIÓN DE FOMENTO Y DESARROLLO DE LA LOCALIDAD DE PASO URUNDE ' Y</t>
  </si>
  <si>
    <t>CAMBIO DE SAT RES.N°</t>
  </si>
  <si>
    <t>VER SI SE ANULO Y CAMBIO DE SAT</t>
  </si>
  <si>
    <t>ASOCIACIÓN COMUNITARIA CAMPESINA DEL ASENTAMIENTO ARROYITO (ACCA-A)</t>
  </si>
  <si>
    <t xml:space="preserve"> INDEPENDENCIA</t>
  </si>
  <si>
    <t>COMISION CENTRAL DEL TERRITORIO SOCIAL MBOKAJATY I</t>
  </si>
  <si>
    <t xml:space="preserve">OGA PORA GUYPE </t>
  </si>
  <si>
    <t>ANULADO POR RESOLUCIÓN N° 560-18</t>
  </si>
  <si>
    <t xml:space="preserve"> RESOLUCION DE ANULACION N° 327/18</t>
  </si>
  <si>
    <t>RES.DE ANULACION N° 1906-18</t>
  </si>
  <si>
    <t>RES. DE ANULACIÓN N°629-19</t>
  </si>
  <si>
    <t>16 Viv en ej./ 9 a iniciar,RES. DE ANULACION N° 798-19 ( INDIGENAS NO CUENTAN CON CERTIFICADO DE DEFUNCIÓN)</t>
  </si>
  <si>
    <t>RES. DE ANULACION N° 803-19</t>
  </si>
  <si>
    <t>ANULADO POR RESOLUCION Nº 1739 Y 1742 DEL 08/08/2017</t>
  </si>
  <si>
    <t>RES. DE ANULACION N° 843-18</t>
  </si>
  <si>
    <t>RES. DE ANULACION N° 1887-18</t>
  </si>
  <si>
    <t xml:space="preserve"> RESOLUCION DE ANULACION N° 2933-17</t>
  </si>
  <si>
    <t>NO SE  RECTIFICO EL COSTO DE PROYECTO YA TUVO DEVOLUCION DE FONDO DE REPARO - RES. DE ANULACIÓN N° DEL BENEFICIARIO -EXP. Nº 4954-16</t>
  </si>
  <si>
    <t>RES. DE ANULACIÓN N° 597-19</t>
  </si>
  <si>
    <t>RES.DE ANULACION N°061-19</t>
  </si>
  <si>
    <t xml:space="preserve">RES. DE ANULACION N° 1721-18 </t>
  </si>
  <si>
    <t>RES.DE DISMINUCIÓN DE COSTO DE PYTO N° 1722-18</t>
  </si>
  <si>
    <t>RES.DE DISMINUCIÓN DE COSTO DE PYTO N° 1672-18</t>
  </si>
  <si>
    <t>RES. DE DISMINUCIÓN DE COSTO DE PYTO.  N° 1869-18</t>
  </si>
  <si>
    <t>FALTA N° DE RESOLUCION DE ANULACION</t>
  </si>
  <si>
    <t xml:space="preserve">COMUNIDAD INDIGENA YVYTY MIRI.                                                                                                                                                               </t>
  </si>
  <si>
    <t>50 Viv en ej./ 18 a iniciar 3 anuladas  RES. De DISMINUCIÓN DE COSTO DE PYTO. N° 704-19</t>
  </si>
  <si>
    <t xml:space="preserve">FALTA RES. E RESCICION </t>
  </si>
  <si>
    <t xml:space="preserve">COMISION CENTRAL DEL TERRITORIO SOCIAL NUEVA ESPERANZA I </t>
  </si>
  <si>
    <t>RESOLUCIÓN DE ANULACIÓN N° 473-18</t>
  </si>
  <si>
    <t xml:space="preserve">COMISION DE FOMENTO Y DESARROLLO DEL ASENTAMIENTO 15 DE MAYO </t>
  </si>
  <si>
    <t>CULMINADA EN JUNIO</t>
  </si>
  <si>
    <t xml:space="preserve">COMISIÓN VECINAL PRO - VIVIENDA 22 DE OCTUBRE ASENTAMIENTO TAPYIRÁ                                                                                                       </t>
  </si>
  <si>
    <t>CULMINADO EN JUNIO</t>
  </si>
  <si>
    <t>VILLA YGATIMI</t>
  </si>
  <si>
    <t xml:space="preserve">COMUNIDAD INDIGENA GUARANI-CHIRIPA DE MBOIJAGUA                                                                                                                               </t>
  </si>
  <si>
    <t xml:space="preserve"> SAN PEDRO DEL PARANÁ</t>
  </si>
  <si>
    <t>NORMA NUÑEZ ESTIGARRIBIA</t>
  </si>
  <si>
    <t>CRISTINA RIVAS CORREA</t>
  </si>
  <si>
    <t>Fondo de Reparo Exp N° 19.363/16; Asiento de Egreso 5371 DEL 11/04/19</t>
  </si>
  <si>
    <t>Fondo de Reparo Exp N° 20.359/16; Asiento de Egreso 5375 del 11/04/19</t>
  </si>
  <si>
    <t>OBLIG. EN JUNIO/17 Primer y Segundo Desembolso</t>
  </si>
  <si>
    <t>MARCIA BEATRIZ LEIVA GUERRERO</t>
  </si>
  <si>
    <t>Asiento de Egreso 11.601 del 20/06/19</t>
  </si>
  <si>
    <t>Asiento de Egreso 11.753 del 20/06/19</t>
  </si>
  <si>
    <t>ISMAEL GUERRERO E ISIDRA RAMONA AGÜERO DE GUERRERO</t>
  </si>
  <si>
    <t>Cobro 2do desembolso en Mayo 2019</t>
  </si>
  <si>
    <t>Cobro 2do desembolso en Febrero de 2019</t>
  </si>
  <si>
    <t>Asiento de Egreso 11768 del 20/06/19</t>
  </si>
  <si>
    <t>Asiento de Egreso 12040 del 21/06/19</t>
  </si>
  <si>
    <t>Asiento de Egreso 12084 del 21/06/19</t>
  </si>
  <si>
    <t>Asiento de Egreso 7028 del 29/04/19</t>
  </si>
  <si>
    <t>Asiento de Egreso 6274 del 17/04/19</t>
  </si>
  <si>
    <t xml:space="preserve">PERLA CLAUDELINA GIMENEZ </t>
  </si>
  <si>
    <t>Cobro 1er Desembolso en Mayo 2019</t>
  </si>
  <si>
    <t>Asiento de Egreso 12.092 del 21/06/19</t>
  </si>
  <si>
    <t>Cobro 1er Desembolso en Junio 2019</t>
  </si>
  <si>
    <t>Asiento de Egreso 12.088 y 12.089 del 21/06/19</t>
  </si>
  <si>
    <t>JOSE ANIBAL OJEDA CANTERO</t>
  </si>
  <si>
    <t>NILDA ELIZABETH BAEZ</t>
  </si>
  <si>
    <t>VICTORINA ROTELA VELAZQUEZ</t>
  </si>
  <si>
    <t>Asiento de Egreso 11.690 del 20/06/19</t>
  </si>
  <si>
    <t xml:space="preserve">JUAN CARLOS QUIÑONEZ CENTURION </t>
  </si>
  <si>
    <t>IRMA ESTELA CHAVEZ DE ORTEGA</t>
  </si>
  <si>
    <t>ANDRES RODRIGO MORALES MENDOZA</t>
  </si>
  <si>
    <t>ALMA MARIA OZUNA RUIZ DIAZ</t>
  </si>
  <si>
    <t>Asiento de Egreso 4.571 del 28/03/19</t>
  </si>
  <si>
    <t>Asiento de Egreso 10.023 del 30/05/19</t>
  </si>
  <si>
    <t>ARTEMIA BENITEZ DOMINGUEZ</t>
  </si>
  <si>
    <t>MARIA LUISA FLORENTIN FRANCO</t>
  </si>
  <si>
    <t>Asiento de Egreso 21.524 del 14/08/18 - OG 980</t>
  </si>
  <si>
    <t>RAQUEL MELGAREJO DE BOGADO</t>
  </si>
  <si>
    <t>CULMINADAS</t>
  </si>
  <si>
    <t xml:space="preserve">Cambio de SAT - Amanda Ledezma </t>
  </si>
  <si>
    <t>ANULADAS</t>
  </si>
  <si>
    <t xml:space="preserve"> 02/12</t>
  </si>
  <si>
    <t>Res 877/19</t>
  </si>
  <si>
    <t>MONTO DE SUBSIDIO A DESEMBOLSAR POR LA INSTITUCIÓN</t>
  </si>
  <si>
    <t>1ER DESEMBOLSO</t>
  </si>
  <si>
    <t>2DO DESEMBOLSO</t>
  </si>
  <si>
    <t>ALCANCE NACIONAL- LUQUE</t>
  </si>
  <si>
    <t>ALCANCE NACIONAL - CAPIATA</t>
  </si>
  <si>
    <t xml:space="preserve"> MARIA BEATRIZ MASI REJALA</t>
  </si>
  <si>
    <t xml:space="preserve"> AZUCENA RUIZ DIAZ DE ROJAS</t>
  </si>
  <si>
    <t>ALCANCE NACIONAL CAAGUAZÚ</t>
  </si>
  <si>
    <t>ALCANCE NACIONAL - LIMPIO</t>
  </si>
  <si>
    <t xml:space="preserve">ALICIA ELIZABETH AQUINO GONZALEZ </t>
  </si>
  <si>
    <t>ALCANCE NACIONAL - ITAUGUA</t>
  </si>
  <si>
    <t xml:space="preserve"> YGNACIA DELVALLE VDA DE ACUÑA</t>
  </si>
  <si>
    <t xml:space="preserve"> SONIA CELESTE ORTIZ RAMIREZ</t>
  </si>
  <si>
    <t xml:space="preserve"> MARILDA MABEL NUÑEZ ESCOBAR </t>
  </si>
  <si>
    <t>ALCANCE NACIONAL -SAN PEDRO DEL PARANÁ</t>
  </si>
  <si>
    <t>ALCANCE NACIONAL - YPACARAI</t>
  </si>
  <si>
    <t>ALCANCE NACIONAL - LUQUE</t>
  </si>
  <si>
    <t>ALCANCE NACIONAL - J. A. SALDÍVAR</t>
  </si>
  <si>
    <t>ALCANCE NACIONAL - CAPIATÁ</t>
  </si>
  <si>
    <t>RES. N°</t>
  </si>
  <si>
    <t>FECHA RES.</t>
  </si>
  <si>
    <t>26              191</t>
  </si>
  <si>
    <t>20/09/2018    12/10/2018</t>
  </si>
  <si>
    <t>09/02/2018   25/05/2018  20/07/2018</t>
  </si>
  <si>
    <t>287               928</t>
  </si>
  <si>
    <t xml:space="preserve">09/02/2018   26/04/2018  </t>
  </si>
  <si>
    <t>287               911</t>
  </si>
  <si>
    <t xml:space="preserve">09/02/2018   25/04/2018  </t>
  </si>
  <si>
    <t>287               934</t>
  </si>
  <si>
    <t>F.F.</t>
  </si>
  <si>
    <t>RES. DE ANULACION 1784-18 Y COSTO DEL PYTO RES. 1838-18</t>
  </si>
  <si>
    <t>Dirección General del FONAVIS</t>
  </si>
  <si>
    <t>590         2353       1717      453</t>
  </si>
  <si>
    <t>06/05/2014   31/10/2016   20/07/2018   28/02/2018</t>
  </si>
  <si>
    <t>24/07/2015   28/04/2016   30/01/2018</t>
  </si>
  <si>
    <t>1451       845       244</t>
  </si>
  <si>
    <t>29/12/2017 28-02-2018</t>
  </si>
  <si>
    <t>3139      453</t>
  </si>
  <si>
    <t>1498-17  1984-17 669-18 453-18 1717-18</t>
  </si>
  <si>
    <t>24/07/2017  15/09/2017 14/07/2018 28/02/2018 20/07/2018</t>
  </si>
  <si>
    <t>09/02/2018 20/06/2018 20/07/2018</t>
  </si>
  <si>
    <t>09/02/2018 22/06/2018 20/07/2018</t>
  </si>
  <si>
    <t>287-18  1413-18 1717-18</t>
  </si>
  <si>
    <t xml:space="preserve"> 12/12/2017 22/12/2017   13/12/2018</t>
  </si>
  <si>
    <t xml:space="preserve"> 2867      2998       656</t>
  </si>
  <si>
    <t>13/032019</t>
  </si>
  <si>
    <t>COMPRA DE TERRENO</t>
  </si>
  <si>
    <t>24/07/2017 14/09/2017</t>
  </si>
  <si>
    <t>1498    1976</t>
  </si>
  <si>
    <t>29/12/2017 28/02/2018</t>
  </si>
  <si>
    <t>3136       453</t>
  </si>
  <si>
    <t>22/12/2017 30/01/2018</t>
  </si>
  <si>
    <t>09/02/2018 24/04/2018</t>
  </si>
  <si>
    <t>287         898</t>
  </si>
  <si>
    <t xml:space="preserve">11/11/2016  06/12/2016 </t>
  </si>
  <si>
    <t>2439     2725      453</t>
  </si>
  <si>
    <t>28/12/2015 28/05/2019</t>
  </si>
  <si>
    <t>2182       937</t>
  </si>
  <si>
    <t>28/12/2015   28/05/2019</t>
  </si>
  <si>
    <t>2182      935</t>
  </si>
  <si>
    <t>28/04/2017 09/06/2017</t>
  </si>
  <si>
    <t>842       1166</t>
  </si>
  <si>
    <t>NO SE INICIO, FUE INFORMADO EN EJECUCION POR ERROR, P ANULAR</t>
  </si>
  <si>
    <t>23/09/2017 14/12/2017 20/12/2017                 22-12-2017</t>
  </si>
  <si>
    <t>2040   2910    2969    2998</t>
  </si>
  <si>
    <t>desembolsado en dicimbre 2017</t>
  </si>
  <si>
    <t xml:space="preserve">287       1411    1717  </t>
  </si>
  <si>
    <t>17/06/2014   28/04/2016</t>
  </si>
  <si>
    <t>925         845</t>
  </si>
  <si>
    <t>24/07/2017  18/09/2017</t>
  </si>
  <si>
    <t>1498     2001</t>
  </si>
  <si>
    <t>2040-17 2601-17 2787-17</t>
  </si>
  <si>
    <t>23/09/2017 15/11/2017 30/11/2017</t>
  </si>
  <si>
    <t>28/04/2017 26/06/2017</t>
  </si>
  <si>
    <t>28/04/2017 05/07/2017</t>
  </si>
  <si>
    <t>842           1356</t>
  </si>
  <si>
    <t>23/09/2017 16/10/2017</t>
  </si>
  <si>
    <t>2040   2315</t>
  </si>
  <si>
    <t>exp. N` 27614-18 SE ANULO obligacion y devolvio a fonavis</t>
  </si>
  <si>
    <t>28/04/2017 21/06/2017 20/07/2017</t>
  </si>
  <si>
    <t>842       1254      1450</t>
  </si>
  <si>
    <t>23/09/2017 15/11/2017 22/12/2017 28/02/2018</t>
  </si>
  <si>
    <t xml:space="preserve">2040    2610    2998       453  </t>
  </si>
  <si>
    <t>20/04/2015   28/04/2016</t>
  </si>
  <si>
    <t>628        845</t>
  </si>
  <si>
    <t>aspecto social yadevuelto en 2017</t>
  </si>
  <si>
    <t>01/09/2016 28/02/2018</t>
  </si>
  <si>
    <t>1893           453</t>
  </si>
  <si>
    <t>2056             453</t>
  </si>
  <si>
    <t>27/09/2016    28/02/2018</t>
  </si>
  <si>
    <t>2436    2646</t>
  </si>
  <si>
    <t>11/11/2016  30/11/2016</t>
  </si>
  <si>
    <t>11/11/2016  06/12/2016</t>
  </si>
  <si>
    <t>2439      2725</t>
  </si>
  <si>
    <t>842         1361</t>
  </si>
  <si>
    <t>24/07/2017    12/09/2017</t>
  </si>
  <si>
    <t>1498    1946</t>
  </si>
  <si>
    <t>1498      1947</t>
  </si>
  <si>
    <t>1498    1948</t>
  </si>
  <si>
    <t>24/07/2017    13/12/2017</t>
  </si>
  <si>
    <t>1498   2882</t>
  </si>
  <si>
    <t>3055    1237</t>
  </si>
  <si>
    <t>22/12/2017    05/06/2018</t>
  </si>
  <si>
    <t>24/07/2017    01/12/2017</t>
  </si>
  <si>
    <t>1498   2795</t>
  </si>
  <si>
    <t>24/07/2017    09/10/2017  27/10/2017</t>
  </si>
  <si>
    <t>27/05/2015  28/04/2016</t>
  </si>
  <si>
    <t>986          845</t>
  </si>
  <si>
    <t>23/09/2017 14/12/2017</t>
  </si>
  <si>
    <t>2040    2913</t>
  </si>
  <si>
    <t>08/09/2015   28/04/2016 24/04/2017 26/10/2017</t>
  </si>
  <si>
    <t>1883      845         801       2440</t>
  </si>
  <si>
    <t>MONTO ANULADO</t>
  </si>
  <si>
    <t xml:space="preserve">20/12/2017    21/12/2017  </t>
  </si>
  <si>
    <t xml:space="preserve">2978   2996 </t>
  </si>
  <si>
    <t>2040    2911</t>
  </si>
  <si>
    <t>3051         244</t>
  </si>
  <si>
    <t>23/09/2017 21/11/2017 30/11/2017  28/02/2018 20/07/2018</t>
  </si>
  <si>
    <t>2040       2663        2787           453          1717</t>
  </si>
  <si>
    <t>29/03/2014  25/02/2016 28/04/2016</t>
  </si>
  <si>
    <t>463         420      1739       845</t>
  </si>
  <si>
    <t>NOELIA IRALA LOVERA Y BLAS RAMON SALINAS</t>
  </si>
  <si>
    <t>CYNTHIA NOELIA IBARRA PEÑA</t>
  </si>
  <si>
    <t>05/11/2015  28/04/2016</t>
  </si>
  <si>
    <t>PREVENTIVO</t>
  </si>
  <si>
    <t xml:space="preserve"> 5/15</t>
  </si>
  <si>
    <t>INFORMADO 1 VIV. DE MAS (EL PROYECTO ES DE 48 VIV)</t>
  </si>
  <si>
    <t>COMISION DE FOMENBTO Y DESARROLLO ASENTAMIENTO KUÑA ATY</t>
  </si>
  <si>
    <t>TOBATI</t>
  </si>
  <si>
    <t xml:space="preserve"> 3/19</t>
  </si>
  <si>
    <t>COMISION VECINAL SIN TIERRA Y SIN TECHO SAN JORGE DOS</t>
  </si>
  <si>
    <t>BLAS ISMAEL VERA</t>
  </si>
  <si>
    <t>COMISION VECINAL PROYECTO SENAVITAD DE LA COMUNIDAD ZOLABARRIETA</t>
  </si>
  <si>
    <t>C.P. MARIA CELIA ACOSTA</t>
  </si>
  <si>
    <t>COMISION PRO VIVIENDA DE LA SENAVITAH  DE LA LOCALIDAD DE SAN MARCOS</t>
  </si>
  <si>
    <t>COMISION DE FOMENTO Y DESARROLLO PARA LA CONSTRUCCION DE VIVIENDA YROYSA 11 LINEA</t>
  </si>
  <si>
    <t>COMISION VECINAL DE FOMENTO Y DESARROLLO DE LA LOCALIDAD DE SAN FRANCISCO - EX CIERVO CUA</t>
  </si>
  <si>
    <t>ING SILVIO FARIÑA</t>
  </si>
  <si>
    <t>TEKOVE SERVICIO DE ACCION SOCIAL</t>
  </si>
  <si>
    <t>MBOCAYATY</t>
  </si>
  <si>
    <t>GSM</t>
  </si>
  <si>
    <t>plurianual</t>
  </si>
  <si>
    <t>COMISION  PRO DESARROLLO DE LA LOCALIDAD DE SANTA LUCIA</t>
  </si>
  <si>
    <t>ARQ. GUSTAVO ANTONIO AYALA GONZALEZ</t>
  </si>
  <si>
    <t>SANTA ROSA DEL MBUTUY</t>
  </si>
  <si>
    <t>COMUNIDAD INDIGENA YKUA PORA CAMPO AZUL PERTENECIENTE A LA ETNIA MBYA GUARANI</t>
  </si>
  <si>
    <t>COMISION VECINAL DE LA LOCALIDAD 1° DE MARZO</t>
  </si>
  <si>
    <t>COMISION DE FOMENTO Y DESARROLLO DEL ASENTAMIENTO SAN LORENZO</t>
  </si>
  <si>
    <t>CONSULTORA A&amp;S</t>
  </si>
  <si>
    <t>COMISION PRO VIVIENDA DE LA COMPAÑÍA RECOLETA</t>
  </si>
  <si>
    <t>ACAHAY</t>
  </si>
  <si>
    <t>COMISION VECINAL SAN MIGUEL DEL BARRIO KO´E RORY</t>
  </si>
  <si>
    <t>COMISION DIRECTIVA PRO VIVIENDA SAN VICENTE FERRER</t>
  </si>
  <si>
    <t>LIC ENRIQUE JAVIER AYALA ECHAURI</t>
  </si>
  <si>
    <t>ACG. CONSULTORA INTEGRAL</t>
  </si>
  <si>
    <t>VILLA HAYES</t>
  </si>
  <si>
    <t>COMISION VECINAL DENOMINADO ITA POTY DEL BARRIO CERRITO</t>
  </si>
  <si>
    <t>COMISION VECINAL ASENTAMIENTO SANTA ROSA</t>
  </si>
  <si>
    <t>COMISION VECINAL DE FOMENTO URBANO TERRITORIO SOCIAL EL PROGRESO</t>
  </si>
  <si>
    <t>HIDROCONTROL</t>
  </si>
  <si>
    <t>N Y F INGENIERIA</t>
  </si>
  <si>
    <t>JUNTA COMUNAL DE VECINOS DE LA LOCALIDAD DE LAGUNA PLATO</t>
  </si>
  <si>
    <t>CONSULTORA NOEESIS</t>
  </si>
  <si>
    <t>COMUNIDAD INDIGENA PAI-TAVYTERA PIRA´Y</t>
  </si>
  <si>
    <t>WALTER GOMEZ DE LA FUENTE</t>
  </si>
  <si>
    <t>COMUNIDAD INDIGENA AVA-CHIRIPA DE CERRO CAMPI</t>
  </si>
  <si>
    <t>COMUNIDAD INDGENA 26 DE FEBRERO PERTENECIENTE A LA ETNIA AVA GUARANI</t>
  </si>
  <si>
    <t>COMISION PRO VIVIENDA DE LA COLONIA AGUA BLANCA DEL DISTRITO DE CORPUS CHRISTI</t>
  </si>
  <si>
    <t>COMISION DE FOMENTO DEL BARRIO RENACER</t>
  </si>
  <si>
    <t>TOPOGRAFO OSCAR BARBOZO</t>
  </si>
  <si>
    <t>VILLA CURUGUATY</t>
  </si>
  <si>
    <t>CORPUS CHRISTI</t>
  </si>
  <si>
    <t>DALMA ARAMI TRIVERO RIVEROS</t>
  </si>
  <si>
    <t>SONIA ISABEL GONZALEZ QUINTANA</t>
  </si>
  <si>
    <t>GRACIELA CHAMORRO SOSA</t>
  </si>
  <si>
    <t>MABEL A ROMERO DE CARDOZO</t>
  </si>
  <si>
    <t>MARIA SELVA VILLAGRA SEGOVIA</t>
  </si>
  <si>
    <t>KATIA ROSSANA ORTIZ GONZALEZ</t>
  </si>
  <si>
    <t>MARIA FELISA VILLALBA DUARTE</t>
  </si>
  <si>
    <t>LAIDA CENTURION CARDOZO</t>
  </si>
  <si>
    <t>COMUNIDAD INDIGENA MBY´A Y´AKARETA</t>
  </si>
  <si>
    <t xml:space="preserve"> 2/19</t>
  </si>
  <si>
    <t>COMISION PRO VIVIENDA DE AYOLAS</t>
  </si>
  <si>
    <t>AYOLAS</t>
  </si>
  <si>
    <t>CONSEJO DE DESARROLLO COMUNITARIO SANTIAGO LUIS FRANCO - ASENTAMIENTO SAN LUIS I</t>
  </si>
  <si>
    <t>FUNDACION ATLANTICA</t>
  </si>
  <si>
    <t>COMISION VECINAL ASENTAMIENTO DR GASPAR RODRIGUEZ DE FRANCIA</t>
  </si>
  <si>
    <t>WILLIAN STEWAR BONZI</t>
  </si>
  <si>
    <t>COMUNIDAD INDIGENA LA HERENCIA  - PERTENECIENTE A LA ETNIA LENGUA</t>
  </si>
  <si>
    <t>COMISION PRO VIVIENDA SAN ANTONIO</t>
  </si>
  <si>
    <t>GRAL. HIGINIO MORINIGO</t>
  </si>
  <si>
    <t>ELVA ELIZABETH GONZALEZ</t>
  </si>
  <si>
    <t>COMISION DE FOMENTO Y DESARROLLO DE LAS CALLES 16, 17 Y 18 TOBATIRY</t>
  </si>
  <si>
    <t>COMISION DIRECTIVA DE LA TERCERA EDAD, MADRES SOLTERAS Y OTROS</t>
  </si>
  <si>
    <t>ASOCIACION ÑANDEREKOHA</t>
  </si>
  <si>
    <t>R.I. 3 CORRALES</t>
  </si>
  <si>
    <t>1373  1469</t>
  </si>
  <si>
    <t>COMISION ORE ROGA RA</t>
  </si>
  <si>
    <t>COMISION DIRECTIVA DE LA ASOCIACION DE MUJERES UNIDAS PARA EL DESARROLLO DEL ASENTAMIENTO 1° DE MAYO</t>
  </si>
  <si>
    <t>ABOG. VERONICA OJEDA CASTELLI</t>
  </si>
  <si>
    <t>USAG</t>
  </si>
  <si>
    <t>GRAL JOSE MARIA DELGADO</t>
  </si>
  <si>
    <t>COMISION VECINAL SAN MIGUEL DEL BARRIO  KOÉ RORY</t>
  </si>
  <si>
    <t>COMISION DE FOMENTO Y DESARROLLO DE LA COLONIA NUEVA FORTUNA</t>
  </si>
  <si>
    <t>ING.ALICIA DAMIANA GIMENEZ SOSA</t>
  </si>
  <si>
    <t>LIC. ENRIQUE JAVIER AYALA ECHAURI</t>
  </si>
  <si>
    <t>COMISION DIVINO NIÑO JESUS 1,2 Y 3</t>
  </si>
  <si>
    <t>08/08/2019   27/08/2019</t>
  </si>
  <si>
    <t>1367  1502</t>
  </si>
  <si>
    <t>1365  1464</t>
  </si>
  <si>
    <t>SALDO 2019</t>
  </si>
  <si>
    <t>SALDO 2020</t>
  </si>
  <si>
    <t>COMISION VECINAL DEL TERRITORIO SOCIAL - LA PARAGUAYA - DE LA COMPAÑÍA ROSADO GUAZU</t>
  </si>
  <si>
    <t xml:space="preserve">COMISION DE FOMENTO URBANO SAN JORGE </t>
  </si>
  <si>
    <t>COMISION VECINAL PRO VIVIEDNA DEL TERRITORIO SOCIAL SAN MARCOS I DEL BARRRIO CAAGUAZU</t>
  </si>
  <si>
    <t>COMISION VECINAL DE FOMENTO URBANO ASENTAMIENTO EL TRIUNFAL</t>
  </si>
  <si>
    <t xml:space="preserve">COMISION VECINAL FOMENTO URBANO LA ESPERANZA A Y B </t>
  </si>
  <si>
    <t>COMISION VECINAL DE FOMENTO COMPLEJO HABITACIONAL COPAVICI</t>
  </si>
  <si>
    <t>CONSULTORA SG S.R.L.</t>
  </si>
  <si>
    <t>COMUNIDAD INDIGENA "AVARIJU - SANTA CAROLINA"</t>
  </si>
  <si>
    <t>GRAL. FRANCISCO I. RESQUIN</t>
  </si>
  <si>
    <t xml:space="preserve">   2615    2787     453      1717</t>
  </si>
  <si>
    <t xml:space="preserve"> 15/11/2017 30/11/2017  28/02/2018 20/07/2018</t>
  </si>
  <si>
    <r>
      <t xml:space="preserve">287     </t>
    </r>
    <r>
      <rPr>
        <b/>
        <sz val="10"/>
        <color theme="1"/>
        <rFont val="Calibri"/>
        <family val="2"/>
        <scheme val="minor"/>
      </rPr>
      <t xml:space="preserve">  1367 </t>
    </r>
    <r>
      <rPr>
        <sz val="10"/>
        <color theme="1"/>
        <rFont val="Calibri"/>
        <family val="2"/>
        <scheme val="minor"/>
      </rPr>
      <t xml:space="preserve">    1717</t>
    </r>
  </si>
  <si>
    <r>
      <t xml:space="preserve">287              </t>
    </r>
    <r>
      <rPr>
        <b/>
        <sz val="10"/>
        <rFont val="Calibri"/>
        <family val="2"/>
        <scheme val="minor"/>
      </rPr>
      <t xml:space="preserve">1100 </t>
    </r>
    <r>
      <rPr>
        <sz val="10"/>
        <rFont val="Calibri"/>
        <family val="2"/>
        <scheme val="minor"/>
      </rPr>
      <t xml:space="preserve">  1717</t>
    </r>
  </si>
  <si>
    <t>14/12/20017</t>
  </si>
  <si>
    <t>ya se informó en el ejercicio 2018 y aun tiene saldo pendiente</t>
  </si>
  <si>
    <t>YVY PYTA</t>
  </si>
  <si>
    <t>2018 y 2019</t>
  </si>
  <si>
    <t>09/02/2018 25/04/2018</t>
  </si>
  <si>
    <t>287      902</t>
  </si>
  <si>
    <t>09/02/2018 30/04/2018</t>
  </si>
  <si>
    <t>287     953</t>
  </si>
  <si>
    <t>10 y 20</t>
  </si>
  <si>
    <t>11/11/2016  06/12/2016 28/02/2018 24/04/2019</t>
  </si>
  <si>
    <t xml:space="preserve">754        299      </t>
  </si>
  <si>
    <t xml:space="preserve">23/05/2014 28/12/2015 </t>
  </si>
  <si>
    <t xml:space="preserve"> RES. DE ANULACION N° 1625-17  ya cuenta con Devolución Fondo Reparo – Exp. N° 25632-16; 27022-18</t>
  </si>
  <si>
    <t xml:space="preserve">754       2993       </t>
  </si>
  <si>
    <t>23/05/2014 28/12/2015</t>
  </si>
  <si>
    <t>Pendiente Resolución de Anulación , cuenta con Devol. De fondo de reparo -Expediente N° 22.050-16</t>
  </si>
  <si>
    <t>RES. DE ANULACION N° 146-18, Res. 210-18 exclusión de 7 subdidios</t>
  </si>
  <si>
    <t>culminó en 2018 y aun no se proceso el pago</t>
  </si>
  <si>
    <t>842        1266 1869</t>
  </si>
  <si>
    <t>28/04/2017 26/06/2017 07/08/2018</t>
  </si>
  <si>
    <t>842          1267    246-19</t>
  </si>
  <si>
    <t>2887      704-19</t>
  </si>
  <si>
    <t>1271  1838</t>
  </si>
  <si>
    <t>26/6/2017   03/08/2018</t>
  </si>
  <si>
    <t>579      803</t>
  </si>
  <si>
    <t>21/3/2016   13/05/2019</t>
  </si>
  <si>
    <t>748      845     491</t>
  </si>
  <si>
    <t>23/05/2014   28/04/2016   05/03/2018</t>
  </si>
  <si>
    <t>por Res. 491 del 05/03/18 disminuyó costo del Pyto.</t>
  </si>
  <si>
    <t>el costo del pyto. s/CD, res. 212 del 26-01-18 disminuye costo de pyto.</t>
  </si>
  <si>
    <t>22/12/2015  28/04/2016   26/01/2018</t>
  </si>
  <si>
    <t>2907      845     212</t>
  </si>
  <si>
    <t>3035    244</t>
  </si>
  <si>
    <t>2770   292</t>
  </si>
  <si>
    <t>7/12/2015   30/10/2018</t>
  </si>
  <si>
    <t>1866   1567</t>
  </si>
  <si>
    <t>30/8/2016   06/07/2018</t>
  </si>
  <si>
    <t>2203     486</t>
  </si>
  <si>
    <t>14/10/2016  15/03/2019</t>
  </si>
  <si>
    <t>2312 1721-18</t>
  </si>
  <si>
    <t>842       1254      1450  1985</t>
  </si>
  <si>
    <t>28/04/2017 21/06/2017 20/07/2017 14/08/2018</t>
  </si>
  <si>
    <t>RESOLUCION N° 1985-18  DE DISMINUCION DE COSTO DE PROYECTO</t>
  </si>
  <si>
    <t>2753        798</t>
  </si>
  <si>
    <t>2469   1958</t>
  </si>
  <si>
    <t xml:space="preserve"> Res. N° 1372-17expediente N° 22313-14</t>
  </si>
  <si>
    <t>2439    2725    708</t>
  </si>
  <si>
    <r>
      <rPr>
        <b/>
        <sz val="10"/>
        <color theme="1"/>
        <rFont val="Calibri"/>
        <family val="2"/>
        <scheme val="minor"/>
      </rPr>
      <t xml:space="preserve">1498 </t>
    </r>
    <r>
      <rPr>
        <sz val="10"/>
        <color theme="1"/>
        <rFont val="Calibri"/>
        <family val="2"/>
        <scheme val="minor"/>
      </rPr>
      <t xml:space="preserve"> 1984 669 453 1717</t>
    </r>
  </si>
  <si>
    <t>1498   2190 2452</t>
  </si>
  <si>
    <t>23/05/2014  28/12/2018</t>
  </si>
  <si>
    <t>746          856</t>
  </si>
  <si>
    <t xml:space="preserve"> RESOLUCION DE ANULACION N° 422 del 06/03/2019</t>
  </si>
  <si>
    <t>05/12/2016  15/11/2018</t>
  </si>
  <si>
    <t>2425     845</t>
  </si>
  <si>
    <t>ANULADA 2017</t>
  </si>
  <si>
    <t>ANULADA 2018</t>
  </si>
  <si>
    <t>CULMINADAS ADMINISTRACIÓN S. NUÑEZ 2018</t>
  </si>
  <si>
    <t>ANULADA 2019</t>
  </si>
  <si>
    <t>2017 y 2019</t>
  </si>
  <si>
    <t>EN EL MES DE Setiembre se informó como culminadas y en el mes de Octubre figura a iniciar</t>
  </si>
  <si>
    <t xml:space="preserve">culminada en octubre 2019 </t>
  </si>
  <si>
    <t>Res. De rescisión N° 488 del 26/11/2018, SE VISUALIZA UNA VARIACION DE LO REPORTADO EN EL 2018 EN EL PORCENTAJE DE OBRA DEBIDO A LA CUENTA FINAL, CAMBIO DE SAT, CULMINÓ EN OCTUBRE 2019</t>
  </si>
  <si>
    <t xml:space="preserve"> STR 80089 y 80060 al 30/06/19, Asiento de Egreso 14284 del 22/07/2019, culminada en octubre 2019</t>
  </si>
  <si>
    <t xml:space="preserve"> STR 86037 al 30/06/19, Asiento de egreso N° 14889 del 24/07/2019,  culminada en octubre 2019</t>
  </si>
  <si>
    <t xml:space="preserve"> STR 86019 al 30/06/19, Asiento de Egreso N° 15096 del 26/07/2019, culminada en octubre 2019</t>
  </si>
  <si>
    <t xml:space="preserve"> STR 79978 al 30/06/19, Asiento de Egreso N° 14281 del 22/07/2019, culminada en octubre 2019</t>
  </si>
  <si>
    <t>Asiento de Egreso 18560 del 13/09/19, culminada en octubre 2019</t>
  </si>
  <si>
    <t>Asiento de Egreso 16907 del 16/08/19, culminada en octubre 2019</t>
  </si>
  <si>
    <t>MES DE OBLIGACIÓN</t>
  </si>
  <si>
    <t>FEB/19, Jul/19, Agos/19</t>
  </si>
  <si>
    <t>total obligado Marzo ff10</t>
  </si>
  <si>
    <t>total obligado Abril ff10</t>
  </si>
  <si>
    <t>total obligado Febrero ff10</t>
  </si>
  <si>
    <t>total obligado Mayo ff10</t>
  </si>
  <si>
    <t>total obligado Junio ff10</t>
  </si>
  <si>
    <t>total obligado Julio ff10</t>
  </si>
  <si>
    <t>jul/19  Set/19</t>
  </si>
  <si>
    <t xml:space="preserve"> Agos/19  Set/19</t>
  </si>
  <si>
    <t>total obligado Agosto ff10</t>
  </si>
  <si>
    <t>total obligado Setiembre ff10</t>
  </si>
  <si>
    <t>Total obligado 1er desembolso</t>
  </si>
  <si>
    <t>Total obligado 2do desembolso</t>
  </si>
  <si>
    <t xml:space="preserve">Total obligado </t>
  </si>
  <si>
    <t>total obligado Octubre ff10</t>
  </si>
  <si>
    <t>total obligadoNoviembre ff10</t>
  </si>
  <si>
    <t>total obligado Diciembre ff10</t>
  </si>
  <si>
    <t>total obligado Mayo ff20</t>
  </si>
  <si>
    <t>746        830</t>
  </si>
  <si>
    <t>23/05/2014     13/05/2019</t>
  </si>
  <si>
    <t>602       865</t>
  </si>
  <si>
    <t>29/03/2016     17/05/2019</t>
  </si>
  <si>
    <t>1189       866</t>
  </si>
  <si>
    <t>11/07/2014     17/05/2019</t>
  </si>
  <si>
    <t>1189       799</t>
  </si>
  <si>
    <t>11/07/2014     10/05/2019</t>
  </si>
  <si>
    <t xml:space="preserve"> Pago STR 83686 de 30/06/19, Asiento de Egreso N° 15085 del 16/07/2019</t>
  </si>
  <si>
    <t>3052  1156</t>
  </si>
  <si>
    <t>22/12/2017   28/06/2019</t>
  </si>
  <si>
    <t>total obligado Junio ff20</t>
  </si>
  <si>
    <t xml:space="preserve">TOTAL OBLIGAGADO ff10 </t>
  </si>
  <si>
    <t>287        920</t>
  </si>
  <si>
    <t>Asiento de Egreso N° 18611 del 13/09/2019</t>
  </si>
  <si>
    <t xml:space="preserve"> STR 83.650 al 30/06/19 (Res 602 PcD), Asiento de Egreso N° 15084 del 26/07/2019</t>
  </si>
  <si>
    <t xml:space="preserve"> STR 83505 al 30/06/20, Asiento de Egreso N° 15093 del 26/07/2019</t>
  </si>
  <si>
    <t xml:space="preserve"> STR 80.133 al 30/06/19, Asiento de Egreso N° 13778 del 26/07/2019</t>
  </si>
  <si>
    <t>JUANA PAREDES BOGADO</t>
  </si>
  <si>
    <t>123    1082</t>
  </si>
  <si>
    <t>27/01/2014     20/06/2019</t>
  </si>
  <si>
    <t xml:space="preserve"> STR 80.121 al 30/06/19, Asiento de Egreso N° 13782 del 16/07/2019</t>
  </si>
  <si>
    <t>Asiento de Egreso N° 18913 del 26/08/2019</t>
  </si>
  <si>
    <t>860        930</t>
  </si>
  <si>
    <t>28/12/2018    27/05/2019</t>
  </si>
  <si>
    <t>LORENA MARIEL FERNÁNDEZ LEGUIZAMÓN</t>
  </si>
  <si>
    <t>COMISIÓN VECINAL DE LA COLONIA DR. BLAS GARAY</t>
  </si>
  <si>
    <t xml:space="preserve"> 4/19</t>
  </si>
  <si>
    <t>COMISIÓN VECINAL DEL ASENTAMIENTO R.I. 14 SUR</t>
  </si>
  <si>
    <t>M Y D CONSULTORA</t>
  </si>
  <si>
    <t>COMISIÓN VECINAL SANTA ANA</t>
  </si>
  <si>
    <t>ASPECTO SOCIAL SE ABONO A NILSA  TORRES GS. 19.583.991</t>
  </si>
  <si>
    <t>COMISION PRO VIVIENDA DE LA LOCALIDAD DE SAN VALENTIN</t>
  </si>
  <si>
    <t>ROMA IMPORT EXPORT S.A.</t>
  </si>
  <si>
    <t>2436    2646    1983</t>
  </si>
  <si>
    <t>11/11/2016  30/11/2016     19/11/2019</t>
  </si>
  <si>
    <t>COMISIÓN VECINAL CALLE 8 MIL</t>
  </si>
  <si>
    <t>CARAYAO</t>
  </si>
  <si>
    <t>COMISION PRO-CONSTRUCCION DE VIVIENDA DE LA COLONIA ARA POTY</t>
  </si>
  <si>
    <t>ARQ. CECILIA TOMASA FRETES LOPEZ</t>
  </si>
  <si>
    <t>305    1735</t>
  </si>
  <si>
    <t>31/10/2018                     03/10/2019</t>
  </si>
  <si>
    <t>COMISION CENTRAL PRO VIVIENDA TERRITORIO SOCIAL LA GLORIA I DEL BARRIO SAN MIGUEL</t>
  </si>
  <si>
    <t>AM CONSULTORA JESSICA NATALIA GONZALEZ</t>
  </si>
  <si>
    <t>COMSION PRO VIVIENDA DE LA COLONIA SAN MARTIN</t>
  </si>
  <si>
    <t>MINGA PORA</t>
  </si>
  <si>
    <t>877 Y 980</t>
  </si>
  <si>
    <t>842       1166  1781</t>
  </si>
  <si>
    <t>28/04/2017 09/06/2017   15/10/2019</t>
  </si>
  <si>
    <t>COMISION DE DESARROLLO DE LA COMPAÑÍA JERUSALEN I</t>
  </si>
  <si>
    <t>IRUÑA</t>
  </si>
  <si>
    <t xml:space="preserve">COMISIÓN VECINAL ASENTAMIENTO SANTA MARÍA </t>
  </si>
  <si>
    <t xml:space="preserve">COMUNIDAD INDIGENA GUARANI ÑANDEVA ASENTADA EN EL LUGAR DENOMINADA CANAÁN  - LAGUNA NEGRA  </t>
  </si>
  <si>
    <t>MCAL. JOSÉ FÉLIX  ESTIGARRIBIA</t>
  </si>
  <si>
    <t>306                 2001</t>
  </si>
  <si>
    <t>31/10/2018          25/11/2019</t>
  </si>
  <si>
    <t>total obligado JuLio ff20</t>
  </si>
  <si>
    <t>total obligado Agosto ff20</t>
  </si>
  <si>
    <t>total obligado Setiembre ff20</t>
  </si>
  <si>
    <t>total obligado Octubre ff20</t>
  </si>
  <si>
    <t>total obligado Noviembre ff20</t>
  </si>
  <si>
    <t>ANULAR</t>
  </si>
  <si>
    <t>Asiento de Egreso 19.497 del 24/09/19</t>
  </si>
  <si>
    <t>Asiento de Egreso 21.310 del 17/10/19</t>
  </si>
  <si>
    <t>Asiento de Egreso 22.157 del 28/10/19</t>
  </si>
  <si>
    <t>DIEGO RAÚL FRETES CORREA</t>
  </si>
  <si>
    <t>1190           1123</t>
  </si>
  <si>
    <t>11/07/2014      26/06/2019</t>
  </si>
  <si>
    <t>JUAN BARTOLOME BENÍTEZ FRUTOS</t>
  </si>
  <si>
    <t>287     933</t>
  </si>
  <si>
    <t>09/02/2018 26/04/2018</t>
  </si>
  <si>
    <t>287        903</t>
  </si>
  <si>
    <t>09/02/2018      25/04/2018</t>
  </si>
  <si>
    <t>287     1168</t>
  </si>
  <si>
    <t>09/02/2018 30/05/2018</t>
  </si>
  <si>
    <t>ya fue informada en el 2018</t>
  </si>
  <si>
    <t>897        1326         1570</t>
  </si>
  <si>
    <t xml:space="preserve">18/05/2015        13/09/2019        </t>
  </si>
  <si>
    <t>20 y 10</t>
  </si>
  <si>
    <t>877 y 980</t>
  </si>
  <si>
    <t>culminada en diciembre /19</t>
  </si>
  <si>
    <t>Asiento de Egreso 24.259 del 19/11/19</t>
  </si>
  <si>
    <t>Asiento de Egreso 23.913 del 14/11/19</t>
  </si>
  <si>
    <t>Asiento de Egreso 23.942 del 15/11/19</t>
  </si>
  <si>
    <t>Asiento de Egreso 24.256 del 19/11/19</t>
  </si>
  <si>
    <t>PETRONA VARGAS NÚÑEZ</t>
  </si>
  <si>
    <t>10 Y 20</t>
  </si>
  <si>
    <t>Asiento de Egreso 24.236 del 19/11/19, culminada en Octubre 2019</t>
  </si>
  <si>
    <t>Asiento de Egreso 22.595 del 31/10/19, culminada en Octubre 2019</t>
  </si>
  <si>
    <t>SAN PEDRO DEL YCUAMANDIYÚ</t>
  </si>
  <si>
    <t>COMISIÓN PRO VIVIENDA SOCIAL DEL BARRIO FÁTIMA SAPUCAI</t>
  </si>
  <si>
    <t>DALMA ARSAMI TRIVERO RIVEROS</t>
  </si>
  <si>
    <t>COMISIÓN SAN ROQUE PRO VIVIENDA</t>
  </si>
  <si>
    <t>COMISIÓN PRO - VIVIENDA OÑONDIVEPA</t>
  </si>
  <si>
    <t>COMISIÓN SAN ANTONIO DE PADUA</t>
  </si>
  <si>
    <t xml:space="preserve">MARIO ADRIAN GONZÁLEZ CORVALÁN </t>
  </si>
  <si>
    <t>TERESA RODRÍGUEZ Y PRIMO AMARILLA VERA</t>
  </si>
  <si>
    <t>PORFIRIO ACEVEDO ESTECHE Y URCINA BENÍTEZ DE ACEVEDO</t>
  </si>
  <si>
    <t>210         2067</t>
  </si>
  <si>
    <t>18/02/2014     28/09/2016</t>
  </si>
  <si>
    <t>se pagó por 39 y se descontó en el fondo de reparo 1 beneficiario</t>
  </si>
  <si>
    <t>Res. N° 2067-16 disminuyó el costo del Pyto a 39</t>
  </si>
  <si>
    <t>1632-18</t>
  </si>
  <si>
    <t>culminada en noviembre/19</t>
  </si>
  <si>
    <t>ASOCIACIÓN SAN ROQUE</t>
  </si>
  <si>
    <t>CULMINADA EN NOVIEMBRE/19</t>
  </si>
  <si>
    <t>COMISIÓN Y DESARROLLO B° NUEVA VICTORIA - MELGAREJO</t>
  </si>
  <si>
    <t>COMISIÓN "SANTA CATALINA " DEL BARRIO TUYUTIMI</t>
  </si>
  <si>
    <t>CONSULTORA DE ASISTENCIA TÉCNICA MULTIDISCIPLINARIA "TAJY"</t>
  </si>
  <si>
    <t>Asiento de Egreso 1.755 del 19/02/19 devolución de Retención - Expediente N° 24890-16; 26740-17; 5159-13</t>
  </si>
  <si>
    <t xml:space="preserve">Fondo de Reparo - Exp. N° 24891-16; 36320-14 , Asiento de Egreso 1.772 del 20/02/19 </t>
  </si>
  <si>
    <t>Fondo de Reparo - Exp. N° 16224-13, Asiento de Egreso 17.323 del 29/08/2019</t>
  </si>
  <si>
    <t>Fondo de Reparo - Exp. N° 3.007-15Asiento de Egreso 4.565del 28/03/19</t>
  </si>
  <si>
    <t>devolución de Retención - Expediente N° 34.937-12; 03725-16</t>
  </si>
  <si>
    <t>Fondo de Repar Exp N° 25261-16, Asiento de Egreso 4.534 del 28/03/19</t>
  </si>
  <si>
    <t>Fondo de Reparo Exp. N° 1787-16, 318-16, Asiento de Egreso 8.059 del 16/05/19</t>
  </si>
  <si>
    <t>LABRIANO SANABRIA GONZÁLEZ Y FRANCISCA LATORRE DE SANABRIA</t>
  </si>
  <si>
    <t>Fondo de Reparo  Expediente N° 18805-15, 1701-16, 0315-16, 00573-16, Asiento de Egreso 8.044 del 16/05/19</t>
  </si>
  <si>
    <t>LUIS RAMÒN UBEDA KULMAN</t>
  </si>
  <si>
    <t>Fondo de Reparo Exp. N° 1785-16; 0311-16; 18803-15; 6638-18; 30225-18; 575-19, Asiento de Egreso 8.052 deñ del 16/05/19</t>
  </si>
  <si>
    <t>Fondo de Reparo Expediente N° 1697-16 ,Asiento de Egreso 8.069 del 16/05/19</t>
  </si>
  <si>
    <t>Fondo de Reparo - Exp. N° 34166-12, Asiento de Egreso N° 13381 del 12/07/2019</t>
  </si>
  <si>
    <t>Fondo de Reparo -Expediente N° 22253-13; 27337-18, Asiento de Egreso N° 15.461 del 31/07/2019</t>
  </si>
  <si>
    <t>Fondo de Reparo - Exp. N° 29.016-15; 27.806-15; 26.359-18 Asiento de Egreso 7.532 03/05/19</t>
  </si>
  <si>
    <t>Fondo de Reparo - Exp. N° 29.058-15,  Asiento de Egreso 17.258 27/08/19</t>
  </si>
  <si>
    <t>Fondo de Reparo Exp. N° 2996-17; 2314-14; 26890-18; 25650-18Asiento de Egreso 10.065 del 30/05/19</t>
  </si>
  <si>
    <t>Fondo de Reparo Exp. N° 11521-15; 02171-17; 23657-12; 15866-18Asiento de Egreso 8.082 del 16/05/19</t>
  </si>
  <si>
    <t>Fondo de Reparo - Expediente N° 31194-15; 23234-18</t>
  </si>
  <si>
    <t>Fondo de Reparo Expediente N° 30832-14 ,Asiento de Egreso 4.501 del 27/03/19</t>
  </si>
  <si>
    <t>Fondo de Reparo Expediente N° 01695-16, Asiento de Egreso 8.046 del 16/05/19</t>
  </si>
  <si>
    <t>COMUNIDAD INDIGENA YVY YVATE DE SANTA TERESA - ETNIA MBY´A GUARANI</t>
  </si>
  <si>
    <t xml:space="preserve">culminada en diciembre 2019 </t>
  </si>
  <si>
    <t>98          160</t>
  </si>
  <si>
    <t>28/09/2018      9/10/2018</t>
  </si>
  <si>
    <t>anular por duplicación resolución 160-18 (la misma ya fue adjudicada en el ejercicio 2016)</t>
  </si>
  <si>
    <t xml:space="preserve"> MARTA BEATRIZ ALEGRE BERNAL</t>
  </si>
  <si>
    <t>Se pagó el 1er. Desembolso en Marzo del 2019</t>
  </si>
  <si>
    <t>Cobro 1er Desembolso en Septiembre 2019</t>
  </si>
  <si>
    <t>Cobró el 1er. Desembolso en Septiembre del 2019</t>
  </si>
  <si>
    <t>Cobró el 1er. Desembolso en Diciembre del 2019</t>
  </si>
  <si>
    <t>obligado en dic/19</t>
  </si>
  <si>
    <t xml:space="preserve">SERGIO DANIEL FERNÁNDEZ </t>
  </si>
  <si>
    <t xml:space="preserve">CLARA ROMINA RODAS RECALDE </t>
  </si>
  <si>
    <t>2DO DESEMB. Exzp. N| 3004-18</t>
  </si>
  <si>
    <t>MIGDONIA CLEMENTINA TORRES GIMÉNEZ</t>
  </si>
  <si>
    <t>obligado en noviembre/19 Str N| 171.865</t>
  </si>
  <si>
    <t>DEBORAH GISSELLE MEDINA BELLO</t>
  </si>
  <si>
    <t>Obligado en Noviembre/19 Str N| 171.872</t>
  </si>
  <si>
    <t>IVANNA CECILIA VÁZQUEZ RUIZ</t>
  </si>
  <si>
    <t>Obligado en Noviembre/19 Str N| 167.631</t>
  </si>
  <si>
    <t>COMISIÓN VECINAL FOMENTO TERRITORIO SOCIAL GUAYAIBITY</t>
  </si>
  <si>
    <t>MARIA MERCEDES ENRIQUEZ ARANDA</t>
  </si>
  <si>
    <t>1139   1874</t>
  </si>
  <si>
    <t>23/05/2013  30/10/2019</t>
  </si>
  <si>
    <t>FRANCISCO JAVIER ALVARENGA</t>
  </si>
  <si>
    <t>EMILCE LETICIA CESPEDES GONZALEZ</t>
  </si>
  <si>
    <t>ISABELINO FLORES LOPEZ Y NINFA PEREZ DE FLORES</t>
  </si>
  <si>
    <t>CATALINA ESPINOZA DE SERVIAN Y FABIAN FIDEL SERVIAN LEIVA</t>
  </si>
  <si>
    <t>ZUNILDA CONCEPCION VILLARTA  DE BARRIOS Y ANTONIO BARRIOS</t>
  </si>
  <si>
    <t>RES. DE ANULACIÓN N° 2146 DEL 10/12/2019</t>
  </si>
  <si>
    <t>CEFERINO DIAZ GONZALEZ</t>
  </si>
  <si>
    <t>HILDA GARCIA IBARRA Y JUAN DE DIOS NUÑEZ ALLENDE</t>
  </si>
  <si>
    <t>MARIA CONCEPCION ESCURRA MIERS</t>
  </si>
  <si>
    <t>SILVANA REBECA FERNANDEZ BARRIOS</t>
  </si>
  <si>
    <t>MARIA DUARTE AYALA</t>
  </si>
  <si>
    <t>GLADIS INSFRAN</t>
  </si>
  <si>
    <t>VICTORIA ELIZABETH GUEDES OVIEDO</t>
  </si>
  <si>
    <t>CELSO MEDINA GODOY</t>
  </si>
  <si>
    <t>RAFAEL EDUARDO FRANCO ALEGRE Y MARIA TERESA AVEIRO DE FRANCO</t>
  </si>
  <si>
    <t>BENIGNA ORTIZ OZUNA</t>
  </si>
  <si>
    <t>BARBARA MACARENA VERA</t>
  </si>
  <si>
    <t>ENRIQUE VILLALBA YEGROS</t>
  </si>
  <si>
    <t>FRANCISCO ALVAREZ LEZCANO</t>
  </si>
  <si>
    <t xml:space="preserve">CARMEN ALEXANDRA CABALLERO GONZALEZ </t>
  </si>
  <si>
    <t>total obligado Diciembre ff20</t>
  </si>
  <si>
    <t>287       913</t>
  </si>
  <si>
    <t>9/2/2018        25/04/2018</t>
  </si>
  <si>
    <t>1188    2031</t>
  </si>
  <si>
    <t xml:space="preserve"> 11/07/2014      26/11/2019</t>
  </si>
  <si>
    <t>LAURA ROMINA SOLAECHE PINTOS</t>
  </si>
  <si>
    <t>747     814</t>
  </si>
  <si>
    <t>23/05/2014     27/12/2018</t>
  </si>
  <si>
    <t>JOSEFINA FIGUEREDO JARA</t>
  </si>
  <si>
    <t>2018 Y 2019</t>
  </si>
  <si>
    <t xml:space="preserve"> 5/19</t>
  </si>
  <si>
    <t>COMISION GRUPO ORGANIZADO PRO VIVIENDA DENOMINADO POR UN YABEBYRY MEJOR</t>
  </si>
  <si>
    <t>COMISION VECINAL NIÑO SALVADOR DEL MUNDO</t>
  </si>
  <si>
    <t>COMISION VECINAL PORVENIR I DE LA FRACCION PORVENIR I</t>
  </si>
  <si>
    <t>COMISION VECINAL ASENTAMIENTO LA AMISTAD</t>
  </si>
  <si>
    <t>NUEVA ITALIA</t>
  </si>
  <si>
    <t>ACG CONSULTORIA INTEGRAL</t>
  </si>
  <si>
    <t>COMISIÓN DE APOYO DEL ASENTAMIENTO SAN RAFAEL DEL BARRIO SAN MIGUEL</t>
  </si>
  <si>
    <t>COMISION DE APOYO DEL ASENTAMIENTO SAN RAFAEL DEL BARRIO SAN MIGUEL</t>
  </si>
  <si>
    <t>1/14</t>
  </si>
  <si>
    <t>COMISION DE FOMENTO URBANO DENOMINADA ARASATY</t>
  </si>
  <si>
    <t>COMISION VECINAL DE FOMENTO URBANO - DON ANTONIO</t>
  </si>
  <si>
    <t>COMISION VECINAL FOMENTO COMPLEJO HABITACIONAL COPAVIC I</t>
  </si>
  <si>
    <t>LILIANA SALINAS CUEVAS</t>
  </si>
  <si>
    <t>5/19</t>
  </si>
  <si>
    <t>LUCIA RAMONA VERA BENITEZ</t>
  </si>
  <si>
    <t xml:space="preserve">COMPRA DE VIVIENDA NUEVA O USADA </t>
  </si>
  <si>
    <t>COMISION DE CONSTRUCCION DE VIVIENDAS URBANAS DE PUERTO PARANAMBU</t>
  </si>
  <si>
    <t>ÑACUNDAY</t>
  </si>
  <si>
    <t>COMUNIDAD INDIGENA MBY'A GUARANI DE KARANDA'Y</t>
  </si>
  <si>
    <t>YGUAZÚ</t>
  </si>
  <si>
    <t>COMISION PRO-VIVIENDA SAN MIGUEL DE LOMA GRANDE</t>
  </si>
  <si>
    <t>LOMA GRANDE</t>
  </si>
  <si>
    <t>JULIO CESAR SPIRIDINOFT SANCHEZ</t>
  </si>
  <si>
    <t>EUSEBIO AYALA</t>
  </si>
  <si>
    <t>COMISION CENTRAL DEL TERRITORIO SOCIAL SAN ROQUE GONZALEZ DE SANTACRUZ</t>
  </si>
  <si>
    <t>COMISION PRO VIVIENDA DE SANJA PYTA</t>
  </si>
  <si>
    <t>CONSULTORA DGV DE DODANY GUSTAVO VOUGA</t>
  </si>
  <si>
    <t>MACIEL</t>
  </si>
  <si>
    <t>12 - ÑEEMBUCU</t>
  </si>
  <si>
    <t>PILAR</t>
  </si>
  <si>
    <t>MARIA GLORIA MARTINEZ VALIENTE</t>
  </si>
  <si>
    <t>Fondo de Reparo - Exp. N° 27122-12; 26060-16, asiento de egreso N° 3313 del 24/02/2016</t>
  </si>
  <si>
    <t>Fondo de Reparo - Expediente N° 33.385-12, Asiento de Egreso N° 17,324 del 29/08/2019</t>
  </si>
  <si>
    <t>Cobró en fecha 23/12/19 con AP N° 3.529, Asiento de Egreso N° 27837 del 23/12/2019</t>
  </si>
  <si>
    <t>Expediente N°  17161-15, 26440-18, 22683-18, 30909-18, Asiento de Egreso N° 13,073 del 28/05/2018</t>
  </si>
  <si>
    <t>Cobró en fecha 23/12/19 con AP N° 3.528, Asiento de Egreso N° 27.634 del 23/12/2019</t>
  </si>
  <si>
    <t>Cobró en fecha 26/12/19 con AP N° 3.527, Asiento de Egreso N° 28.048 del 26/12/2019</t>
  </si>
  <si>
    <t>Cobró con A.P. N° 2.796 de fecha 17/10/19, Asiento de Egreso N° 21.180 del 12/10/2019</t>
  </si>
  <si>
    <t xml:space="preserve"> pago STR 83.670 al 30/06/19  A.P. 1910 del 26/07/2019, As. De Egreso N° 15.087 del 26/07/2019</t>
  </si>
  <si>
    <t>Cobró con A.P. N° 3.504 de fecha 11/12/19, Asiento de Egreso N° 26.782 del 11/12/2019</t>
  </si>
  <si>
    <t>Asiento de Obligación N° 27579 del 23/12/2019</t>
  </si>
  <si>
    <t>Cobró el 14/11/19 con A.P. N° 3137 Y 3136, Asiento de Egreso N° 23.912 del 14/11/2019</t>
  </si>
  <si>
    <t>Cobró el 15/11/19 con A.P. N° 3.124, Asiento de Egreso N° 23.940 del 15/11/2019</t>
  </si>
  <si>
    <t>Cobró el 11/10/19 con A.P. N° 2.821, Asiento de Egreso N° 21.312 del 17/10/2019</t>
  </si>
  <si>
    <t>Oblig. N° 28258 del 27/12/2019, STR N° 196.646</t>
  </si>
  <si>
    <t>Oblig. N° 27571 del 23/12/2019, STR N° 191.866</t>
  </si>
  <si>
    <t>Oblig. N° 28109 del 27/12/2019, STR N° 195.734</t>
  </si>
  <si>
    <t>Oblig. N° 27862 del 23/12/2019, STR N° 192.221</t>
  </si>
  <si>
    <t>Oblig. N° 27567 del 23/12/2019, STR N° 191.880</t>
  </si>
  <si>
    <t>Cobró el 19/12/18 A.P. N° 3500, no se realizó la retención.</t>
  </si>
  <si>
    <t>COMISIÓN VECINAL PRO VIVIENDA YTORORO - PILAR</t>
  </si>
  <si>
    <t xml:space="preserve">COMISIÓN VECINAL PRO VIVIENDA  </t>
  </si>
  <si>
    <t>COMISION DE FOMENTO Y DESARROLLO RURAL DEL ASENTAMIENTO 3 DE MAYO DE LA COLONIA TENIENTE MORALES</t>
  </si>
  <si>
    <t>1365    1346</t>
  </si>
  <si>
    <t>7/8/2019 08/08/2019</t>
  </si>
  <si>
    <t>09/02/2018 29/05/2018</t>
  </si>
  <si>
    <t>287     1157</t>
  </si>
  <si>
    <t>EDGAR FARIÑA FERNANDEZ</t>
  </si>
  <si>
    <t xml:space="preserve">RESUMEN META  AL 31/12/2019 SIAF INICIAL  </t>
  </si>
  <si>
    <t>RESUMEN META AL 31/12/2019 - SIAF A INCLUIR</t>
  </si>
  <si>
    <t xml:space="preserve">TOTAL OBLIGAGADO ff20 </t>
  </si>
  <si>
    <t>ESTADO DE OBRAS AL 31/12/2019</t>
  </si>
  <si>
    <t xml:space="preserve"> %AVANCE DE OBRAS AL 31/12/2019</t>
  </si>
  <si>
    <t>ARROYOS Y ESTEROS</t>
  </si>
  <si>
    <t>GUARAMBARÉ</t>
  </si>
  <si>
    <t>ITÁ</t>
  </si>
  <si>
    <t>24/24/2012</t>
  </si>
  <si>
    <t>577  1372-17</t>
  </si>
  <si>
    <t>MINISTERIO DE URBANISMO, VIVIENDA Y HABITAT</t>
  </si>
  <si>
    <t>Subsidios Habitacionales adjudicados durante el Ejercicio Fiscal 2019 - FONAVIS</t>
  </si>
  <si>
    <t>Modalidad</t>
  </si>
  <si>
    <t>Cat. Subsidios</t>
  </si>
  <si>
    <t>Familias Beneficiarias</t>
  </si>
  <si>
    <t>Monto en Gs. (*)</t>
  </si>
  <si>
    <t>Compra de vivienda</t>
  </si>
  <si>
    <t>Construcción en Lote Propio</t>
  </si>
  <si>
    <t>Otros (Grupos Organizados)</t>
  </si>
  <si>
    <t>Total</t>
  </si>
  <si>
    <t>(*) Monto destinado al subsidio por modalidad</t>
  </si>
  <si>
    <t>Mencionar periodo de adjudicación si fuera diferente al año 2018</t>
  </si>
  <si>
    <t>Llamados 2019</t>
  </si>
  <si>
    <t>Primer Llamado</t>
  </si>
  <si>
    <t>Segundo Llamado</t>
  </si>
  <si>
    <t>Tercer Llamado</t>
  </si>
  <si>
    <t>Cuarto Llamado</t>
  </si>
  <si>
    <t>Quinto Llamado</t>
  </si>
  <si>
    <t>Nombre del Proyecto:  Fondo Nacional de Vivienda Social (FONAVIS)</t>
  </si>
  <si>
    <t>N°</t>
  </si>
  <si>
    <t>Distrito</t>
  </si>
  <si>
    <t>Vivienda</t>
  </si>
  <si>
    <t>A Iniciar</t>
  </si>
  <si>
    <t>En ejecución</t>
  </si>
  <si>
    <t>Culminada</t>
  </si>
  <si>
    <t>Rescindida</t>
  </si>
  <si>
    <t xml:space="preserve">Paralizada </t>
  </si>
  <si>
    <t>Anulada</t>
  </si>
  <si>
    <t>Concepción</t>
  </si>
  <si>
    <t>Horqueta</t>
  </si>
  <si>
    <t>Paso Barreto</t>
  </si>
  <si>
    <t>Sargento José Félix López</t>
  </si>
  <si>
    <t>Belén</t>
  </si>
  <si>
    <t>Arroyito</t>
  </si>
  <si>
    <t>San Alfredo</t>
  </si>
  <si>
    <t>Ybyyau</t>
  </si>
  <si>
    <t>San Pedro</t>
  </si>
  <si>
    <t>Guayaibí</t>
  </si>
  <si>
    <t>Santa Rosa del Aguaray</t>
  </si>
  <si>
    <t>Tacuatí</t>
  </si>
  <si>
    <t>San Pedro de Ycuamandiyú</t>
  </si>
  <si>
    <t>Nueva Germania</t>
  </si>
  <si>
    <t>San Vicente Pancholo</t>
  </si>
  <si>
    <t>Gral. Elizardo Aquino</t>
  </si>
  <si>
    <t>San Estanislao</t>
  </si>
  <si>
    <t>Capiibary</t>
  </si>
  <si>
    <t>General Resquin</t>
  </si>
  <si>
    <t>Cordillera</t>
  </si>
  <si>
    <t>Tobati</t>
  </si>
  <si>
    <t>Emboscada</t>
  </si>
  <si>
    <t>Caacupé</t>
  </si>
  <si>
    <t>Atyrá</t>
  </si>
  <si>
    <t>Arroyos y Esteros</t>
  </si>
  <si>
    <t>Juan de Mena</t>
  </si>
  <si>
    <t>Piribebuy</t>
  </si>
  <si>
    <t xml:space="preserve">Loma Grande </t>
  </si>
  <si>
    <t xml:space="preserve">Eusebio Ayala </t>
  </si>
  <si>
    <t>Santa Elena</t>
  </si>
  <si>
    <t>Guairá</t>
  </si>
  <si>
    <t>Villarrica</t>
  </si>
  <si>
    <t>Paso Yobai</t>
  </si>
  <si>
    <t>Independencia</t>
  </si>
  <si>
    <t>Mbocayaty</t>
  </si>
  <si>
    <t>Caaguazú</t>
  </si>
  <si>
    <t>Coronel Oviedo</t>
  </si>
  <si>
    <t>Simón Bolivar</t>
  </si>
  <si>
    <t>Nueva Londrés</t>
  </si>
  <si>
    <t>Yhú</t>
  </si>
  <si>
    <t>Mariscal Francisco S. López</t>
  </si>
  <si>
    <t>Dr. J. Eulogio Estigarribia</t>
  </si>
  <si>
    <t>Repatriación</t>
  </si>
  <si>
    <t>R. I. Corrales</t>
  </si>
  <si>
    <t>Raul A. Oviedo</t>
  </si>
  <si>
    <t>Santa Rosa del Mbutuy</t>
  </si>
  <si>
    <t>Carayao</t>
  </si>
  <si>
    <t>San Juan Nepomuceno</t>
  </si>
  <si>
    <t>Tava-í</t>
  </si>
  <si>
    <t>Buena Vista</t>
  </si>
  <si>
    <t>Yuty</t>
  </si>
  <si>
    <t>Gral. Higinio Morinigo</t>
  </si>
  <si>
    <t>Avai</t>
  </si>
  <si>
    <t>Maciel</t>
  </si>
  <si>
    <t>Itapúa</t>
  </si>
  <si>
    <t>Tomás Romero Pereira</t>
  </si>
  <si>
    <t>Alto Verá</t>
  </si>
  <si>
    <t>San Pedro del Paraná</t>
  </si>
  <si>
    <t>Edelira</t>
  </si>
  <si>
    <t>San Rafael del Paraná</t>
  </si>
  <si>
    <t>Carlos Antonio López</t>
  </si>
  <si>
    <t>Cambyretá</t>
  </si>
  <si>
    <t>General Artigas</t>
  </si>
  <si>
    <t>Yatayty</t>
  </si>
  <si>
    <t>Capitán Meza</t>
  </si>
  <si>
    <t>Gral. Jose Maria Delgado</t>
  </si>
  <si>
    <t>Misiones</t>
  </si>
  <si>
    <t>San Miguel</t>
  </si>
  <si>
    <t>Ayolas</t>
  </si>
  <si>
    <t>Yabebyry</t>
  </si>
  <si>
    <t>Paraguarí</t>
  </si>
  <si>
    <t>Mbuyapey</t>
  </si>
  <si>
    <t>Ybycuí</t>
  </si>
  <si>
    <t>Yaguarón</t>
  </si>
  <si>
    <t>Quindy</t>
  </si>
  <si>
    <t>Acahai</t>
  </si>
  <si>
    <t>Alto Paraná</t>
  </si>
  <si>
    <t>Presidente Franco</t>
  </si>
  <si>
    <t>Hernandarias</t>
  </si>
  <si>
    <t>Itakyry</t>
  </si>
  <si>
    <t>Mbaracayú</t>
  </si>
  <si>
    <t>Juan E. O'Leary</t>
  </si>
  <si>
    <t>Minga Pora</t>
  </si>
  <si>
    <t>Ñacundai</t>
  </si>
  <si>
    <t>Iruña</t>
  </si>
  <si>
    <t>Iguazu</t>
  </si>
  <si>
    <t>Central</t>
  </si>
  <si>
    <t>Mariano Roque Alonso</t>
  </si>
  <si>
    <t>Itauguá</t>
  </si>
  <si>
    <t>San Antonio</t>
  </si>
  <si>
    <t>Villeta</t>
  </si>
  <si>
    <t>Areguá</t>
  </si>
  <si>
    <t>Ypané</t>
  </si>
  <si>
    <t>Limpio</t>
  </si>
  <si>
    <t>J.Augusto Saldivar</t>
  </si>
  <si>
    <t>Capiatá</t>
  </si>
  <si>
    <t>Luque</t>
  </si>
  <si>
    <t>San Lorenzo</t>
  </si>
  <si>
    <t>Lambaré</t>
  </si>
  <si>
    <t>Ñemby</t>
  </si>
  <si>
    <t>Guarambaré</t>
  </si>
  <si>
    <t>Nueva Italia</t>
  </si>
  <si>
    <t>Itá</t>
  </si>
  <si>
    <t>Ñeembucu</t>
  </si>
  <si>
    <t>Pilar</t>
  </si>
  <si>
    <t>Amambay</t>
  </si>
  <si>
    <t>Capitán Bado</t>
  </si>
  <si>
    <t>Pedro Juan Caballero</t>
  </si>
  <si>
    <t>Bella Vista</t>
  </si>
  <si>
    <t>Zanja Pyta</t>
  </si>
  <si>
    <t>Canindeyú</t>
  </si>
  <si>
    <t>Yasy Cañy</t>
  </si>
  <si>
    <t>Curuguaty</t>
  </si>
  <si>
    <t>Ybyrarobana</t>
  </si>
  <si>
    <t>Villa Ygatimi</t>
  </si>
  <si>
    <t>Yvy Pyta</t>
  </si>
  <si>
    <t>Salto del Guairá</t>
  </si>
  <si>
    <t>Villa Curuguaty</t>
  </si>
  <si>
    <t>Corpus Christi</t>
  </si>
  <si>
    <t>Presidente Hayes</t>
  </si>
  <si>
    <t>Villa Hayes</t>
  </si>
  <si>
    <t>Tte 1° Manuel Irala Fernandez</t>
  </si>
  <si>
    <t>Benjamín Aceval</t>
  </si>
  <si>
    <t>Pozo Colorado</t>
  </si>
  <si>
    <t>Tte. Esteban Martínez</t>
  </si>
  <si>
    <t>Boquerón</t>
  </si>
  <si>
    <t>Mcal. Estigarribia</t>
  </si>
  <si>
    <t>Filadelfia</t>
  </si>
  <si>
    <t>Alto Paraguay</t>
  </si>
  <si>
    <t>La Victoria</t>
  </si>
  <si>
    <t>Bahía Negra</t>
  </si>
  <si>
    <t>Alcance Nacional</t>
  </si>
  <si>
    <t>TOTALES</t>
  </si>
  <si>
    <t>CONCEPCION</t>
  </si>
  <si>
    <t>DEPARTAMENTO / EMPRESA</t>
  </si>
  <si>
    <t>COM+C1259UNIDAD INDÍGENA CHAMACOCO DE PUERTO DIANA</t>
  </si>
  <si>
    <t>PROGRAMA: FONDO NACIONAL DE LA VIVIENDA SOCIAL (FONAVIS)</t>
  </si>
  <si>
    <t>VIVIENDAS</t>
  </si>
  <si>
    <t>Situación de obras por Programas y/o Proyectos - Ejercicio Fiscal 2019 - Segundo Semestre</t>
  </si>
  <si>
    <t xml:space="preserve">Tiene solictud de anulacion segu exp N° 28867/18 Unidad </t>
  </si>
  <si>
    <t>COMITÉ DE AGRICULTORES LOMA TUYUTI DEL ASENTAMIENTO LOMA TUYUTI</t>
  </si>
  <si>
    <t>P/ANULAR - Exp  N° 7059-18</t>
  </si>
  <si>
    <t>Res. De Rescisión N° 029-19 del 04/01/2019</t>
  </si>
  <si>
    <t>SALDO PLURIANUAL 2020</t>
  </si>
  <si>
    <t>RES.N° 317 DEL 01/11/18, As. Ob N° 11945, As. De Egreso N° 4949 del 30/03/2019 por devolución</t>
  </si>
  <si>
    <t>Res.de Anulación N° 2071-19</t>
  </si>
  <si>
    <t>Compromisos 2020</t>
  </si>
  <si>
    <t>1er Llamado 2020</t>
  </si>
  <si>
    <t>Fuente 10</t>
  </si>
  <si>
    <t>Fuente 20</t>
  </si>
  <si>
    <t>Grupos</t>
  </si>
  <si>
    <t>Individuales</t>
  </si>
  <si>
    <t>Presupuesto 2020</t>
  </si>
  <si>
    <t>Cantidad de Viviendas</t>
  </si>
  <si>
    <t>A iniciar                             2004</t>
  </si>
  <si>
    <t>En ejecuciom                     4233</t>
  </si>
  <si>
    <t>pasar a ff   20     59.509442</t>
  </si>
  <si>
    <t>PASAR A FF 10 29.806.541</t>
  </si>
  <si>
    <t xml:space="preserve">411-16  801-16   1608-17 </t>
  </si>
  <si>
    <t>RESOLUCION N°1567 DE ANULACION 06/07/2018</t>
  </si>
  <si>
    <t>plurianual, CAMBIO DE SAT , pasar a ff 20     105 Gs</t>
  </si>
  <si>
    <t xml:space="preserve"> VER SI SE DISMINUYO EL COSTO DEL PYTO, Res. De cambio de modalidad N° 1632 del 11/07/2018</t>
  </si>
  <si>
    <t>DISMINUIR   47.404.978</t>
  </si>
  <si>
    <t>15 (Alto Verá) 3 (San Pedro del Paraná)SE VA RECTIFICAR 2 benef., motivos abandono de hogar Exped. N° 605-19( proceso ) y otro por fallecimiento ya rectificado con N° de Res.624/19del nexo de la Resol. 708/18. Monto del Susb. Para 16 Benef. Gs: 1.202.917.443</t>
  </si>
  <si>
    <t>RES. DE DISMINUCION DE COSTO DEL PYTO N` 2440-17FALTA N° DE RESOLUCION DE ANULACION N° 801-17</t>
  </si>
  <si>
    <t>RESOLUCION DE ANULACION N° 292-18</t>
  </si>
  <si>
    <t>RESOLUCION DE ANULACION N° 246-19</t>
  </si>
  <si>
    <t>980 Y 877</t>
  </si>
  <si>
    <t>2 subsidios fueron anulados , 469.770.830 FF 20 Variación de usm, falta reprogramar 1.453366.848</t>
  </si>
  <si>
    <t>1651   1854</t>
  </si>
  <si>
    <t>Res. De Anulación N° 257-19</t>
  </si>
  <si>
    <t>ver chamorro porque se pago por 36 viv.</t>
  </si>
  <si>
    <t>se reestructuro ver con el sat</t>
  </si>
  <si>
    <t>VER EXP N° 22953-16</t>
  </si>
  <si>
    <t>MARIZZA BAZÁN Y  FIDENCIO DANIEL PORTILLO BENITEZ</t>
  </si>
  <si>
    <t>OBRAS 2020</t>
  </si>
  <si>
    <t>2016 y 2019</t>
  </si>
  <si>
    <t>2019 y 2020</t>
  </si>
  <si>
    <t>META SIAF A INCLUIR 2019</t>
  </si>
  <si>
    <t>META SIAF INICIAL 2020</t>
  </si>
  <si>
    <t>META SIAF A INCLUIR 2020</t>
  </si>
  <si>
    <t>877-20 Gs. 10.615.051 y 980 Gs. 23.642.007</t>
  </si>
  <si>
    <t>LLAMADO 1/2020</t>
  </si>
  <si>
    <t>ANULADA 2020</t>
  </si>
  <si>
    <t>ANULADA 2017, 2018, 2019, 2020</t>
  </si>
  <si>
    <t>CULMINADAS ADMINISTRACIÓN DURÁN AGOSTO 2018 2020</t>
  </si>
  <si>
    <t>Expediente Nº 15394-16; 26244-15; 17758-15, 12322-16 y 11810-13</t>
  </si>
  <si>
    <t>– Expediente Nº 4894-17</t>
  </si>
  <si>
    <t>Exp. N° 50411-19</t>
  </si>
  <si>
    <t xml:space="preserve">pasar a  ff 10  Gs. 1.105.306.648 </t>
  </si>
  <si>
    <t>PASAR A FF 10 Gs. 20.304.107</t>
  </si>
  <si>
    <t>plurianual, pasar a ff 20  Gs. 59.307.624</t>
  </si>
  <si>
    <t>plurianual, CAMBIO DE SAT , CAMBIO DE FF 20 Gs. 40,266.474</t>
  </si>
  <si>
    <t>pasar a ff 20 Gs. 46.108.365</t>
  </si>
  <si>
    <t xml:space="preserve">plurianual, </t>
  </si>
  <si>
    <t>plurianual, PASAR A FF20  34.696.830</t>
  </si>
  <si>
    <t>plurianual, pasar a ff 20  Gs. 52.635.000</t>
  </si>
  <si>
    <t>pasar a ff   20     44.154.202</t>
  </si>
  <si>
    <t>Sumar Gs. 105 de FF20</t>
  </si>
  <si>
    <t>PASAR  A FF 20 31.560.487</t>
  </si>
  <si>
    <t>pasar a ff 20  Gs. 44.154.202 ff20</t>
  </si>
  <si>
    <t xml:space="preserve">EUSEBIO MOREL    </t>
  </si>
  <si>
    <t>ANGEL BENICIO GAONA AGÜERO</t>
  </si>
  <si>
    <t>EXP. N° 15187/15</t>
  </si>
  <si>
    <t>08/08/2019                                                                       03/09/2019</t>
  </si>
  <si>
    <t>ANALADA SEGÚN RESOLUCION 116/2020 DEL 27/01/2020</t>
  </si>
  <si>
    <t>CULMINADA 2020</t>
  </si>
  <si>
    <t>FREDDY ANTONIO MARTINEZ RUIZ DIAZ</t>
  </si>
  <si>
    <t>COMISION VECINAL PRO ACTIVIDAD FAMILIAS FELICES</t>
  </si>
  <si>
    <t>1190        1116</t>
  </si>
  <si>
    <t>11/07/2014     25/06/2019</t>
  </si>
  <si>
    <t>1384           244</t>
  </si>
  <si>
    <t>8/8/2019             28/02/2020</t>
  </si>
  <si>
    <t>PASAR A FF 20 Gs.   25.724.773 Resolucion 244/2020</t>
  </si>
  <si>
    <t>ELIDA ARMINDA CACERES CHAMORRO</t>
  </si>
  <si>
    <t>RAMON DOMINGO VILLAGRA DUARTE</t>
  </si>
  <si>
    <t>Tiene Resolucion de Cambio de Fuente 2020</t>
  </si>
  <si>
    <t>COMSION VECINAL KYREY  PRO VIVIENDA ASENTAMIENTO SAN ROQUE</t>
  </si>
  <si>
    <t>COM. DE FOMENTO  DESARRLLO PRO - VIVIENDA DE LA COL. TAVA GUARANI 1a. FASE</t>
  </si>
  <si>
    <t>1/20</t>
  </si>
  <si>
    <t>COMISION DE FOMENTO Y DESARROLLO DE LA COLONIA SAN MIGUEL ARCANGEL VIUDA CUE BASE 5</t>
  </si>
  <si>
    <t>NUOVA INGENIERIA S.A.</t>
  </si>
  <si>
    <t>PRESUPUESTO 2020</t>
  </si>
  <si>
    <t>VAQUERIA</t>
  </si>
  <si>
    <t>COMISION "PRO EN DEFENSA DE LO NUESTRO", de la Comunidad de Pirá Verá</t>
  </si>
  <si>
    <t>MARIA CELIA ACOSTA RIOS</t>
  </si>
  <si>
    <t>COMISION  VECINAL VY'A RENDA SANTO DOMINGO</t>
  </si>
  <si>
    <t>NIVEL</t>
  </si>
  <si>
    <t>COMITÉ DE MUJERES LUZ DE ESPERANZA COLONIA 30 DE ABRIL</t>
  </si>
  <si>
    <t>OSMAR VERA</t>
  </si>
  <si>
    <t>SAN LAZARO</t>
  </si>
  <si>
    <t>COMISION PRO VIVIENDA DE POBLADORES DE LA COMUNIDAD DE SAN LAZARO</t>
  </si>
  <si>
    <t>CP CONSTUCCIONES</t>
  </si>
  <si>
    <t>16/03/20020</t>
  </si>
  <si>
    <t>COMUNIDAD INDIGENA MARISCAL LOPEZ de la Etnia Ava Guaraní</t>
  </si>
  <si>
    <t>COMUNIDAD INDIGENA REMANSO TORO PERTENECIENTE A LA PARCIALIDAD MBYA GUARANI</t>
  </si>
  <si>
    <t>12/03/2020      28/04/2020</t>
  </si>
  <si>
    <t>287        385</t>
  </si>
  <si>
    <t>DR. MANUEL FRUTOS</t>
  </si>
  <si>
    <t>COMISION DEL GRUPO ORGANIZADO PRO VIVIENDA DR. JUAN MANUEL FRUTOS</t>
  </si>
  <si>
    <t>267          385</t>
  </si>
  <si>
    <t>12/03/2020       28/04/2020</t>
  </si>
  <si>
    <t>RES 385/2020 CAMBIO FF</t>
  </si>
  <si>
    <t>RESOL 385/2020 CAMBIO DE FF</t>
  </si>
  <si>
    <t>COMUNIDAD INDIGENA "TEKOHA PYAHU (Carrería'i)"</t>
  </si>
  <si>
    <t>259         385</t>
  </si>
  <si>
    <t>04/03/2020        28/04/2020</t>
  </si>
  <si>
    <t>COMISION VECINAL ASENTAMIENTO SANTA LIBRADA</t>
  </si>
  <si>
    <t>COMISION DE FOMENTO Y DESARROLLO DEL ASENTAMIENTO NUEVA ESPERANZA DE LA COLONIA NARANJITO</t>
  </si>
  <si>
    <t>LIC. MARIA MERCEDES ENRIQUEZ A.</t>
  </si>
  <si>
    <t>COMISION CENTRAL DEL TERRITORIO SOCIAL VILLA ELSA</t>
  </si>
  <si>
    <t>COMISION ROSA MISTICA</t>
  </si>
  <si>
    <t>323        385</t>
  </si>
  <si>
    <t>20/03/2020           28/04/2020</t>
  </si>
  <si>
    <t>COMISION DE FOMENTO Y DESARROLLO DE SAN VICENTE</t>
  </si>
  <si>
    <t>DIOSNEL MIRANDA ROLON</t>
  </si>
  <si>
    <t>COMUNIDAD INDIGENA AVA-CHIRIPA, COLONIA TEKOHA PORA (PASO CADENA)</t>
  </si>
  <si>
    <t>277         385</t>
  </si>
  <si>
    <t>ISLA PUCU</t>
  </si>
  <si>
    <t>COMISION VECINAL "SANTA ISABEL"</t>
  </si>
  <si>
    <t>COMISION VECINAL DE DESARROLLO Y FOMENTO FRACCION 24 DE JULIO II</t>
  </si>
  <si>
    <t>AM CONSULTORA</t>
  </si>
  <si>
    <t>COMISION VECINAL  JEROVIAHA I</t>
  </si>
  <si>
    <t>317         385</t>
  </si>
  <si>
    <t>20/03/2020        28/04/2020</t>
  </si>
  <si>
    <t>COMISION DIRECTIVA ASENTAMIENTO PUERTA DEL CIELO</t>
  </si>
  <si>
    <t>ARQ. CECILIA T. FRETES LOPEZ</t>
  </si>
  <si>
    <t>COMISION PRO-VIVIENDA COLONIA BLAS A. GARAY 1° FASE</t>
  </si>
  <si>
    <t>306         385</t>
  </si>
  <si>
    <t>19/03/2020     28/04/2020</t>
  </si>
  <si>
    <t>COMISION VECINAL DE FOMENTO DEL TERRITORIO SOCIAL DIVINA MISERICORDIA</t>
  </si>
  <si>
    <t>XYZ INGENIERIA</t>
  </si>
  <si>
    <t>COMISION VECINAL ASENTAMIENTO EL PROGRESO (RENOVADO)</t>
  </si>
  <si>
    <t>FUNDACION FAMILIA DE NAZARETH</t>
  </si>
  <si>
    <t>CARAPEGUA</t>
  </si>
  <si>
    <t>COMISION CIUDADANA PARA LA VIVIENDA</t>
  </si>
  <si>
    <t>MARÍA LILIA ORTIGOZA DÍAZ</t>
  </si>
  <si>
    <t>FF</t>
  </si>
  <si>
    <t>COMISION VECINAL ARA POTY II DEL BARRIO SAN ISIDRO</t>
  </si>
  <si>
    <t>NANCY NOEMI PORTILLO ORTIZ</t>
  </si>
  <si>
    <t>PAGO AL SAT MARIA JOSE VILLALBA 0,05 % 5.134.879 POR TRABAJOS REALIZADOS - CAMBIO DE SAT</t>
  </si>
  <si>
    <t>COMISION DEL TERRITORIO SOCIAL 31 DE JULIO DE CALLE ITACURUBI</t>
  </si>
  <si>
    <t>La empresa cuenta con Resolución de habilitación vencida</t>
  </si>
  <si>
    <t>PLAZO PARA 2° DESEMB.</t>
  </si>
  <si>
    <t>PLAZO</t>
  </si>
  <si>
    <t>FECHA PAGO</t>
  </si>
  <si>
    <t>San Lazaro</t>
  </si>
  <si>
    <t>Isla Pucu</t>
  </si>
  <si>
    <t>Vaqueria</t>
  </si>
  <si>
    <t>Dr. Manuel Frutos</t>
  </si>
  <si>
    <t>CONSTRUCTORA</t>
  </si>
  <si>
    <t>Nueva Toledo</t>
  </si>
  <si>
    <t>Carapegua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</si>
  <si>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</si>
  <si>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</si>
  <si>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</si>
  <si>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</si>
  <si>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</si>
  <si>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</si>
  <si>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</si>
  <si>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</si>
  <si>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</si>
  <si>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NOVIEMBRE</t>
  </si>
  <si>
    <t>DICIEMBRE</t>
  </si>
  <si>
    <t>OCTUBRE</t>
  </si>
  <si>
    <t>FF10 - 1ER</t>
  </si>
  <si>
    <t>COMPRA FF10</t>
  </si>
  <si>
    <t>COMPRA FF20</t>
  </si>
  <si>
    <t>2DO FF10</t>
  </si>
  <si>
    <t>FF20 1ER</t>
  </si>
  <si>
    <t>2DO FF20</t>
  </si>
  <si>
    <t>TOTAL FF10</t>
  </si>
  <si>
    <t>TOTAL FF20</t>
  </si>
  <si>
    <t>TOTAL GRAL</t>
  </si>
  <si>
    <t xml:space="preserve"> 1/20</t>
  </si>
  <si>
    <t>COMISION ASENTAMIENTO VILLA ANGELICA</t>
  </si>
  <si>
    <t>04/05/2020   27/05/2020</t>
  </si>
  <si>
    <t>397      534</t>
  </si>
  <si>
    <t>se disminuyo el costo por la calificación del pyto.</t>
  </si>
  <si>
    <t>JUSTO IBARRA CARDOZO</t>
  </si>
  <si>
    <t>BASILICIA GONZALEZ ROMERO</t>
  </si>
  <si>
    <t>JORGE LUIS VILLASBOA LARREA</t>
  </si>
  <si>
    <t>MARCELO RAMON ALDERETE Y AIDA MARIA LUGO</t>
  </si>
  <si>
    <t>ESTANISLAA TRIGO ROMERO</t>
  </si>
  <si>
    <t>1188   689</t>
  </si>
  <si>
    <t>11/7/2014   27/12/2019</t>
  </si>
  <si>
    <t xml:space="preserve">EN EL MES DE Setiembre se informó como culminadas y en el mes de Octubre figura a iniciar, SE ANULO POR Res. Nro 360 </t>
  </si>
  <si>
    <t xml:space="preserve">COMISIÓN VECINAL PRO VIVIENDA YTORORO </t>
  </si>
  <si>
    <t>COMISIÓN VECINAL PRO VIVIENDA  I</t>
  </si>
  <si>
    <t>NELSON BENITEZ CARDOZO Y VICTORIA CARDOZO DE BENITEZ</t>
  </si>
  <si>
    <t>MABEL A. ROMERO DE CARDOZO</t>
  </si>
  <si>
    <t>RESOLUCION DE RESCICION N° 1398 DEL 2020</t>
  </si>
  <si>
    <t xml:space="preserve"> %AVANCE DE OBRAS AL 30/06/2020</t>
  </si>
  <si>
    <t>ESTADO DE OBRAS AL 30/06/2020</t>
  </si>
  <si>
    <t>ANULADO POR RES. 252 DEL 03/03/20</t>
  </si>
  <si>
    <t>ANULADA SEGÚN RESOLUCION 116/2020 DEL 27/01/2020</t>
  </si>
  <si>
    <t>VER EXP. N° 25799-16</t>
  </si>
  <si>
    <t>125 899</t>
  </si>
  <si>
    <t>3/10/2018  24/04/2018</t>
  </si>
  <si>
    <t>2 subsidios fueron anulados , 469.770.830 FF 20 Variación de usm, ‭403.811.836‬ ff10,con  reprogramacion 1.453366.848</t>
  </si>
  <si>
    <t xml:space="preserve"> Res. N° 1372-17expediente N° 22313-14 FUENTE 10 ES 8.719.235</t>
  </si>
  <si>
    <t>ANULADA SEGÚN RESOLUCION 899/2018 DEL 24/04/2018</t>
  </si>
  <si>
    <t>1666     2203</t>
  </si>
  <si>
    <t>23/9/2019       19/12/2019</t>
  </si>
  <si>
    <t>2019/2020</t>
  </si>
  <si>
    <t>6.321.050 fue devuelto al M.H.</t>
  </si>
  <si>
    <t>2076 2354   2756</t>
  </si>
  <si>
    <t>23/10/2014 26/10/2015  09/12/2016</t>
  </si>
  <si>
    <t>755    1296</t>
  </si>
  <si>
    <t>3/4/2013 23/06/2016</t>
  </si>
  <si>
    <t>Expediente Nº 1590-15; 15809-13; 18139-15</t>
  </si>
  <si>
    <t>RAUL SALUSTIANO MORALES y   LIZ AZUCENA GONZÁLEZ BOGADO</t>
  </si>
  <si>
    <t>Nº 24247-17, EGRESO n° 8660/18</t>
  </si>
  <si>
    <t>543  1804</t>
  </si>
  <si>
    <t>1/4/2013   31/07/2018</t>
  </si>
  <si>
    <t>SERGIO DANIEL FERNÁNDEZ y MIRTHA FABIOLA CHERETTI MERELES</t>
  </si>
  <si>
    <t>exp. Nro25014-18</t>
  </si>
  <si>
    <t xml:space="preserve"> Agos/18  marzo/19</t>
  </si>
  <si>
    <t>DURAN</t>
  </si>
  <si>
    <t>NUÑEZ</t>
  </si>
  <si>
    <t xml:space="preserve"> ya cuenta con devolucion de fondo de reparo</t>
  </si>
  <si>
    <t>SET /18</t>
  </si>
  <si>
    <t>AG/18</t>
  </si>
  <si>
    <t>OCT/18  DIC/18</t>
  </si>
  <si>
    <t>OCT/2018 , NOV/18, DIC/18</t>
  </si>
  <si>
    <t>DIC/18  OCT/19</t>
  </si>
  <si>
    <t>DIC/18  DIC/19</t>
  </si>
  <si>
    <t>980 y 877</t>
  </si>
  <si>
    <t xml:space="preserve">TOTAL OBLIGAGADO 877 -20 </t>
  </si>
  <si>
    <t xml:space="preserve">TOTAL OBLIGAGADO 877-10 </t>
  </si>
  <si>
    <t>TOTAL 877</t>
  </si>
  <si>
    <t>JOSÉ DOLORES GONZALEZ QUINTANA Y NOEMI RUTH MARTIN DE GONZÁLEZ</t>
  </si>
  <si>
    <t>PIRAYU</t>
  </si>
  <si>
    <t>COMISION PRO VIVIENDA PIRAYU 2a ETAPA</t>
  </si>
  <si>
    <t>COMITÉ DE MUJERES TEKOPORAVEREKAVO DE LA COMPAÑÍA CERRO ICE</t>
  </si>
  <si>
    <t>TEKOVE</t>
  </si>
  <si>
    <t>2/20</t>
  </si>
  <si>
    <t xml:space="preserve">COMISION VECINAL DEL TERRITORIO SOCIAL SAN JOSE OBRERO I </t>
  </si>
  <si>
    <t>CP MYRIAM DIANA SOSA</t>
  </si>
  <si>
    <t>17/06/20020</t>
  </si>
  <si>
    <t>COMUNIDAD INDIGENA SAWHOMAYAMAXA DE LA ETNIA ENXET DEL DISTRITO DE VILLA HAYES</t>
  </si>
  <si>
    <t xml:space="preserve"> 2/20</t>
  </si>
  <si>
    <t>COMUNIDAD INDIGENA AVA-GUARANI DE LA COLONIA ITARANA-MI</t>
  </si>
  <si>
    <t>Cambio de Fuente de Financiamiento a FF20 1.336.391.091</t>
  </si>
  <si>
    <t>Set/18</t>
  </si>
  <si>
    <t>Ag/18</t>
  </si>
  <si>
    <t>877 -FF10</t>
  </si>
  <si>
    <t>877 -FF20</t>
  </si>
  <si>
    <t>877 -FF30</t>
  </si>
  <si>
    <t>980 y 977</t>
  </si>
  <si>
    <t xml:space="preserve">ADRIANA DE FÁTIMA CENTURIÓN LEIVA Y DIEGO MARTIN IMAS GONZALEZ </t>
  </si>
  <si>
    <t>980 -FF10</t>
  </si>
  <si>
    <t>JUL/18 Y Ag/18</t>
  </si>
  <si>
    <t>COMISION "PRO EN DEFENSA DE LO NUESTRO", DE LA COMUNIDAD DE PIRA VERA</t>
  </si>
  <si>
    <t>COMUNIDAD INDIGENA "TEKOHA PYAHU (CARRERIA'I)"</t>
  </si>
  <si>
    <t>COMUNIDAD INDIGENA MARISCAL LOPEZ DE LA ETNIA AVA GUARANÍ</t>
  </si>
  <si>
    <t xml:space="preserve">COMISION  PRO DESARROLLO </t>
  </si>
  <si>
    <t>COMISION PRO VIVIENDA DE SANJA PYTA DE LA COMPAÑÍA SANJA PYTA</t>
  </si>
  <si>
    <t xml:space="preserve">COMISION PRO VIVIENDA DE LA COLONIA AGUA BLANCA </t>
  </si>
  <si>
    <t>COMUNIDAD INDIGENA  "YKUA PORA CAMPO AZUL" PERTENECIENTE A LA ETNIA MBYA GUARANI</t>
  </si>
  <si>
    <t>2040   2910   2969 2998</t>
  </si>
  <si>
    <t>23/09/2017 14/12/2017 20/12/2017 22/12/2017</t>
  </si>
  <si>
    <t>DURAN Y NUNEZ</t>
  </si>
  <si>
    <t xml:space="preserve">CULMINADAS ADMINISTRACIÓN DURÁN AGOSTO 2018 </t>
  </si>
  <si>
    <t>CULMINADAS ADMINISTRACIÓN DURÁN AGOSTO 2018 A JUNIO 2020</t>
  </si>
  <si>
    <t>GRAL JOSÉ MARIA DELGADO</t>
  </si>
  <si>
    <t>ITAUGUÁ</t>
  </si>
  <si>
    <t>MARISCAL FRANCISCO SOLANO LÒPEZ</t>
  </si>
  <si>
    <t>DR. JUAN MANUEL FRUTOS</t>
  </si>
  <si>
    <t>MARISCAL  JOSÉ FÉLIX  ESTIGARRIBIA</t>
  </si>
  <si>
    <t>Situación de obras por Programas y/o Proyectos - Ejercicio Fiscal 2020 -Primer Semestre</t>
  </si>
  <si>
    <t>Gral. Francisco I. Resquín</t>
  </si>
  <si>
    <t>Acahay</t>
  </si>
  <si>
    <t>Pirayu</t>
  </si>
  <si>
    <t>Ñacunday</t>
  </si>
  <si>
    <t>Yguazú</t>
  </si>
  <si>
    <t>Mariscal  José Félix Estigarribia</t>
  </si>
  <si>
    <t xml:space="preserve"> VILLA HAYES</t>
  </si>
  <si>
    <t>TENIENTE  ESTEBAN MARTINEZ</t>
  </si>
  <si>
    <t xml:space="preserve">RESUMEN META  AL 30/06/2020 SIAF INICIAL  </t>
  </si>
  <si>
    <t>RESUMEN META AL 30/06/2020 - SIAF A INCLUIR</t>
  </si>
  <si>
    <t>ACTIVIDAD : 4 SUBSIDIO HABITACIONAL (FONAVIS)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</si>
</sst>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-* #,##0.00\ _€_-;\-* #,##0.00\ _€_-;_-* &quot;-&quot;??\ _€_-;_-@_-"/>
    <numFmt numFmtId="166" formatCode="_(* #,##0_);_(* \(#,##0\);_(* &quot;-&quot;??_);_(@_)"/>
    <numFmt numFmtId="167" formatCode="#,##0;[Red]#,##0"/>
  </numFmts>
  <fonts count="8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</font>
    <font>
      <sz val="8"/>
      <color rgb="FF000000"/>
      <name val="Calibri"/>
      <family val="2"/>
    </font>
    <font>
      <sz val="8"/>
      <color theme="1"/>
      <name val="Calibri"/>
      <family val="2"/>
    </font>
    <font>
      <sz val="8"/>
      <color rgb="FFFF0000"/>
      <name val="Calibri"/>
      <family val="2"/>
    </font>
    <font>
      <b/>
      <i/>
      <sz val="10"/>
      <name val="Calibri"/>
      <family val="2"/>
      <scheme val="minor"/>
    </font>
    <font>
      <b/>
      <sz val="8"/>
      <color indexed="8"/>
      <name val="Calibri"/>
      <family val="2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shadow/>
      <sz val="8"/>
      <color theme="1"/>
      <name val="Calibri"/>
      <family val="2"/>
    </font>
    <font>
      <sz val="8"/>
      <color indexed="8"/>
      <name val="Calibri"/>
      <family val="2"/>
    </font>
    <font>
      <sz val="8"/>
      <color theme="1"/>
      <name val="Calibri"/>
      <family val="2"/>
      <scheme val="minor"/>
    </font>
    <font>
      <b/>
      <sz val="7"/>
      <color theme="0"/>
      <name val="Calibri"/>
      <family val="2"/>
    </font>
    <font>
      <b/>
      <sz val="7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8"/>
      <color theme="0"/>
      <name val="Calibri"/>
      <family val="2"/>
    </font>
    <font>
      <sz val="8"/>
      <color rgb="FF000000"/>
      <name val="Calibri"/>
      <family val="2"/>
      <scheme val="minor"/>
    </font>
    <font>
      <b/>
      <i/>
      <sz val="10"/>
      <name val="Calibri"/>
      <family val="2"/>
    </font>
    <font>
      <b/>
      <i/>
      <sz val="12"/>
      <name val="Calibri"/>
      <family val="2"/>
    </font>
    <font>
      <b/>
      <i/>
      <sz val="12"/>
      <color theme="0"/>
      <name val="Calibri"/>
      <family val="2"/>
    </font>
    <font>
      <sz val="8"/>
      <color theme="0"/>
      <name val="Calibri"/>
      <family val="2"/>
    </font>
    <font>
      <sz val="10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7"/>
      <name val="Calibri"/>
      <family val="2"/>
    </font>
    <font>
      <sz val="9"/>
      <name val="Calibri"/>
      <family val="2"/>
    </font>
    <font>
      <sz val="7"/>
      <color rgb="FFFF0000"/>
      <name val="Calibri"/>
      <family val="2"/>
    </font>
    <font>
      <sz val="8"/>
      <color rgb="FF7030A0"/>
      <name val="Calibri"/>
      <family val="2"/>
      <scheme val="minor"/>
    </font>
    <font>
      <sz val="8"/>
      <color rgb="FF7030A0"/>
      <name val="Calibri"/>
      <family val="2"/>
    </font>
    <font>
      <sz val="7"/>
      <name val="Calibri"/>
      <family val="2"/>
      <scheme val="minor"/>
    </font>
    <font>
      <sz val="7"/>
      <color theme="1"/>
      <name val="Calibri"/>
      <family val="2"/>
    </font>
    <font>
      <sz val="7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1"/>
      <name val="Calibri"/>
      <family val="2"/>
    </font>
    <font>
      <sz val="11"/>
      <color theme="2"/>
      <name val="Calibri"/>
      <family val="2"/>
      <scheme val="minor"/>
    </font>
    <font>
      <sz val="36"/>
      <color theme="1"/>
      <name val="Calibri"/>
      <family val="2"/>
      <scheme val="minor"/>
    </font>
    <font>
      <sz val="48"/>
      <color theme="1"/>
      <name val="ITC Zapf Chancery"/>
      <family val="4"/>
    </font>
    <font>
      <b/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</font>
    <font>
      <b/>
      <sz val="9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u/>
      <sz val="8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8"/>
      <color theme="1"/>
      <name val="Calibri"/>
      <family val="2"/>
    </font>
    <font>
      <i/>
      <sz val="9"/>
      <color theme="1"/>
      <name val="Calibri"/>
      <family val="2"/>
      <scheme val="minor"/>
    </font>
    <font>
      <sz val="9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12"/>
      <color theme="1"/>
      <name val="Arial Black"/>
      <family val="2"/>
    </font>
    <font>
      <b/>
      <sz val="9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i/>
      <sz val="8"/>
      <color theme="1"/>
      <name val="Times New Roman"/>
      <family val="1"/>
    </font>
    <font>
      <i/>
      <sz val="9"/>
      <color theme="1"/>
      <name val="Times New Roman"/>
      <family val="1"/>
    </font>
    <font>
      <sz val="9"/>
      <color rgb="FFFF0000"/>
      <name val="Times New Roman"/>
      <family val="1"/>
    </font>
    <font>
      <b/>
      <sz val="9"/>
      <color theme="0"/>
      <name val="Times New Roman"/>
      <family val="1"/>
    </font>
    <font>
      <b/>
      <sz val="12"/>
      <color theme="0"/>
      <name val="Calibri"/>
      <family val="2"/>
    </font>
    <font>
      <b/>
      <i/>
      <sz val="11"/>
      <color theme="1"/>
      <name val="Calibri"/>
      <family val="2"/>
      <scheme val="minor"/>
    </font>
    <font>
      <b/>
      <i/>
      <sz val="10"/>
      <color theme="0"/>
      <name val="Calibri"/>
      <family val="2"/>
    </font>
    <font>
      <b/>
      <i/>
      <sz val="10"/>
      <color theme="0"/>
      <name val="Arial"/>
      <family val="2"/>
    </font>
    <font>
      <b/>
      <i/>
      <sz val="8"/>
      <name val="Calibri"/>
      <family val="2"/>
      <scheme val="minor"/>
    </font>
    <font>
      <b/>
      <sz val="8"/>
      <color rgb="FF000000"/>
      <name val="Calibri"/>
      <family val="2"/>
    </font>
    <font>
      <b/>
      <sz val="8"/>
      <color rgb="FF000000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Symbol"/>
      <family val="1"/>
      <charset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8"/>
      <color theme="1"/>
      <name val="Arial Black"/>
      <family val="2"/>
    </font>
    <font>
      <sz val="18"/>
      <color theme="1"/>
      <name val="ITC Zapf Chancery"/>
      <family val="4"/>
    </font>
    <font>
      <sz val="18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rgb="FFFF0000"/>
      <name val="Calibri"/>
      <family val="2"/>
    </font>
    <font>
      <sz val="10"/>
      <color rgb="FFFF0000"/>
      <name val="Calibri"/>
      <family val="2"/>
    </font>
    <font>
      <b/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name val="Calibri"/>
      <family val="2"/>
    </font>
    <font>
      <b/>
      <sz val="10"/>
      <color theme="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7030A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rgb="FFA6A6A6"/>
      </right>
      <top/>
      <bottom style="medium">
        <color rgb="FFA6A6A6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2" fillId="0" borderId="0"/>
    <xf numFmtId="164" fontId="1" fillId="0" borderId="0" applyFont="0" applyFill="0" applyBorder="0" applyAlignment="0" applyProtection="0"/>
    <xf numFmtId="0" fontId="2" fillId="0" borderId="0"/>
    <xf numFmtId="16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1" fontId="2" fillId="0" borderId="0" applyFont="0" applyFill="0" applyBorder="0" applyAlignment="0" applyProtection="0"/>
    <xf numFmtId="0" fontId="2" fillId="0" borderId="0"/>
    <xf numFmtId="0" fontId="4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70">
    <xf numFmtId="0" fontId="0" fillId="0" borderId="0" xfId="0"/>
    <xf numFmtId="3" fontId="8" fillId="0" borderId="1" xfId="1" applyNumberFormat="1" applyFont="1" applyFill="1" applyBorder="1" applyAlignment="1">
      <alignment vertical="center"/>
    </xf>
    <xf numFmtId="10" fontId="8" fillId="0" borderId="1" xfId="1" applyNumberFormat="1" applyFont="1" applyFill="1" applyBorder="1" applyAlignment="1">
      <alignment horizontal="center" vertical="center"/>
    </xf>
    <xf numFmtId="3" fontId="8" fillId="0" borderId="4" xfId="1" applyNumberFormat="1" applyFont="1" applyFill="1" applyBorder="1" applyAlignment="1">
      <alignment vertical="center"/>
    </xf>
    <xf numFmtId="10" fontId="8" fillId="0" borderId="2" xfId="1" applyNumberFormat="1" applyFont="1" applyFill="1" applyBorder="1" applyAlignment="1">
      <alignment horizontal="center" vertical="center"/>
    </xf>
    <xf numFmtId="3" fontId="8" fillId="0" borderId="2" xfId="1" applyNumberFormat="1" applyFont="1" applyFill="1" applyBorder="1" applyAlignment="1">
      <alignment horizontal="center" vertical="center"/>
    </xf>
    <xf numFmtId="3" fontId="4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vertical="center"/>
    </xf>
    <xf numFmtId="3" fontId="8" fillId="2" borderId="1" xfId="1" applyNumberFormat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vertical="center"/>
    </xf>
    <xf numFmtId="3" fontId="8" fillId="0" borderId="1" xfId="5" applyNumberFormat="1" applyFont="1" applyFill="1" applyBorder="1" applyAlignment="1">
      <alignment horizontal="center" vertical="center"/>
    </xf>
    <xf numFmtId="3" fontId="11" fillId="0" borderId="1" xfId="1" applyNumberFormat="1" applyFont="1" applyFill="1" applyBorder="1" applyAlignment="1">
      <alignment horizontal="center" vertical="center"/>
    </xf>
    <xf numFmtId="3" fontId="10" fillId="0" borderId="1" xfId="1" applyNumberFormat="1" applyFont="1" applyFill="1" applyBorder="1" applyAlignment="1">
      <alignment horizontal="center" vertical="center"/>
    </xf>
    <xf numFmtId="10" fontId="8" fillId="0" borderId="1" xfId="5" applyNumberFormat="1" applyFont="1" applyFill="1" applyBorder="1" applyAlignment="1">
      <alignment horizontal="center" vertical="center"/>
    </xf>
    <xf numFmtId="10" fontId="10" fillId="0" borderId="1" xfId="1" applyNumberFormat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left" vertical="center" wrapText="1"/>
    </xf>
    <xf numFmtId="0" fontId="8" fillId="0" borderId="0" xfId="1" applyFont="1" applyFill="1" applyAlignment="1">
      <alignment horizontal="left"/>
    </xf>
    <xf numFmtId="3" fontId="8" fillId="0" borderId="0" xfId="1" applyNumberFormat="1" applyFont="1" applyFill="1" applyAlignment="1">
      <alignment horizontal="left"/>
    </xf>
    <xf numFmtId="10" fontId="22" fillId="3" borderId="1" xfId="4" applyNumberFormat="1" applyFont="1" applyFill="1" applyBorder="1" applyAlignment="1">
      <alignment horizontal="center" vertical="center"/>
    </xf>
    <xf numFmtId="3" fontId="21" fillId="3" borderId="1" xfId="4" applyNumberFormat="1" applyFont="1" applyFill="1" applyBorder="1" applyAlignment="1">
      <alignment horizontal="center" vertical="center"/>
    </xf>
    <xf numFmtId="10" fontId="22" fillId="3" borderId="1" xfId="1" applyNumberFormat="1" applyFont="1" applyFill="1" applyBorder="1" applyAlignment="1">
      <alignment horizontal="center" vertical="center"/>
    </xf>
    <xf numFmtId="3" fontId="21" fillId="3" borderId="1" xfId="1" applyNumberFormat="1" applyFont="1" applyFill="1" applyBorder="1" applyAlignment="1">
      <alignment horizontal="center" vertical="center"/>
    </xf>
    <xf numFmtId="3" fontId="23" fillId="0" borderId="1" xfId="1" applyNumberFormat="1" applyFont="1" applyFill="1" applyBorder="1" applyAlignment="1">
      <alignment horizontal="left" vertical="center" wrapText="1"/>
    </xf>
    <xf numFmtId="3" fontId="6" fillId="0" borderId="1" xfId="1" applyNumberFormat="1" applyFont="1" applyFill="1" applyBorder="1" applyAlignment="1">
      <alignment horizontal="center" vertical="center"/>
    </xf>
    <xf numFmtId="10" fontId="6" fillId="0" borderId="1" xfId="1" applyNumberFormat="1" applyFont="1" applyFill="1" applyBorder="1" applyAlignment="1">
      <alignment horizontal="center" vertical="center"/>
    </xf>
    <xf numFmtId="3" fontId="6" fillId="0" borderId="1" xfId="1" applyNumberFormat="1" applyFont="1" applyFill="1" applyBorder="1" applyAlignment="1">
      <alignment horizontal="left" vertical="center" wrapText="1"/>
    </xf>
    <xf numFmtId="0" fontId="8" fillId="0" borderId="0" xfId="1" applyFont="1" applyFill="1" applyBorder="1" applyAlignment="1">
      <alignment horizontal="left"/>
    </xf>
    <xf numFmtId="3" fontId="8" fillId="0" borderId="1" xfId="1" applyNumberFormat="1" applyFont="1" applyFill="1" applyBorder="1" applyAlignment="1">
      <alignment vertical="center" wrapText="1"/>
    </xf>
    <xf numFmtId="3" fontId="8" fillId="0" borderId="2" xfId="1" applyNumberFormat="1" applyFont="1" applyFill="1" applyBorder="1" applyAlignment="1">
      <alignment horizontal="left" vertical="center"/>
    </xf>
    <xf numFmtId="3" fontId="9" fillId="0" borderId="1" xfId="1" applyNumberFormat="1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horizontal="center"/>
    </xf>
    <xf numFmtId="3" fontId="8" fillId="0" borderId="1" xfId="6" applyNumberFormat="1" applyFont="1" applyFill="1" applyBorder="1" applyAlignment="1">
      <alignment horizontal="left" vertical="center" wrapText="1"/>
    </xf>
    <xf numFmtId="3" fontId="6" fillId="0" borderId="0" xfId="1" applyNumberFormat="1" applyFont="1" applyFill="1" applyBorder="1" applyAlignment="1">
      <alignment horizontal="center" vertical="center"/>
    </xf>
    <xf numFmtId="3" fontId="8" fillId="0" borderId="4" xfId="1" applyNumberFormat="1" applyFont="1" applyFill="1" applyBorder="1" applyAlignment="1">
      <alignment horizontal="left" vertical="center" wrapText="1"/>
    </xf>
    <xf numFmtId="3" fontId="8" fillId="0" borderId="1" xfId="1" quotePrefix="1" applyNumberFormat="1" applyFont="1" applyFill="1" applyBorder="1" applyAlignment="1">
      <alignment horizontal="center" vertical="center"/>
    </xf>
    <xf numFmtId="10" fontId="8" fillId="3" borderId="1" xfId="1" applyNumberFormat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left"/>
    </xf>
    <xf numFmtId="0" fontId="24" fillId="0" borderId="1" xfId="1" applyFont="1" applyFill="1" applyBorder="1" applyAlignment="1">
      <alignment horizontal="left"/>
    </xf>
    <xf numFmtId="0" fontId="26" fillId="3" borderId="1" xfId="1" applyFont="1" applyFill="1" applyBorder="1" applyAlignment="1">
      <alignment horizontal="left"/>
    </xf>
    <xf numFmtId="0" fontId="27" fillId="3" borderId="1" xfId="1" applyFont="1" applyFill="1" applyBorder="1" applyAlignment="1">
      <alignment horizontal="left"/>
    </xf>
    <xf numFmtId="3" fontId="3" fillId="0" borderId="1" xfId="1" applyNumberFormat="1" applyFont="1" applyFill="1" applyBorder="1" applyAlignment="1">
      <alignment horizontal="right"/>
    </xf>
    <xf numFmtId="3" fontId="24" fillId="0" borderId="1" xfId="1" applyNumberFormat="1" applyFont="1" applyFill="1" applyBorder="1" applyAlignment="1">
      <alignment horizontal="right"/>
    </xf>
    <xf numFmtId="3" fontId="25" fillId="0" borderId="1" xfId="1" applyNumberFormat="1" applyFont="1" applyFill="1" applyBorder="1" applyAlignment="1">
      <alignment horizontal="right"/>
    </xf>
    <xf numFmtId="0" fontId="5" fillId="0" borderId="1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/>
    </xf>
    <xf numFmtId="10" fontId="11" fillId="0" borderId="1" xfId="1" applyNumberFormat="1" applyFont="1" applyFill="1" applyBorder="1" applyAlignment="1">
      <alignment horizontal="center" vertical="center"/>
    </xf>
    <xf numFmtId="0" fontId="5" fillId="0" borderId="7" xfId="1" applyFont="1" applyFill="1" applyBorder="1" applyAlignment="1">
      <alignment horizontal="center"/>
    </xf>
    <xf numFmtId="0" fontId="5" fillId="0" borderId="4" xfId="1" applyFont="1" applyFill="1" applyBorder="1" applyAlignment="1">
      <alignment horizontal="center"/>
    </xf>
    <xf numFmtId="3" fontId="8" fillId="0" borderId="0" xfId="1" applyNumberFormat="1" applyFont="1" applyFill="1" applyBorder="1" applyAlignment="1">
      <alignment horizontal="center" vertical="center"/>
    </xf>
    <xf numFmtId="3" fontId="8" fillId="0" borderId="2" xfId="1" applyNumberFormat="1" applyFont="1" applyFill="1" applyBorder="1" applyAlignment="1">
      <alignment vertical="center"/>
    </xf>
    <xf numFmtId="3" fontId="29" fillId="0" borderId="1" xfId="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3" fontId="11" fillId="0" borderId="1" xfId="5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vertical="center" wrapText="1"/>
    </xf>
    <xf numFmtId="10" fontId="18" fillId="0" borderId="1" xfId="0" applyNumberFormat="1" applyFont="1" applyFill="1" applyBorder="1" applyAlignment="1">
      <alignment horizontal="center" vertical="center"/>
    </xf>
    <xf numFmtId="3" fontId="6" fillId="0" borderId="2" xfId="1" applyNumberFormat="1" applyFont="1" applyFill="1" applyBorder="1" applyAlignment="1">
      <alignment horizontal="center" vertical="center"/>
    </xf>
    <xf numFmtId="3" fontId="8" fillId="0" borderId="1" xfId="1" applyNumberFormat="1" applyFont="1" applyFill="1" applyBorder="1" applyAlignment="1">
      <alignment horizontal="left" vertical="center"/>
    </xf>
    <xf numFmtId="3" fontId="9" fillId="0" borderId="1" xfId="1" applyNumberFormat="1" applyFont="1" applyFill="1" applyBorder="1" applyAlignment="1">
      <alignment vertical="center" wrapText="1"/>
    </xf>
    <xf numFmtId="0" fontId="18" fillId="0" borderId="3" xfId="0" applyFont="1" applyFill="1" applyBorder="1" applyAlignment="1">
      <alignment horizontal="center" vertical="center"/>
    </xf>
    <xf numFmtId="3" fontId="8" fillId="0" borderId="3" xfId="1" applyNumberFormat="1" applyFont="1" applyFill="1" applyBorder="1" applyAlignment="1">
      <alignment horizontal="center" vertical="center"/>
    </xf>
    <xf numFmtId="3" fontId="22" fillId="3" borderId="1" xfId="1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/>
    </xf>
    <xf numFmtId="3" fontId="23" fillId="0" borderId="1" xfId="1" applyNumberFormat="1" applyFont="1" applyFill="1" applyBorder="1" applyAlignment="1">
      <alignment horizontal="left" vertical="center"/>
    </xf>
    <xf numFmtId="3" fontId="6" fillId="0" borderId="1" xfId="1" applyNumberFormat="1" applyFont="1" applyFill="1" applyBorder="1" applyAlignment="1">
      <alignment horizontal="left" vertical="center"/>
    </xf>
    <xf numFmtId="14" fontId="6" fillId="0" borderId="1" xfId="1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top" wrapText="1"/>
    </xf>
    <xf numFmtId="3" fontId="8" fillId="0" borderId="9" xfId="1" applyNumberFormat="1" applyFont="1" applyFill="1" applyBorder="1" applyAlignment="1">
      <alignment horizontal="center" vertical="center"/>
    </xf>
    <xf numFmtId="3" fontId="11" fillId="0" borderId="9" xfId="1" applyNumberFormat="1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3" fontId="8" fillId="4" borderId="1" xfId="1" applyNumberFormat="1" applyFont="1" applyFill="1" applyBorder="1" applyAlignment="1">
      <alignment horizontal="center" vertical="center"/>
    </xf>
    <xf numFmtId="10" fontId="20" fillId="3" borderId="4" xfId="1" applyNumberFormat="1" applyFont="1" applyFill="1" applyBorder="1" applyAlignment="1">
      <alignment vertical="center" wrapText="1"/>
    </xf>
    <xf numFmtId="0" fontId="18" fillId="4" borderId="1" xfId="0" applyFont="1" applyFill="1" applyBorder="1" applyAlignment="1">
      <alignment horizontal="center" vertical="center"/>
    </xf>
    <xf numFmtId="3" fontId="8" fillId="7" borderId="1" xfId="1" applyNumberFormat="1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3" fontId="10" fillId="0" borderId="1" xfId="1" applyNumberFormat="1" applyFont="1" applyFill="1" applyBorder="1" applyAlignment="1">
      <alignment horizontal="left" vertical="center" wrapText="1"/>
    </xf>
    <xf numFmtId="0" fontId="5" fillId="0" borderId="3" xfId="1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3" fontId="6" fillId="0" borderId="7" xfId="1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4" fillId="0" borderId="1" xfId="1" applyFont="1" applyFill="1" applyBorder="1" applyAlignment="1">
      <alignment horizontal="center"/>
    </xf>
    <xf numFmtId="3" fontId="8" fillId="0" borderId="1" xfId="6" applyNumberFormat="1" applyFont="1" applyFill="1" applyBorder="1" applyAlignment="1">
      <alignment vertical="center" wrapText="1"/>
    </xf>
    <xf numFmtId="3" fontId="10" fillId="0" borderId="1" xfId="6" applyNumberFormat="1" applyFont="1" applyFill="1" applyBorder="1" applyAlignment="1">
      <alignment horizontal="left" vertical="center" wrapText="1"/>
    </xf>
    <xf numFmtId="0" fontId="10" fillId="0" borderId="1" xfId="1" applyFont="1" applyFill="1" applyBorder="1" applyAlignment="1">
      <alignment horizontal="left" vertical="center" wrapText="1"/>
    </xf>
    <xf numFmtId="3" fontId="10" fillId="0" borderId="1" xfId="1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3" fontId="8" fillId="0" borderId="1" xfId="1" applyNumberFormat="1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center" vertical="center"/>
    </xf>
    <xf numFmtId="3" fontId="31" fillId="0" borderId="1" xfId="1" applyNumberFormat="1" applyFont="1" applyFill="1" applyBorder="1" applyAlignment="1">
      <alignment horizontal="left" vertical="center" wrapText="1"/>
    </xf>
    <xf numFmtId="3" fontId="33" fillId="0" borderId="1" xfId="1" applyNumberFormat="1" applyFont="1" applyFill="1" applyBorder="1" applyAlignment="1">
      <alignment horizontal="center" vertical="center"/>
    </xf>
    <xf numFmtId="3" fontId="8" fillId="0" borderId="4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3" fontId="31" fillId="0" borderId="1" xfId="1" applyNumberFormat="1" applyFont="1" applyFill="1" applyBorder="1" applyAlignment="1">
      <alignment horizontal="center" vertical="center"/>
    </xf>
    <xf numFmtId="3" fontId="30" fillId="0" borderId="1" xfId="1" applyNumberFormat="1" applyFont="1" applyFill="1" applyBorder="1" applyAlignment="1">
      <alignment horizontal="left" vertical="center" wrapText="1"/>
    </xf>
    <xf numFmtId="3" fontId="34" fillId="0" borderId="1" xfId="1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10" fontId="29" fillId="0" borderId="1" xfId="0" applyNumberFormat="1" applyFont="1" applyFill="1" applyBorder="1" applyAlignment="1">
      <alignment horizontal="center" vertical="center"/>
    </xf>
    <xf numFmtId="3" fontId="32" fillId="0" borderId="1" xfId="1" applyNumberFormat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left" vertical="center"/>
    </xf>
    <xf numFmtId="0" fontId="5" fillId="0" borderId="1" xfId="1" applyFont="1" applyFill="1" applyBorder="1"/>
    <xf numFmtId="0" fontId="6" fillId="0" borderId="1" xfId="1" applyFont="1" applyFill="1" applyBorder="1" applyAlignment="1">
      <alignment vertical="center"/>
    </xf>
    <xf numFmtId="0" fontId="12" fillId="0" borderId="1" xfId="1" applyFont="1" applyFill="1" applyBorder="1" applyAlignment="1">
      <alignment vertical="center"/>
    </xf>
    <xf numFmtId="0" fontId="5" fillId="0" borderId="1" xfId="1" applyFont="1" applyFill="1" applyBorder="1" applyAlignment="1">
      <alignment vertical="center"/>
    </xf>
    <xf numFmtId="0" fontId="28" fillId="0" borderId="1" xfId="1" applyFont="1" applyFill="1" applyBorder="1" applyAlignment="1">
      <alignment vertical="center"/>
    </xf>
    <xf numFmtId="0" fontId="5" fillId="7" borderId="1" xfId="1" applyFont="1" applyFill="1" applyBorder="1" applyAlignment="1">
      <alignment vertical="center"/>
    </xf>
    <xf numFmtId="0" fontId="5" fillId="0" borderId="1" xfId="1" applyFont="1" applyFill="1" applyBorder="1" applyAlignment="1">
      <alignment vertical="center" wrapText="1"/>
    </xf>
    <xf numFmtId="0" fontId="12" fillId="0" borderId="1" xfId="1" applyFont="1" applyFill="1" applyBorder="1" applyAlignment="1">
      <alignment horizontal="left" vertical="center"/>
    </xf>
    <xf numFmtId="0" fontId="9" fillId="0" borderId="1" xfId="1" applyFont="1" applyFill="1" applyBorder="1" applyAlignment="1">
      <alignment horizontal="center" vertical="center" wrapText="1"/>
    </xf>
    <xf numFmtId="0" fontId="12" fillId="0" borderId="1" xfId="1" applyFont="1" applyFill="1" applyBorder="1" applyAlignment="1">
      <alignment horizontal="right" vertical="center"/>
    </xf>
    <xf numFmtId="0" fontId="12" fillId="7" borderId="1" xfId="1" applyFont="1" applyFill="1" applyBorder="1" applyAlignment="1">
      <alignment vertical="center"/>
    </xf>
    <xf numFmtId="0" fontId="6" fillId="7" borderId="1" xfId="0" applyFont="1" applyFill="1" applyBorder="1" applyAlignment="1">
      <alignment vertical="center" wrapText="1"/>
    </xf>
    <xf numFmtId="0" fontId="5" fillId="0" borderId="1" xfId="1" applyFont="1" applyFill="1" applyBorder="1" applyAlignment="1">
      <alignment horizontal="center" wrapText="1"/>
    </xf>
    <xf numFmtId="0" fontId="5" fillId="0" borderId="0" xfId="1" applyFont="1" applyFill="1" applyBorder="1" applyAlignment="1">
      <alignment horizontal="center" vertical="center"/>
    </xf>
    <xf numFmtId="3" fontId="21" fillId="3" borderId="1" xfId="1" applyNumberFormat="1" applyFont="1" applyFill="1" applyBorder="1" applyAlignment="1">
      <alignment vertical="center"/>
    </xf>
    <xf numFmtId="3" fontId="10" fillId="0" borderId="1" xfId="1" applyNumberFormat="1" applyFont="1" applyFill="1" applyBorder="1" applyAlignment="1">
      <alignment horizontal="left" vertical="center"/>
    </xf>
    <xf numFmtId="3" fontId="22" fillId="3" borderId="1" xfId="4" applyNumberFormat="1" applyFont="1" applyFill="1" applyBorder="1" applyAlignment="1">
      <alignment horizontal="left" vertical="center"/>
    </xf>
    <xf numFmtId="3" fontId="8" fillId="0" borderId="1" xfId="5" applyNumberFormat="1" applyFont="1" applyFill="1" applyBorder="1" applyAlignment="1">
      <alignment horizontal="left" vertical="center"/>
    </xf>
    <xf numFmtId="3" fontId="8" fillId="3" borderId="1" xfId="1" applyNumberFormat="1" applyFont="1" applyFill="1" applyBorder="1" applyAlignment="1">
      <alignment horizontal="left" vertical="center"/>
    </xf>
    <xf numFmtId="3" fontId="9" fillId="0" borderId="1" xfId="1" applyNumberFormat="1" applyFont="1" applyFill="1" applyBorder="1" applyAlignment="1">
      <alignment horizontal="left" vertical="center"/>
    </xf>
    <xf numFmtId="3" fontId="9" fillId="0" borderId="1" xfId="1" applyNumberFormat="1" applyFont="1" applyFill="1" applyBorder="1" applyAlignment="1">
      <alignment vertical="center"/>
    </xf>
    <xf numFmtId="0" fontId="9" fillId="0" borderId="1" xfId="1" applyFont="1" applyFill="1" applyBorder="1" applyAlignment="1">
      <alignment horizontal="left" vertical="center"/>
    </xf>
    <xf numFmtId="0" fontId="9" fillId="0" borderId="1" xfId="1" applyFont="1" applyFill="1" applyBorder="1" applyAlignment="1">
      <alignment horizontal="left" vertical="center" wrapText="1"/>
    </xf>
    <xf numFmtId="0" fontId="8" fillId="0" borderId="1" xfId="1" applyFont="1" applyFill="1" applyBorder="1" applyAlignment="1">
      <alignment horizontal="left" vertical="center"/>
    </xf>
    <xf numFmtId="0" fontId="8" fillId="0" borderId="1" xfId="1" applyFont="1" applyFill="1" applyBorder="1" applyAlignment="1">
      <alignment vertical="center" wrapText="1"/>
    </xf>
    <xf numFmtId="3" fontId="16" fillId="0" borderId="1" xfId="1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/>
    </xf>
    <xf numFmtId="0" fontId="6" fillId="0" borderId="1" xfId="1" applyFont="1" applyFill="1" applyBorder="1" applyAlignment="1">
      <alignment horizontal="left" vertical="center"/>
    </xf>
    <xf numFmtId="3" fontId="31" fillId="0" borderId="1" xfId="1" applyNumberFormat="1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vertical="center" wrapText="1"/>
    </xf>
    <xf numFmtId="10" fontId="8" fillId="7" borderId="1" xfId="1" applyNumberFormat="1" applyFont="1" applyFill="1" applyBorder="1" applyAlignment="1">
      <alignment horizontal="center" vertical="center"/>
    </xf>
    <xf numFmtId="3" fontId="8" fillId="7" borderId="1" xfId="1" applyNumberFormat="1" applyFont="1" applyFill="1" applyBorder="1" applyAlignment="1">
      <alignment horizontal="left" vertical="center"/>
    </xf>
    <xf numFmtId="10" fontId="18" fillId="7" borderId="1" xfId="0" applyNumberFormat="1" applyFont="1" applyFill="1" applyBorder="1" applyAlignment="1">
      <alignment horizontal="center" vertical="center"/>
    </xf>
    <xf numFmtId="0" fontId="20" fillId="3" borderId="1" xfId="1" applyFont="1" applyFill="1" applyBorder="1" applyAlignment="1">
      <alignment horizontal="center" vertical="center"/>
    </xf>
    <xf numFmtId="3" fontId="19" fillId="3" borderId="1" xfId="1" applyNumberFormat="1" applyFont="1" applyFill="1" applyBorder="1" applyAlignment="1">
      <alignment horizontal="center" vertical="center"/>
    </xf>
    <xf numFmtId="3" fontId="21" fillId="3" borderId="1" xfId="1" applyNumberFormat="1" applyFont="1" applyFill="1" applyBorder="1" applyAlignment="1">
      <alignment horizontal="left" vertical="center"/>
    </xf>
    <xf numFmtId="0" fontId="20" fillId="3" borderId="1" xfId="1" applyFont="1" applyFill="1" applyBorder="1" applyAlignment="1">
      <alignment vertical="center"/>
    </xf>
    <xf numFmtId="0" fontId="5" fillId="0" borderId="0" xfId="1" applyFont="1" applyFill="1" applyBorder="1" applyAlignment="1"/>
    <xf numFmtId="3" fontId="10" fillId="0" borderId="1" xfId="1" applyNumberFormat="1" applyFont="1" applyFill="1" applyBorder="1" applyAlignment="1">
      <alignment vertical="center"/>
    </xf>
    <xf numFmtId="14" fontId="10" fillId="0" borderId="1" xfId="1" applyNumberFormat="1" applyFont="1" applyFill="1" applyBorder="1" applyAlignment="1">
      <alignment vertical="center"/>
    </xf>
    <xf numFmtId="3" fontId="8" fillId="0" borderId="1" xfId="6" applyNumberFormat="1" applyFont="1" applyFill="1" applyBorder="1" applyAlignment="1">
      <alignment vertical="center"/>
    </xf>
    <xf numFmtId="3" fontId="8" fillId="0" borderId="1" xfId="6" applyNumberFormat="1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vertical="center"/>
    </xf>
    <xf numFmtId="3" fontId="10" fillId="0" borderId="1" xfId="6" applyNumberFormat="1" applyFont="1" applyFill="1" applyBorder="1" applyAlignment="1">
      <alignment vertical="center"/>
    </xf>
    <xf numFmtId="0" fontId="10" fillId="0" borderId="1" xfId="1" applyFont="1" applyFill="1" applyBorder="1" applyAlignment="1">
      <alignment horizontal="left" vertical="center"/>
    </xf>
    <xf numFmtId="0" fontId="18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top"/>
    </xf>
    <xf numFmtId="0" fontId="6" fillId="0" borderId="0" xfId="1" applyFont="1" applyFill="1" applyBorder="1" applyAlignment="1"/>
    <xf numFmtId="0" fontId="5" fillId="0" borderId="0" xfId="1" applyFont="1" applyFill="1" applyBorder="1" applyAlignment="1">
      <alignment vertical="center" wrapText="1"/>
    </xf>
    <xf numFmtId="0" fontId="12" fillId="0" borderId="1" xfId="1" applyFont="1" applyFill="1" applyBorder="1" applyAlignment="1">
      <alignment horizontal="left" vertical="center" wrapText="1"/>
    </xf>
    <xf numFmtId="0" fontId="12" fillId="0" borderId="1" xfId="1" applyFont="1" applyFill="1" applyBorder="1" applyAlignment="1">
      <alignment vertical="center" wrapText="1"/>
    </xf>
    <xf numFmtId="3" fontId="35" fillId="0" borderId="1" xfId="0" applyNumberFormat="1" applyFont="1" applyFill="1" applyBorder="1" applyAlignment="1">
      <alignment horizontal="center" vertical="center"/>
    </xf>
    <xf numFmtId="3" fontId="8" fillId="5" borderId="1" xfId="1" applyNumberFormat="1" applyFont="1" applyFill="1" applyBorder="1" applyAlignment="1">
      <alignment horizontal="center" vertical="center"/>
    </xf>
    <xf numFmtId="3" fontId="30" fillId="0" borderId="1" xfId="1" applyNumberFormat="1" applyFont="1" applyFill="1" applyBorder="1" applyAlignment="1">
      <alignment horizontal="center" vertical="center" wrapText="1"/>
    </xf>
    <xf numFmtId="3" fontId="8" fillId="0" borderId="1" xfId="1" applyNumberFormat="1" applyFont="1" applyFill="1" applyBorder="1" applyAlignment="1">
      <alignment horizontal="center" vertical="center"/>
    </xf>
    <xf numFmtId="3" fontId="8" fillId="0" borderId="1" xfId="1" applyNumberFormat="1" applyFont="1" applyFill="1" applyBorder="1" applyAlignment="1">
      <alignment horizontal="center" vertical="center" wrapText="1"/>
    </xf>
    <xf numFmtId="3" fontId="31" fillId="0" borderId="1" xfId="1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5" fillId="0" borderId="1" xfId="1" applyFont="1" applyFill="1" applyBorder="1" applyAlignment="1"/>
    <xf numFmtId="10" fontId="8" fillId="0" borderId="1" xfId="1" applyNumberFormat="1" applyFont="1" applyFill="1" applyBorder="1" applyAlignment="1">
      <alignment vertical="center"/>
    </xf>
    <xf numFmtId="3" fontId="34" fillId="0" borderId="1" xfId="1" applyNumberFormat="1" applyFont="1" applyFill="1" applyBorder="1" applyAlignment="1">
      <alignment vertical="center"/>
    </xf>
    <xf numFmtId="0" fontId="3" fillId="0" borderId="1" xfId="1" applyFont="1" applyFill="1" applyBorder="1" applyAlignment="1">
      <alignment horizontal="left"/>
    </xf>
    <xf numFmtId="0" fontId="38" fillId="0" borderId="0" xfId="0" applyFont="1" applyFill="1" applyAlignment="1">
      <alignment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8" fillId="7" borderId="1" xfId="0" applyFont="1" applyFill="1" applyBorder="1" applyAlignment="1">
      <alignment horizontal="center" vertical="center"/>
    </xf>
    <xf numFmtId="10" fontId="10" fillId="7" borderId="1" xfId="1" applyNumberFormat="1" applyFont="1" applyFill="1" applyBorder="1" applyAlignment="1">
      <alignment horizontal="center" vertical="center"/>
    </xf>
    <xf numFmtId="10" fontId="6" fillId="7" borderId="1" xfId="1" applyNumberFormat="1" applyFont="1" applyFill="1" applyBorder="1" applyAlignment="1">
      <alignment horizontal="center" vertical="center"/>
    </xf>
    <xf numFmtId="3" fontId="10" fillId="7" borderId="1" xfId="1" applyNumberFormat="1" applyFont="1" applyFill="1" applyBorder="1" applyAlignment="1">
      <alignment horizontal="left" vertical="center" wrapText="1"/>
    </xf>
    <xf numFmtId="3" fontId="8" fillId="7" borderId="1" xfId="1" applyNumberFormat="1" applyFont="1" applyFill="1" applyBorder="1" applyAlignment="1">
      <alignment horizontal="left" vertical="center" wrapText="1"/>
    </xf>
    <xf numFmtId="0" fontId="9" fillId="7" borderId="1" xfId="1" applyFont="1" applyFill="1" applyBorder="1" applyAlignment="1">
      <alignment horizontal="center" vertical="center" wrapText="1"/>
    </xf>
    <xf numFmtId="3" fontId="31" fillId="4" borderId="1" xfId="1" applyNumberFormat="1" applyFont="1" applyFill="1" applyBorder="1" applyAlignment="1">
      <alignment horizontal="center" vertical="center"/>
    </xf>
    <xf numFmtId="3" fontId="8" fillId="8" borderId="1" xfId="1" applyNumberFormat="1" applyFont="1" applyFill="1" applyBorder="1" applyAlignment="1">
      <alignment horizontal="center" vertical="center"/>
    </xf>
    <xf numFmtId="0" fontId="18" fillId="8" borderId="1" xfId="0" applyFont="1" applyFill="1" applyBorder="1" applyAlignment="1">
      <alignment horizontal="center" vertical="center"/>
    </xf>
    <xf numFmtId="0" fontId="29" fillId="8" borderId="1" xfId="0" applyFont="1" applyFill="1" applyBorder="1" applyAlignment="1">
      <alignment horizontal="center" vertical="center"/>
    </xf>
    <xf numFmtId="3" fontId="11" fillId="8" borderId="1" xfId="1" applyNumberFormat="1" applyFont="1" applyFill="1" applyBorder="1" applyAlignment="1">
      <alignment horizontal="center" vertical="center"/>
    </xf>
    <xf numFmtId="3" fontId="11" fillId="0" borderId="1" xfId="1" applyNumberFormat="1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/>
    </xf>
    <xf numFmtId="0" fontId="8" fillId="8" borderId="0" xfId="1" applyFont="1" applyFill="1" applyAlignment="1">
      <alignment horizontal="left"/>
    </xf>
    <xf numFmtId="0" fontId="0" fillId="8" borderId="0" xfId="0" applyFill="1"/>
    <xf numFmtId="0" fontId="0" fillId="0" borderId="0" xfId="0" applyAlignment="1">
      <alignment horizontal="center"/>
    </xf>
    <xf numFmtId="3" fontId="21" fillId="0" borderId="1" xfId="4" applyNumberFormat="1" applyFont="1" applyFill="1" applyBorder="1" applyAlignment="1">
      <alignment horizontal="center" vertical="center"/>
    </xf>
    <xf numFmtId="3" fontId="21" fillId="0" borderId="1" xfId="1" applyNumberFormat="1" applyFont="1" applyFill="1" applyBorder="1" applyAlignment="1">
      <alignment horizontal="center" vertical="center"/>
    </xf>
    <xf numFmtId="0" fontId="40" fillId="3" borderId="0" xfId="0" applyFont="1" applyFill="1" applyAlignment="1">
      <alignment horizontal="center"/>
    </xf>
    <xf numFmtId="3" fontId="8" fillId="4" borderId="1" xfId="5" applyNumberFormat="1" applyFont="1" applyFill="1" applyBorder="1" applyAlignment="1">
      <alignment horizontal="center" vertical="center"/>
    </xf>
    <xf numFmtId="0" fontId="20" fillId="3" borderId="8" xfId="1" applyFont="1" applyFill="1" applyBorder="1" applyAlignment="1">
      <alignment vertical="center"/>
    </xf>
    <xf numFmtId="0" fontId="20" fillId="3" borderId="5" xfId="1" applyFont="1" applyFill="1" applyBorder="1" applyAlignment="1">
      <alignment horizontal="center" vertical="center"/>
    </xf>
    <xf numFmtId="3" fontId="31" fillId="8" borderId="1" xfId="1" applyNumberFormat="1" applyFont="1" applyFill="1" applyBorder="1" applyAlignment="1">
      <alignment horizontal="center" vertical="center"/>
    </xf>
    <xf numFmtId="0" fontId="8" fillId="6" borderId="1" xfId="1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3" fontId="8" fillId="7" borderId="1" xfId="1" applyNumberFormat="1" applyFont="1" applyFill="1" applyBorder="1" applyAlignment="1">
      <alignment vertical="center" wrapText="1"/>
    </xf>
    <xf numFmtId="0" fontId="20" fillId="3" borderId="1" xfId="1" applyFont="1" applyFill="1" applyBorder="1" applyAlignment="1">
      <alignment horizontal="center" vertical="center" wrapText="1"/>
    </xf>
    <xf numFmtId="3" fontId="22" fillId="3" borderId="1" xfId="1" applyNumberFormat="1" applyFont="1" applyFill="1" applyBorder="1" applyAlignment="1">
      <alignment horizontal="center" vertical="center"/>
    </xf>
    <xf numFmtId="3" fontId="8" fillId="7" borderId="1" xfId="1" applyNumberFormat="1" applyFont="1" applyFill="1" applyBorder="1" applyAlignment="1">
      <alignment horizontal="center" vertical="center" wrapText="1"/>
    </xf>
    <xf numFmtId="10" fontId="20" fillId="3" borderId="2" xfId="1" applyNumberFormat="1" applyFont="1" applyFill="1" applyBorder="1" applyAlignment="1">
      <alignment vertical="center" wrapText="1"/>
    </xf>
    <xf numFmtId="0" fontId="20" fillId="3" borderId="2" xfId="1" applyFont="1" applyFill="1" applyBorder="1" applyAlignment="1">
      <alignment vertical="center" wrapText="1"/>
    </xf>
    <xf numFmtId="0" fontId="20" fillId="3" borderId="4" xfId="1" applyFont="1" applyFill="1" applyBorder="1" applyAlignment="1">
      <alignment vertical="center" wrapText="1"/>
    </xf>
    <xf numFmtId="3" fontId="22" fillId="3" borderId="1" xfId="1" applyNumberFormat="1" applyFont="1" applyFill="1" applyBorder="1" applyAlignment="1">
      <alignment vertical="center"/>
    </xf>
    <xf numFmtId="0" fontId="0" fillId="7" borderId="0" xfId="0" applyFill="1"/>
    <xf numFmtId="0" fontId="0" fillId="0" borderId="0" xfId="0" applyAlignment="1"/>
    <xf numFmtId="0" fontId="0" fillId="0" borderId="0" xfId="0" applyFill="1" applyAlignment="1"/>
    <xf numFmtId="3" fontId="36" fillId="0" borderId="1" xfId="1" applyNumberFormat="1" applyFont="1" applyFill="1" applyBorder="1" applyAlignment="1">
      <alignment horizontal="center" vertical="center"/>
    </xf>
    <xf numFmtId="0" fontId="9" fillId="0" borderId="1" xfId="1" applyFont="1" applyFill="1" applyBorder="1" applyAlignment="1">
      <alignment horizontal="center" vertical="center"/>
    </xf>
    <xf numFmtId="3" fontId="9" fillId="0" borderId="0" xfId="1" applyNumberFormat="1" applyFont="1" applyFill="1" applyBorder="1" applyAlignment="1">
      <alignment horizontal="center" vertical="center"/>
    </xf>
    <xf numFmtId="3" fontId="6" fillId="0" borderId="0" xfId="1" applyNumberFormat="1" applyFont="1" applyFill="1" applyBorder="1" applyAlignment="1"/>
    <xf numFmtId="3" fontId="5" fillId="0" borderId="0" xfId="1" applyNumberFormat="1" applyFont="1" applyFill="1" applyBorder="1" applyAlignment="1">
      <alignment horizontal="center"/>
    </xf>
    <xf numFmtId="3" fontId="6" fillId="2" borderId="1" xfId="1" applyNumberFormat="1" applyFont="1" applyFill="1" applyBorder="1" applyAlignment="1">
      <alignment horizontal="left" vertical="center"/>
    </xf>
    <xf numFmtId="3" fontId="39" fillId="0" borderId="0" xfId="1" applyNumberFormat="1" applyFont="1" applyFill="1" applyAlignment="1">
      <alignment horizontal="left"/>
    </xf>
    <xf numFmtId="14" fontId="5" fillId="0" borderId="1" xfId="1" applyNumberFormat="1" applyFont="1" applyFill="1" applyBorder="1" applyAlignment="1">
      <alignment horizontal="center"/>
    </xf>
    <xf numFmtId="3" fontId="6" fillId="0" borderId="1" xfId="11" applyNumberFormat="1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vertical="center"/>
    </xf>
    <xf numFmtId="14" fontId="5" fillId="0" borderId="1" xfId="1" applyNumberFormat="1" applyFont="1" applyFill="1" applyBorder="1" applyAlignment="1">
      <alignment horizontal="center" wrapText="1"/>
    </xf>
    <xf numFmtId="3" fontId="0" fillId="0" borderId="0" xfId="0" applyNumberFormat="1" applyAlignment="1"/>
    <xf numFmtId="3" fontId="31" fillId="0" borderId="0" xfId="1" applyNumberFormat="1" applyFont="1" applyFill="1" applyBorder="1" applyAlignment="1">
      <alignment horizontal="center" vertical="center"/>
    </xf>
    <xf numFmtId="3" fontId="31" fillId="0" borderId="9" xfId="1" applyNumberFormat="1" applyFont="1" applyFill="1" applyBorder="1" applyAlignment="1">
      <alignment horizontal="center" vertical="center"/>
    </xf>
    <xf numFmtId="3" fontId="8" fillId="0" borderId="9" xfId="5" applyNumberFormat="1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3" fontId="6" fillId="0" borderId="9" xfId="0" applyNumberFormat="1" applyFont="1" applyFill="1" applyBorder="1" applyAlignment="1">
      <alignment horizontal="center" vertical="center"/>
    </xf>
    <xf numFmtId="3" fontId="34" fillId="0" borderId="9" xfId="1" applyNumberFormat="1" applyFont="1" applyFill="1" applyBorder="1" applyAlignment="1">
      <alignment horizontal="center" vertical="center"/>
    </xf>
    <xf numFmtId="3" fontId="6" fillId="0" borderId="9" xfId="1" applyNumberFormat="1" applyFont="1" applyFill="1" applyBorder="1" applyAlignment="1">
      <alignment horizontal="center" vertical="center"/>
    </xf>
    <xf numFmtId="3" fontId="11" fillId="0" borderId="3" xfId="1" applyNumberFormat="1" applyFont="1" applyFill="1" applyBorder="1" applyAlignment="1">
      <alignment horizontal="center" vertical="center"/>
    </xf>
    <xf numFmtId="3" fontId="31" fillId="0" borderId="3" xfId="1" applyNumberFormat="1" applyFont="1" applyFill="1" applyBorder="1" applyAlignment="1">
      <alignment horizontal="center" vertical="center"/>
    </xf>
    <xf numFmtId="0" fontId="14" fillId="0" borderId="3" xfId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center" wrapText="1"/>
    </xf>
    <xf numFmtId="3" fontId="6" fillId="0" borderId="3" xfId="1" applyNumberFormat="1" applyFont="1" applyFill="1" applyBorder="1" applyAlignment="1">
      <alignment horizontal="center" vertical="center"/>
    </xf>
    <xf numFmtId="3" fontId="31" fillId="0" borderId="2" xfId="1" applyNumberFormat="1" applyFont="1" applyFill="1" applyBorder="1" applyAlignment="1">
      <alignment vertical="center"/>
    </xf>
    <xf numFmtId="0" fontId="9" fillId="0" borderId="2" xfId="1" applyFont="1" applyFill="1" applyBorder="1" applyAlignment="1">
      <alignment horizontal="left" vertical="center"/>
    </xf>
    <xf numFmtId="0" fontId="8" fillId="0" borderId="2" xfId="1" applyFont="1" applyFill="1" applyBorder="1" applyAlignment="1">
      <alignment horizontal="left" vertical="center"/>
    </xf>
    <xf numFmtId="3" fontId="31" fillId="0" borderId="2" xfId="1" applyNumberFormat="1" applyFont="1" applyFill="1" applyBorder="1" applyAlignment="1">
      <alignment horizontal="center" vertical="center"/>
    </xf>
    <xf numFmtId="3" fontId="10" fillId="0" borderId="2" xfId="1" applyNumberFormat="1" applyFont="1" applyFill="1" applyBorder="1" applyAlignment="1">
      <alignment horizontal="left" vertical="center"/>
    </xf>
    <xf numFmtId="3" fontId="31" fillId="0" borderId="2" xfId="1" applyNumberFormat="1" applyFont="1" applyFill="1" applyBorder="1" applyAlignment="1">
      <alignment horizontal="left" vertical="center"/>
    </xf>
    <xf numFmtId="3" fontId="9" fillId="0" borderId="2" xfId="1" applyNumberFormat="1" applyFont="1" applyFill="1" applyBorder="1" applyAlignment="1">
      <alignment horizontal="left" vertical="center"/>
    </xf>
    <xf numFmtId="0" fontId="18" fillId="0" borderId="2" xfId="0" applyFont="1" applyFill="1" applyBorder="1" applyAlignment="1">
      <alignment vertical="center"/>
    </xf>
    <xf numFmtId="0" fontId="14" fillId="0" borderId="2" xfId="1" applyFont="1" applyFill="1" applyBorder="1" applyAlignment="1">
      <alignment horizontal="center"/>
    </xf>
    <xf numFmtId="0" fontId="6" fillId="0" borderId="2" xfId="0" applyFont="1" applyFill="1" applyBorder="1" applyAlignment="1">
      <alignment vertical="center"/>
    </xf>
    <xf numFmtId="3" fontId="23" fillId="0" borderId="2" xfId="1" applyNumberFormat="1" applyFont="1" applyFill="1" applyBorder="1" applyAlignment="1">
      <alignment horizontal="left" vertical="center"/>
    </xf>
    <xf numFmtId="3" fontId="6" fillId="0" borderId="2" xfId="1" applyNumberFormat="1" applyFont="1" applyFill="1" applyBorder="1" applyAlignment="1">
      <alignment horizontal="left" vertical="center"/>
    </xf>
    <xf numFmtId="3" fontId="21" fillId="3" borderId="4" xfId="4" applyNumberFormat="1" applyFont="1" applyFill="1" applyBorder="1" applyAlignment="1">
      <alignment horizontal="center" vertical="center"/>
    </xf>
    <xf numFmtId="3" fontId="31" fillId="0" borderId="7" xfId="1" applyNumberFormat="1" applyFont="1" applyFill="1" applyBorder="1" applyAlignment="1">
      <alignment vertical="center"/>
    </xf>
    <xf numFmtId="0" fontId="9" fillId="0" borderId="7" xfId="1" applyFont="1" applyFill="1" applyBorder="1" applyAlignment="1">
      <alignment horizontal="left" vertical="center"/>
    </xf>
    <xf numFmtId="0" fontId="8" fillId="0" borderId="7" xfId="1" applyFont="1" applyFill="1" applyBorder="1" applyAlignment="1">
      <alignment horizontal="left" vertical="center"/>
    </xf>
    <xf numFmtId="3" fontId="8" fillId="0" borderId="7" xfId="1" applyNumberFormat="1" applyFont="1" applyFill="1" applyBorder="1" applyAlignment="1">
      <alignment horizontal="left" vertical="center"/>
    </xf>
    <xf numFmtId="3" fontId="8" fillId="0" borderId="7" xfId="1" applyNumberFormat="1" applyFont="1" applyFill="1" applyBorder="1" applyAlignment="1">
      <alignment horizontal="center" vertical="center"/>
    </xf>
    <xf numFmtId="3" fontId="31" fillId="0" borderId="4" xfId="1" applyNumberFormat="1" applyFont="1" applyFill="1" applyBorder="1" applyAlignment="1">
      <alignment vertical="center"/>
    </xf>
    <xf numFmtId="0" fontId="9" fillId="0" borderId="4" xfId="1" applyFont="1" applyFill="1" applyBorder="1" applyAlignment="1">
      <alignment horizontal="left" vertical="center"/>
    </xf>
    <xf numFmtId="0" fontId="8" fillId="0" borderId="4" xfId="1" applyFont="1" applyFill="1" applyBorder="1" applyAlignment="1">
      <alignment horizontal="left" vertical="center"/>
    </xf>
    <xf numFmtId="3" fontId="8" fillId="0" borderId="4" xfId="1" applyNumberFormat="1" applyFont="1" applyFill="1" applyBorder="1" applyAlignment="1">
      <alignment horizontal="left" vertical="center"/>
    </xf>
    <xf numFmtId="3" fontId="31" fillId="0" borderId="7" xfId="1" applyNumberFormat="1" applyFont="1" applyFill="1" applyBorder="1" applyAlignment="1">
      <alignment horizontal="center" vertical="center"/>
    </xf>
    <xf numFmtId="3" fontId="10" fillId="0" borderId="4" xfId="1" applyNumberFormat="1" applyFont="1" applyFill="1" applyBorder="1" applyAlignment="1">
      <alignment horizontal="left" vertical="center"/>
    </xf>
    <xf numFmtId="3" fontId="31" fillId="0" borderId="4" xfId="1" applyNumberFormat="1" applyFont="1" applyFill="1" applyBorder="1" applyAlignment="1">
      <alignment horizontal="center" vertical="center"/>
    </xf>
    <xf numFmtId="3" fontId="10" fillId="0" borderId="7" xfId="1" applyNumberFormat="1" applyFont="1" applyFill="1" applyBorder="1" applyAlignment="1">
      <alignment horizontal="left" vertical="center" wrapText="1"/>
    </xf>
    <xf numFmtId="3" fontId="10" fillId="0" borderId="7" xfId="1" applyNumberFormat="1" applyFont="1" applyFill="1" applyBorder="1" applyAlignment="1">
      <alignment horizontal="left" vertical="center"/>
    </xf>
    <xf numFmtId="3" fontId="31" fillId="0" borderId="4" xfId="1" applyNumberFormat="1" applyFont="1" applyFill="1" applyBorder="1" applyAlignment="1">
      <alignment horizontal="left" vertical="center"/>
    </xf>
    <xf numFmtId="3" fontId="9" fillId="0" borderId="4" xfId="1" applyNumberFormat="1" applyFont="1" applyFill="1" applyBorder="1" applyAlignment="1">
      <alignment horizontal="left" vertical="center"/>
    </xf>
    <xf numFmtId="0" fontId="18" fillId="0" borderId="4" xfId="0" applyFont="1" applyFill="1" applyBorder="1" applyAlignment="1">
      <alignment vertical="center"/>
    </xf>
    <xf numFmtId="3" fontId="8" fillId="0" borderId="7" xfId="1" applyNumberFormat="1" applyFont="1" applyFill="1" applyBorder="1" applyAlignment="1">
      <alignment vertical="center"/>
    </xf>
    <xf numFmtId="0" fontId="18" fillId="0" borderId="7" xfId="0" applyFont="1" applyFill="1" applyBorder="1" applyAlignment="1">
      <alignment vertical="center"/>
    </xf>
    <xf numFmtId="3" fontId="34" fillId="0" borderId="7" xfId="1" applyNumberFormat="1" applyFont="1" applyFill="1" applyBorder="1" applyAlignment="1">
      <alignment horizontal="center" vertical="center"/>
    </xf>
    <xf numFmtId="3" fontId="23" fillId="0" borderId="4" xfId="1" applyNumberFormat="1" applyFont="1" applyFill="1" applyBorder="1" applyAlignment="1">
      <alignment horizontal="left" vertical="center"/>
    </xf>
    <xf numFmtId="3" fontId="6" fillId="0" borderId="4" xfId="1" applyNumberFormat="1" applyFont="1" applyFill="1" applyBorder="1" applyAlignment="1">
      <alignment horizontal="left" vertical="center"/>
    </xf>
    <xf numFmtId="3" fontId="6" fillId="0" borderId="4" xfId="1" applyNumberFormat="1" applyFont="1" applyFill="1" applyBorder="1" applyAlignment="1">
      <alignment horizontal="center" vertical="center"/>
    </xf>
    <xf numFmtId="3" fontId="23" fillId="0" borderId="7" xfId="1" applyNumberFormat="1" applyFont="1" applyFill="1" applyBorder="1" applyAlignment="1">
      <alignment horizontal="left" vertical="center"/>
    </xf>
    <xf numFmtId="3" fontId="9" fillId="0" borderId="7" xfId="1" applyNumberFormat="1" applyFont="1" applyFill="1" applyBorder="1" applyAlignment="1">
      <alignment horizontal="left" vertical="center"/>
    </xf>
    <xf numFmtId="0" fontId="0" fillId="0" borderId="1" xfId="0" applyFill="1" applyBorder="1" applyAlignment="1"/>
    <xf numFmtId="0" fontId="0" fillId="0" borderId="1" xfId="0" applyBorder="1" applyAlignment="1"/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4" fillId="0" borderId="3" xfId="1" applyFont="1" applyFill="1" applyBorder="1" applyAlignment="1">
      <alignment horizontal="center" wrapText="1"/>
    </xf>
    <xf numFmtId="166" fontId="35" fillId="0" borderId="1" xfId="11" applyNumberFormat="1" applyFont="1" applyFill="1" applyBorder="1" applyAlignment="1">
      <alignment vertical="center"/>
    </xf>
    <xf numFmtId="3" fontId="45" fillId="0" borderId="0" xfId="0" applyNumberFormat="1" applyFont="1"/>
    <xf numFmtId="3" fontId="45" fillId="0" borderId="1" xfId="0" applyNumberFormat="1" applyFont="1" applyBorder="1"/>
    <xf numFmtId="3" fontId="8" fillId="0" borderId="11" xfId="1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3" fontId="6" fillId="0" borderId="7" xfId="0" applyNumberFormat="1" applyFont="1" applyFill="1" applyBorder="1" applyAlignment="1">
      <alignment horizontal="center" vertical="center"/>
    </xf>
    <xf numFmtId="3" fontId="6" fillId="0" borderId="2" xfId="0" applyNumberFormat="1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center" vertical="center"/>
    </xf>
    <xf numFmtId="3" fontId="31" fillId="0" borderId="13" xfId="1" applyNumberFormat="1" applyFont="1" applyFill="1" applyBorder="1" applyAlignment="1">
      <alignment horizontal="center" vertical="center"/>
    </xf>
    <xf numFmtId="3" fontId="7" fillId="0" borderId="0" xfId="1" applyNumberFormat="1" applyFont="1" applyFill="1" applyBorder="1" applyAlignment="1">
      <alignment horizontal="right"/>
    </xf>
    <xf numFmtId="3" fontId="31" fillId="0" borderId="10" xfId="1" applyNumberFormat="1" applyFont="1" applyFill="1" applyBorder="1" applyAlignment="1">
      <alignment horizontal="center" vertical="center"/>
    </xf>
    <xf numFmtId="3" fontId="8" fillId="0" borderId="10" xfId="1" applyNumberFormat="1" applyFont="1" applyFill="1" applyBorder="1" applyAlignment="1">
      <alignment horizontal="center" vertical="center"/>
    </xf>
    <xf numFmtId="3" fontId="10" fillId="0" borderId="9" xfId="1" applyNumberFormat="1" applyFont="1" applyFill="1" applyBorder="1" applyAlignment="1">
      <alignment horizontal="center" vertical="center"/>
    </xf>
    <xf numFmtId="3" fontId="11" fillId="0" borderId="9" xfId="5" applyNumberFormat="1" applyFont="1" applyFill="1" applyBorder="1" applyAlignment="1">
      <alignment horizontal="center" vertical="center"/>
    </xf>
    <xf numFmtId="3" fontId="8" fillId="0" borderId="9" xfId="1" applyNumberFormat="1" applyFont="1" applyFill="1" applyBorder="1" applyAlignment="1">
      <alignment vertical="center"/>
    </xf>
    <xf numFmtId="3" fontId="10" fillId="0" borderId="9" xfId="1" applyNumberFormat="1" applyFont="1" applyFill="1" applyBorder="1" applyAlignment="1">
      <alignment vertical="center"/>
    </xf>
    <xf numFmtId="3" fontId="4" fillId="0" borderId="9" xfId="1" applyNumberFormat="1" applyFont="1" applyFill="1" applyBorder="1" applyAlignment="1">
      <alignment horizontal="center" vertical="center"/>
    </xf>
    <xf numFmtId="0" fontId="29" fillId="0" borderId="9" xfId="0" applyFont="1" applyFill="1" applyBorder="1" applyAlignment="1">
      <alignment horizontal="center" vertical="center"/>
    </xf>
    <xf numFmtId="10" fontId="18" fillId="0" borderId="9" xfId="0" applyNumberFormat="1" applyFont="1" applyFill="1" applyBorder="1" applyAlignment="1">
      <alignment horizontal="center" vertical="center"/>
    </xf>
    <xf numFmtId="10" fontId="6" fillId="0" borderId="9" xfId="0" applyNumberFormat="1" applyFont="1" applyFill="1" applyBorder="1" applyAlignment="1">
      <alignment horizontal="center" vertical="center"/>
    </xf>
    <xf numFmtId="3" fontId="29" fillId="0" borderId="9" xfId="1" applyNumberFormat="1" applyFont="1" applyFill="1" applyBorder="1" applyAlignment="1">
      <alignment horizontal="center" vertical="center"/>
    </xf>
    <xf numFmtId="3" fontId="6" fillId="0" borderId="11" xfId="0" applyNumberFormat="1" applyFont="1" applyFill="1" applyBorder="1" applyAlignment="1">
      <alignment horizontal="center" vertical="center"/>
    </xf>
    <xf numFmtId="3" fontId="43" fillId="0" borderId="0" xfId="1" applyNumberFormat="1" applyFont="1" applyFill="1" applyBorder="1" applyAlignment="1"/>
    <xf numFmtId="3" fontId="8" fillId="0" borderId="7" xfId="1" applyNumberFormat="1" applyFont="1" applyFill="1" applyBorder="1" applyAlignment="1">
      <alignment vertical="center" wrapText="1"/>
    </xf>
    <xf numFmtId="3" fontId="32" fillId="0" borderId="1" xfId="1" applyNumberFormat="1" applyFont="1" applyFill="1" applyBorder="1" applyAlignment="1">
      <alignment vertical="center"/>
    </xf>
    <xf numFmtId="3" fontId="36" fillId="0" borderId="1" xfId="1" applyNumberFormat="1" applyFont="1" applyFill="1" applyBorder="1" applyAlignment="1">
      <alignment vertical="center"/>
    </xf>
    <xf numFmtId="3" fontId="30" fillId="0" borderId="1" xfId="1" applyNumberFormat="1" applyFont="1" applyFill="1" applyBorder="1" applyAlignment="1">
      <alignment vertical="center"/>
    </xf>
    <xf numFmtId="3" fontId="47" fillId="0" borderId="14" xfId="0" applyNumberFormat="1" applyFont="1" applyFill="1" applyBorder="1" applyAlignment="1">
      <alignment horizontal="center" wrapText="1"/>
    </xf>
    <xf numFmtId="0" fontId="5" fillId="0" borderId="1" xfId="1" applyFont="1" applyFill="1" applyBorder="1" applyAlignment="1">
      <alignment horizontal="center" vertical="center" wrapText="1"/>
    </xf>
    <xf numFmtId="0" fontId="48" fillId="0" borderId="0" xfId="0" applyFont="1"/>
    <xf numFmtId="3" fontId="9" fillId="0" borderId="0" xfId="0" applyNumberFormat="1" applyFont="1" applyBorder="1" applyAlignment="1">
      <alignment horizontal="right" vertical="center" wrapText="1"/>
    </xf>
    <xf numFmtId="3" fontId="8" fillId="0" borderId="0" xfId="1" applyNumberFormat="1" applyFont="1" applyFill="1" applyBorder="1" applyAlignment="1">
      <alignment vertical="center"/>
    </xf>
    <xf numFmtId="0" fontId="10" fillId="0" borderId="1" xfId="1" applyFont="1" applyFill="1" applyBorder="1" applyAlignment="1">
      <alignment horizontal="center" vertical="center"/>
    </xf>
    <xf numFmtId="0" fontId="49" fillId="0" borderId="1" xfId="1" applyFont="1" applyFill="1" applyBorder="1" applyAlignment="1">
      <alignment horizontal="left" vertical="center"/>
    </xf>
    <xf numFmtId="0" fontId="49" fillId="0" borderId="1" xfId="1" applyFont="1" applyFill="1" applyBorder="1" applyAlignment="1">
      <alignment vertical="center"/>
    </xf>
    <xf numFmtId="0" fontId="6" fillId="0" borderId="1" xfId="1" applyFont="1" applyFill="1" applyBorder="1" applyAlignment="1">
      <alignment vertical="center" wrapText="1"/>
    </xf>
    <xf numFmtId="3" fontId="50" fillId="0" borderId="1" xfId="1" applyNumberFormat="1" applyFont="1" applyFill="1" applyBorder="1" applyAlignment="1">
      <alignment horizontal="center" vertical="center"/>
    </xf>
    <xf numFmtId="3" fontId="10" fillId="0" borderId="0" xfId="1" applyNumberFormat="1" applyFont="1" applyFill="1" applyBorder="1" applyAlignment="1">
      <alignment horizontal="center" vertical="center"/>
    </xf>
    <xf numFmtId="17" fontId="5" fillId="0" borderId="1" xfId="1" applyNumberFormat="1" applyFont="1" applyFill="1" applyBorder="1" applyAlignment="1">
      <alignment horizontal="center" vertical="center"/>
    </xf>
    <xf numFmtId="3" fontId="31" fillId="0" borderId="9" xfId="1" applyNumberFormat="1" applyFont="1" applyFill="1" applyBorder="1" applyAlignment="1">
      <alignment horizontal="center" vertical="center" wrapText="1"/>
    </xf>
    <xf numFmtId="0" fontId="43" fillId="0" borderId="0" xfId="1" applyFont="1" applyFill="1" applyBorder="1" applyAlignment="1">
      <alignment wrapText="1"/>
    </xf>
    <xf numFmtId="0" fontId="43" fillId="0" borderId="0" xfId="1" applyFont="1" applyFill="1" applyBorder="1" applyAlignment="1">
      <alignment horizontal="center" wrapText="1"/>
    </xf>
    <xf numFmtId="0" fontId="51" fillId="0" borderId="0" xfId="0" applyFont="1"/>
    <xf numFmtId="3" fontId="6" fillId="0" borderId="10" xfId="0" applyNumberFormat="1" applyFont="1" applyFill="1" applyBorder="1" applyAlignment="1">
      <alignment horizontal="center" vertical="center"/>
    </xf>
    <xf numFmtId="0" fontId="52" fillId="0" borderId="1" xfId="0" applyFont="1" applyBorder="1" applyAlignment="1">
      <alignment horizontal="justify" vertical="center"/>
    </xf>
    <xf numFmtId="0" fontId="10" fillId="0" borderId="1" xfId="0" applyFont="1" applyBorder="1" applyAlignment="1">
      <alignment vertical="center"/>
    </xf>
    <xf numFmtId="3" fontId="52" fillId="0" borderId="1" xfId="0" applyNumberFormat="1" applyFont="1" applyBorder="1" applyAlignment="1">
      <alignment vertical="center"/>
    </xf>
    <xf numFmtId="3" fontId="54" fillId="0" borderId="1" xfId="0" applyNumberFormat="1" applyFont="1" applyBorder="1" applyAlignment="1">
      <alignment horizontal="center" vertical="center" wrapText="1"/>
    </xf>
    <xf numFmtId="3" fontId="54" fillId="0" borderId="1" xfId="0" applyNumberFormat="1" applyFont="1" applyBorder="1" applyAlignment="1">
      <alignment horizontal="right" vertical="center" wrapText="1"/>
    </xf>
    <xf numFmtId="3" fontId="46" fillId="0" borderId="1" xfId="0" applyNumberFormat="1" applyFont="1" applyBorder="1"/>
    <xf numFmtId="3" fontId="55" fillId="0" borderId="1" xfId="0" applyNumberFormat="1" applyFont="1" applyFill="1" applyBorder="1" applyAlignment="1">
      <alignment horizontal="center"/>
    </xf>
    <xf numFmtId="3" fontId="18" fillId="0" borderId="0" xfId="0" applyNumberFormat="1" applyFont="1"/>
    <xf numFmtId="3" fontId="57" fillId="0" borderId="0" xfId="0" applyNumberFormat="1" applyFont="1"/>
    <xf numFmtId="0" fontId="56" fillId="0" borderId="0" xfId="0" applyFont="1" applyAlignment="1">
      <alignment wrapText="1"/>
    </xf>
    <xf numFmtId="0" fontId="20" fillId="3" borderId="1" xfId="1" applyFont="1" applyFill="1" applyBorder="1" applyAlignment="1">
      <alignment horizontal="center" vertical="center" wrapText="1"/>
    </xf>
    <xf numFmtId="3" fontId="8" fillId="0" borderId="12" xfId="1" applyNumberFormat="1" applyFont="1" applyFill="1" applyBorder="1" applyAlignment="1">
      <alignment horizontal="center" vertical="center"/>
    </xf>
    <xf numFmtId="17" fontId="5" fillId="0" borderId="2" xfId="1" applyNumberFormat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vertical="center"/>
    </xf>
    <xf numFmtId="3" fontId="31" fillId="0" borderId="7" xfId="1" applyNumberFormat="1" applyFont="1" applyFill="1" applyBorder="1" applyAlignment="1">
      <alignment horizontal="left" vertical="center"/>
    </xf>
    <xf numFmtId="0" fontId="5" fillId="0" borderId="6" xfId="1" applyFont="1" applyFill="1" applyBorder="1" applyAlignment="1">
      <alignment horizontal="center"/>
    </xf>
    <xf numFmtId="3" fontId="31" fillId="0" borderId="1" xfId="1" applyNumberFormat="1" applyFont="1" applyFill="1" applyBorder="1" applyAlignment="1">
      <alignment vertical="center" wrapText="1"/>
    </xf>
    <xf numFmtId="3" fontId="23" fillId="0" borderId="4" xfId="1" applyNumberFormat="1" applyFont="1" applyFill="1" applyBorder="1" applyAlignment="1">
      <alignment horizontal="left" vertical="center" wrapText="1"/>
    </xf>
    <xf numFmtId="0" fontId="39" fillId="0" borderId="2" xfId="1" applyFont="1" applyFill="1" applyBorder="1" applyAlignment="1">
      <alignment horizontal="left"/>
    </xf>
    <xf numFmtId="3" fontId="25" fillId="0" borderId="2" xfId="1" applyNumberFormat="1" applyFont="1" applyFill="1" applyBorder="1" applyAlignment="1">
      <alignment horizontal="right"/>
    </xf>
    <xf numFmtId="0" fontId="24" fillId="0" borderId="0" xfId="1" applyFont="1" applyFill="1" applyBorder="1" applyAlignment="1">
      <alignment horizontal="left"/>
    </xf>
    <xf numFmtId="3" fontId="3" fillId="0" borderId="0" xfId="1" applyNumberFormat="1" applyFont="1" applyFill="1" applyBorder="1" applyAlignment="1">
      <alignment horizontal="right"/>
    </xf>
    <xf numFmtId="3" fontId="24" fillId="0" borderId="0" xfId="1" applyNumberFormat="1" applyFont="1" applyFill="1" applyBorder="1" applyAlignment="1">
      <alignment horizontal="right"/>
    </xf>
    <xf numFmtId="0" fontId="3" fillId="0" borderId="0" xfId="1" applyFont="1" applyFill="1" applyBorder="1" applyAlignment="1">
      <alignment horizontal="left"/>
    </xf>
    <xf numFmtId="3" fontId="25" fillId="0" borderId="0" xfId="1" applyNumberFormat="1" applyFont="1" applyFill="1" applyBorder="1" applyAlignment="1">
      <alignment horizontal="right"/>
    </xf>
    <xf numFmtId="0" fontId="39" fillId="0" borderId="0" xfId="1" applyFont="1" applyFill="1" applyBorder="1" applyAlignment="1">
      <alignment horizontal="left"/>
    </xf>
    <xf numFmtId="0" fontId="26" fillId="0" borderId="0" xfId="1" applyFont="1" applyFill="1" applyBorder="1" applyAlignment="1">
      <alignment horizontal="left"/>
    </xf>
    <xf numFmtId="0" fontId="27" fillId="0" borderId="0" xfId="1" applyFont="1" applyFill="1" applyBorder="1" applyAlignment="1">
      <alignment horizontal="left"/>
    </xf>
    <xf numFmtId="3" fontId="24" fillId="0" borderId="0" xfId="1" applyNumberFormat="1" applyFont="1" applyFill="1" applyBorder="1" applyAlignment="1">
      <alignment horizontal="left"/>
    </xf>
    <xf numFmtId="9" fontId="47" fillId="0" borderId="14" xfId="0" applyNumberFormat="1" applyFont="1" applyFill="1" applyBorder="1" applyAlignment="1">
      <alignment horizontal="center" wrapText="1"/>
    </xf>
    <xf numFmtId="0" fontId="59" fillId="0" borderId="1" xfId="10" applyFont="1" applyFill="1" applyBorder="1" applyAlignment="1">
      <alignment vertical="center"/>
    </xf>
    <xf numFmtId="0" fontId="8" fillId="0" borderId="1" xfId="1" applyFont="1" applyFill="1" applyBorder="1" applyAlignment="1">
      <alignment horizontal="center" vertical="center"/>
    </xf>
    <xf numFmtId="0" fontId="58" fillId="0" borderId="1" xfId="0" applyFont="1" applyFill="1" applyBorder="1" applyAlignment="1">
      <alignment vertical="center"/>
    </xf>
    <xf numFmtId="0" fontId="59" fillId="0" borderId="1" xfId="10" applyFont="1" applyFill="1" applyBorder="1" applyAlignment="1">
      <alignment vertical="center" wrapText="1"/>
    </xf>
    <xf numFmtId="0" fontId="58" fillId="0" borderId="1" xfId="0" applyFont="1" applyFill="1" applyBorder="1" applyAlignment="1">
      <alignment horizontal="center"/>
    </xf>
    <xf numFmtId="0" fontId="8" fillId="0" borderId="0" xfId="1" applyFont="1" applyFill="1" applyBorder="1" applyAlignment="1">
      <alignment horizontal="center" vertical="center"/>
    </xf>
    <xf numFmtId="0" fontId="53" fillId="0" borderId="0" xfId="0" applyFont="1" applyBorder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61" fillId="10" borderId="17" xfId="0" applyFont="1" applyFill="1" applyBorder="1" applyAlignment="1">
      <alignment horizontal="center" vertical="center"/>
    </xf>
    <xf numFmtId="0" fontId="61" fillId="10" borderId="17" xfId="0" applyFont="1" applyFill="1" applyBorder="1" applyAlignment="1">
      <alignment horizontal="center" vertical="center" wrapText="1"/>
    </xf>
    <xf numFmtId="0" fontId="62" fillId="0" borderId="18" xfId="0" applyFont="1" applyBorder="1"/>
    <xf numFmtId="0" fontId="63" fillId="0" borderId="18" xfId="0" applyFont="1" applyBorder="1" applyAlignment="1">
      <alignment horizontal="right"/>
    </xf>
    <xf numFmtId="166" fontId="63" fillId="0" borderId="18" xfId="11" applyNumberFormat="1" applyFont="1" applyBorder="1" applyAlignment="1">
      <alignment horizontal="right"/>
    </xf>
    <xf numFmtId="0" fontId="63" fillId="0" borderId="19" xfId="0" applyFont="1" applyBorder="1" applyAlignment="1">
      <alignment horizontal="right" vertical="center"/>
    </xf>
    <xf numFmtId="0" fontId="61" fillId="10" borderId="18" xfId="0" applyFont="1" applyFill="1" applyBorder="1" applyAlignment="1">
      <alignment horizontal="center" vertical="center"/>
    </xf>
    <xf numFmtId="166" fontId="61" fillId="10" borderId="18" xfId="0" applyNumberFormat="1" applyFont="1" applyFill="1" applyBorder="1" applyAlignment="1">
      <alignment vertical="center"/>
    </xf>
    <xf numFmtId="3" fontId="61" fillId="10" borderId="18" xfId="0" applyNumberFormat="1" applyFont="1" applyFill="1" applyBorder="1" applyAlignment="1">
      <alignment horizontal="right" vertical="center"/>
    </xf>
    <xf numFmtId="0" fontId="64" fillId="0" borderId="0" xfId="0" applyFont="1"/>
    <xf numFmtId="0" fontId="62" fillId="0" borderId="0" xfId="0" applyFont="1"/>
    <xf numFmtId="0" fontId="65" fillId="0" borderId="0" xfId="0" applyFont="1" applyFill="1" applyBorder="1" applyAlignment="1">
      <alignment vertical="top"/>
    </xf>
    <xf numFmtId="0" fontId="61" fillId="10" borderId="17" xfId="0" applyFont="1" applyFill="1" applyBorder="1" applyAlignment="1">
      <alignment horizontal="left" vertical="center"/>
    </xf>
    <xf numFmtId="0" fontId="61" fillId="10" borderId="18" xfId="0" applyFont="1" applyFill="1" applyBorder="1" applyAlignment="1">
      <alignment horizontal="left" vertical="center"/>
    </xf>
    <xf numFmtId="0" fontId="21" fillId="3" borderId="20" xfId="1" applyFont="1" applyFill="1" applyBorder="1" applyAlignment="1">
      <alignment horizontal="center" vertical="center" wrapText="1"/>
    </xf>
    <xf numFmtId="0" fontId="21" fillId="3" borderId="20" xfId="1" applyFont="1" applyFill="1" applyBorder="1" applyAlignment="1">
      <alignment vertical="center" wrapText="1"/>
    </xf>
    <xf numFmtId="0" fontId="70" fillId="3" borderId="1" xfId="1" applyFont="1" applyFill="1" applyBorder="1"/>
    <xf numFmtId="3" fontId="71" fillId="3" borderId="1" xfId="1" applyNumberFormat="1" applyFont="1" applyFill="1" applyBorder="1"/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/>
    </xf>
    <xf numFmtId="0" fontId="5" fillId="0" borderId="7" xfId="1" applyFont="1" applyFill="1" applyBorder="1" applyAlignment="1">
      <alignment horizontal="center" vertical="center"/>
    </xf>
    <xf numFmtId="0" fontId="21" fillId="0" borderId="0" xfId="1" applyFont="1" applyFill="1" applyBorder="1" applyAlignment="1">
      <alignment horizontal="center" vertical="center" wrapText="1"/>
    </xf>
    <xf numFmtId="0" fontId="69" fillId="0" borderId="0" xfId="0" applyFont="1" applyFill="1" applyBorder="1"/>
    <xf numFmtId="3" fontId="69" fillId="0" borderId="0" xfId="0" applyNumberFormat="1" applyFont="1" applyFill="1" applyBorder="1"/>
    <xf numFmtId="0" fontId="70" fillId="0" borderId="0" xfId="1" applyFont="1" applyFill="1" applyBorder="1"/>
    <xf numFmtId="3" fontId="71" fillId="0" borderId="0" xfId="1" applyNumberFormat="1" applyFont="1" applyFill="1" applyBorder="1"/>
    <xf numFmtId="0" fontId="6" fillId="0" borderId="1" xfId="1" applyFont="1" applyFill="1" applyBorder="1" applyAlignment="1"/>
    <xf numFmtId="0" fontId="22" fillId="3" borderId="20" xfId="1" applyFont="1" applyFill="1" applyBorder="1" applyAlignment="1">
      <alignment vertical="center" wrapText="1"/>
    </xf>
    <xf numFmtId="0" fontId="72" fillId="0" borderId="1" xfId="1" applyFont="1" applyFill="1" applyBorder="1" applyAlignment="1">
      <alignment vertical="center"/>
    </xf>
    <xf numFmtId="0" fontId="50" fillId="0" borderId="1" xfId="10" applyFont="1" applyFill="1" applyBorder="1" applyAlignment="1">
      <alignment vertical="center"/>
    </xf>
    <xf numFmtId="0" fontId="72" fillId="0" borderId="1" xfId="1" applyFont="1" applyFill="1" applyBorder="1" applyAlignment="1">
      <alignment vertical="center" wrapText="1"/>
    </xf>
    <xf numFmtId="3" fontId="50" fillId="0" borderId="1" xfId="10" applyNumberFormat="1" applyFont="1" applyFill="1" applyBorder="1" applyAlignment="1">
      <alignment horizontal="left" vertical="center" wrapText="1"/>
    </xf>
    <xf numFmtId="0" fontId="73" fillId="0" borderId="0" xfId="0" applyFont="1" applyAlignment="1">
      <alignment vertical="center"/>
    </xf>
    <xf numFmtId="3" fontId="50" fillId="0" borderId="1" xfId="10" applyNumberFormat="1" applyFont="1" applyFill="1" applyBorder="1" applyAlignment="1">
      <alignment vertical="center"/>
    </xf>
    <xf numFmtId="0" fontId="43" fillId="0" borderId="1" xfId="1" applyFont="1" applyFill="1" applyBorder="1" applyAlignment="1">
      <alignment horizontal="left" vertical="center"/>
    </xf>
    <xf numFmtId="0" fontId="50" fillId="0" borderId="0" xfId="10" applyFont="1" applyFill="1" applyAlignment="1">
      <alignment wrapText="1"/>
    </xf>
    <xf numFmtId="0" fontId="6" fillId="0" borderId="0" xfId="0" applyFont="1" applyFill="1" applyAlignment="1"/>
    <xf numFmtId="0" fontId="50" fillId="0" borderId="1" xfId="10" applyFont="1" applyFill="1" applyBorder="1" applyAlignment="1">
      <alignment horizontal="left" vertical="center"/>
    </xf>
    <xf numFmtId="0" fontId="50" fillId="0" borderId="0" xfId="10" applyFont="1" applyFill="1"/>
    <xf numFmtId="0" fontId="18" fillId="0" borderId="0" xfId="0" applyFont="1" applyAlignment="1"/>
    <xf numFmtId="0" fontId="72" fillId="0" borderId="1" xfId="1" applyFont="1" applyFill="1" applyBorder="1" applyAlignment="1">
      <alignment horizontal="left" vertical="center"/>
    </xf>
    <xf numFmtId="0" fontId="73" fillId="0" borderId="0" xfId="0" applyFont="1" applyAlignment="1">
      <alignment vertical="center" wrapText="1"/>
    </xf>
    <xf numFmtId="0" fontId="73" fillId="0" borderId="1" xfId="0" applyFont="1" applyBorder="1" applyAlignment="1">
      <alignment vertical="center" wrapText="1"/>
    </xf>
    <xf numFmtId="0" fontId="74" fillId="0" borderId="0" xfId="0" applyFont="1" applyAlignment="1">
      <alignment wrapText="1"/>
    </xf>
    <xf numFmtId="0" fontId="67" fillId="3" borderId="1" xfId="0" applyFont="1" applyFill="1" applyBorder="1" applyAlignment="1">
      <alignment horizontal="center" vertical="center"/>
    </xf>
    <xf numFmtId="0" fontId="62" fillId="0" borderId="1" xfId="0" applyFont="1" applyFill="1" applyBorder="1" applyAlignment="1">
      <alignment horizontal="center"/>
    </xf>
    <xf numFmtId="0" fontId="62" fillId="0" borderId="1" xfId="0" applyFont="1" applyFill="1" applyBorder="1"/>
    <xf numFmtId="0" fontId="66" fillId="0" borderId="1" xfId="0" applyFont="1" applyFill="1" applyBorder="1"/>
    <xf numFmtId="0" fontId="63" fillId="0" borderId="1" xfId="0" applyFont="1" applyFill="1" applyBorder="1"/>
    <xf numFmtId="0" fontId="62" fillId="0" borderId="1" xfId="0" applyFont="1" applyFill="1" applyBorder="1" applyAlignment="1">
      <alignment horizontal="center" vertical="center"/>
    </xf>
    <xf numFmtId="3" fontId="67" fillId="3" borderId="1" xfId="0" applyNumberFormat="1" applyFont="1" applyFill="1" applyBorder="1"/>
    <xf numFmtId="0" fontId="67" fillId="3" borderId="1" xfId="0" applyFont="1" applyFill="1" applyBorder="1" applyAlignment="1">
      <alignment horizontal="center" vertical="center"/>
    </xf>
    <xf numFmtId="0" fontId="67" fillId="3" borderId="1" xfId="0" applyFont="1" applyFill="1" applyBorder="1" applyAlignment="1">
      <alignment horizontal="left" vertical="center"/>
    </xf>
    <xf numFmtId="3" fontId="67" fillId="3" borderId="1" xfId="0" applyNumberFormat="1" applyFont="1" applyFill="1" applyBorder="1" applyAlignment="1">
      <alignment horizontal="right" vertical="center"/>
    </xf>
    <xf numFmtId="3" fontId="62" fillId="0" borderId="1" xfId="0" applyNumberFormat="1" applyFont="1" applyFill="1" applyBorder="1"/>
    <xf numFmtId="0" fontId="67" fillId="3" borderId="1" xfId="0" applyFont="1" applyFill="1" applyBorder="1" applyAlignment="1"/>
    <xf numFmtId="0" fontId="67" fillId="0" borderId="1" xfId="0" applyFont="1" applyFill="1" applyBorder="1" applyAlignment="1"/>
    <xf numFmtId="17" fontId="5" fillId="0" borderId="1" xfId="1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3" fontId="8" fillId="0" borderId="7" xfId="1" applyNumberFormat="1" applyFont="1" applyFill="1" applyBorder="1" applyAlignment="1">
      <alignment horizontal="left" vertical="center" wrapText="1"/>
    </xf>
    <xf numFmtId="3" fontId="75" fillId="0" borderId="1" xfId="1" applyNumberFormat="1" applyFont="1" applyFill="1" applyBorder="1" applyAlignment="1">
      <alignment horizontal="center" vertical="center" wrapText="1"/>
    </xf>
    <xf numFmtId="3" fontId="75" fillId="0" borderId="1" xfId="1" applyNumberFormat="1" applyFont="1" applyFill="1" applyBorder="1" applyAlignment="1">
      <alignment horizontal="center" vertical="center"/>
    </xf>
    <xf numFmtId="3" fontId="51" fillId="0" borderId="1" xfId="1" applyNumberFormat="1" applyFont="1" applyFill="1" applyBorder="1" applyAlignment="1">
      <alignment horizontal="center" vertical="center" wrapText="1"/>
    </xf>
    <xf numFmtId="14" fontId="75" fillId="0" borderId="1" xfId="1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3" fontId="58" fillId="0" borderId="1" xfId="0" applyNumberFormat="1" applyFont="1" applyFill="1" applyBorder="1" applyAlignment="1">
      <alignment horizontal="center"/>
    </xf>
    <xf numFmtId="3" fontId="21" fillId="3" borderId="20" xfId="1" applyNumberFormat="1" applyFont="1" applyFill="1" applyBorder="1" applyAlignment="1">
      <alignment horizontal="center" vertical="center" wrapText="1"/>
    </xf>
    <xf numFmtId="3" fontId="69" fillId="0" borderId="1" xfId="0" applyNumberFormat="1" applyFont="1" applyFill="1" applyBorder="1"/>
    <xf numFmtId="0" fontId="21" fillId="8" borderId="20" xfId="1" applyFont="1" applyFill="1" applyBorder="1" applyAlignment="1">
      <alignment horizontal="center" vertical="center" wrapText="1"/>
    </xf>
    <xf numFmtId="3" fontId="6" fillId="8" borderId="0" xfId="1" applyNumberFormat="1" applyFont="1" applyFill="1" applyBorder="1" applyAlignment="1"/>
    <xf numFmtId="3" fontId="6" fillId="5" borderId="0" xfId="1" applyNumberFormat="1" applyFont="1" applyFill="1" applyBorder="1" applyAlignment="1"/>
    <xf numFmtId="0" fontId="21" fillId="3" borderId="1" xfId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/>
    </xf>
    <xf numFmtId="0" fontId="0" fillId="0" borderId="1" xfId="0" applyFill="1" applyBorder="1" applyAlignment="1">
      <alignment wrapText="1"/>
    </xf>
    <xf numFmtId="0" fontId="21" fillId="3" borderId="1" xfId="1" applyFont="1" applyFill="1" applyBorder="1" applyAlignment="1">
      <alignment horizontal="center" vertical="center"/>
    </xf>
    <xf numFmtId="0" fontId="21" fillId="3" borderId="1" xfId="1" applyFont="1" applyFill="1" applyBorder="1" applyAlignment="1">
      <alignment horizontal="center" vertical="center" textRotation="90"/>
    </xf>
    <xf numFmtId="0" fontId="21" fillId="3" borderId="20" xfId="1" applyFont="1" applyFill="1" applyBorder="1" applyAlignment="1">
      <alignment vertical="center"/>
    </xf>
    <xf numFmtId="0" fontId="21" fillId="3" borderId="20" xfId="1" applyFont="1" applyFill="1" applyBorder="1" applyAlignment="1">
      <alignment horizontal="center" vertical="center"/>
    </xf>
    <xf numFmtId="0" fontId="21" fillId="3" borderId="2" xfId="1" applyFont="1" applyFill="1" applyBorder="1" applyAlignment="1">
      <alignment vertical="center"/>
    </xf>
    <xf numFmtId="0" fontId="21" fillId="3" borderId="2" xfId="1" applyFont="1" applyFill="1" applyBorder="1" applyAlignment="1">
      <alignment vertical="center" textRotation="90"/>
    </xf>
    <xf numFmtId="0" fontId="21" fillId="3" borderId="10" xfId="1" applyFont="1" applyFill="1" applyBorder="1" applyAlignment="1">
      <alignment vertical="center"/>
    </xf>
    <xf numFmtId="0" fontId="21" fillId="3" borderId="2" xfId="1" applyFont="1" applyFill="1" applyBorder="1" applyAlignment="1">
      <alignment horizontal="center" vertical="center"/>
    </xf>
    <xf numFmtId="0" fontId="21" fillId="3" borderId="1" xfId="1" applyFont="1" applyFill="1" applyBorder="1" applyAlignment="1">
      <alignment vertical="center"/>
    </xf>
    <xf numFmtId="3" fontId="68" fillId="3" borderId="0" xfId="0" applyNumberFormat="1" applyFont="1" applyFill="1" applyBorder="1" applyAlignment="1">
      <alignment vertical="center"/>
    </xf>
    <xf numFmtId="3" fontId="68" fillId="3" borderId="26" xfId="0" applyNumberFormat="1" applyFont="1" applyFill="1" applyBorder="1" applyAlignment="1">
      <alignment vertical="center"/>
    </xf>
    <xf numFmtId="0" fontId="21" fillId="0" borderId="20" xfId="1" applyFont="1" applyFill="1" applyBorder="1" applyAlignment="1">
      <alignment horizontal="center" vertical="center" wrapText="1"/>
    </xf>
    <xf numFmtId="0" fontId="21" fillId="0" borderId="20" xfId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 wrapText="1"/>
    </xf>
    <xf numFmtId="0" fontId="58" fillId="0" borderId="1" xfId="0" applyFont="1" applyFill="1" applyBorder="1" applyAlignment="1"/>
    <xf numFmtId="0" fontId="75" fillId="0" borderId="1" xfId="0" applyFont="1" applyFill="1" applyBorder="1" applyAlignment="1">
      <alignment wrapText="1"/>
    </xf>
    <xf numFmtId="0" fontId="75" fillId="0" borderId="1" xfId="0" applyFont="1" applyFill="1" applyBorder="1" applyAlignment="1">
      <alignment horizontal="left" vertical="center" wrapText="1"/>
    </xf>
    <xf numFmtId="0" fontId="45" fillId="0" borderId="1" xfId="0" applyFont="1" applyFill="1" applyBorder="1" applyAlignment="1">
      <alignment horizontal="left" vertical="center" wrapText="1"/>
    </xf>
    <xf numFmtId="0" fontId="21" fillId="3" borderId="6" xfId="1" applyFont="1" applyFill="1" applyBorder="1" applyAlignment="1">
      <alignment vertical="center" wrapText="1"/>
    </xf>
    <xf numFmtId="3" fontId="8" fillId="9" borderId="1" xfId="1" applyNumberFormat="1" applyFont="1" applyFill="1" applyBorder="1" applyAlignment="1">
      <alignment horizontal="center" vertical="center"/>
    </xf>
    <xf numFmtId="3" fontId="21" fillId="3" borderId="20" xfId="1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/>
    <xf numFmtId="0" fontId="12" fillId="0" borderId="4" xfId="1" applyFont="1" applyFill="1" applyBorder="1" applyAlignment="1">
      <alignment vertical="center"/>
    </xf>
    <xf numFmtId="0" fontId="18" fillId="0" borderId="1" xfId="0" applyFont="1" applyBorder="1" applyAlignment="1">
      <alignment wrapText="1"/>
    </xf>
    <xf numFmtId="0" fontId="76" fillId="0" borderId="0" xfId="0" applyFont="1" applyAlignment="1">
      <alignment horizontal="justify" vertical="center"/>
    </xf>
    <xf numFmtId="3" fontId="6" fillId="0" borderId="25" xfId="1" applyNumberFormat="1" applyFont="1" applyFill="1" applyBorder="1" applyAlignment="1">
      <alignment horizontal="left" vertical="center"/>
    </xf>
    <xf numFmtId="3" fontId="8" fillId="0" borderId="25" xfId="1" applyNumberFormat="1" applyFont="1" applyFill="1" applyBorder="1" applyAlignment="1">
      <alignment horizontal="left" vertical="center" wrapText="1"/>
    </xf>
    <xf numFmtId="14" fontId="5" fillId="0" borderId="3" xfId="1" applyNumberFormat="1" applyFont="1" applyFill="1" applyBorder="1" applyAlignment="1">
      <alignment horizontal="center"/>
    </xf>
    <xf numFmtId="17" fontId="5" fillId="0" borderId="3" xfId="1" applyNumberFormat="1" applyFont="1" applyFill="1" applyBorder="1" applyAlignment="1">
      <alignment horizontal="center" vertical="center"/>
    </xf>
    <xf numFmtId="3" fontId="8" fillId="0" borderId="21" xfId="1" applyNumberFormat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vertical="center"/>
    </xf>
    <xf numFmtId="3" fontId="29" fillId="0" borderId="3" xfId="1" applyNumberFormat="1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/>
    </xf>
    <xf numFmtId="0" fontId="6" fillId="12" borderId="0" xfId="1" applyFont="1" applyFill="1" applyBorder="1" applyAlignment="1"/>
    <xf numFmtId="41" fontId="21" fillId="3" borderId="20" xfId="12" applyFont="1" applyFill="1" applyBorder="1" applyAlignment="1">
      <alignment vertical="center" wrapText="1"/>
    </xf>
    <xf numFmtId="3" fontId="8" fillId="0" borderId="1" xfId="0" applyNumberFormat="1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2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3" fontId="54" fillId="0" borderId="1" xfId="0" applyNumberFormat="1" applyFont="1" applyFill="1" applyBorder="1" applyAlignment="1">
      <alignment horizontal="center" vertical="center" wrapText="1"/>
    </xf>
    <xf numFmtId="167" fontId="54" fillId="0" borderId="1" xfId="0" applyNumberFormat="1" applyFont="1" applyFill="1" applyBorder="1" applyAlignment="1">
      <alignment horizontal="right" vertical="center" wrapText="1"/>
    </xf>
    <xf numFmtId="0" fontId="73" fillId="0" borderId="0" xfId="0" applyFont="1" applyFill="1" applyAlignment="1">
      <alignment vertical="center" wrapText="1"/>
    </xf>
    <xf numFmtId="0" fontId="18" fillId="0" borderId="0" xfId="0" applyFont="1" applyFill="1" applyAlignment="1">
      <alignment wrapText="1"/>
    </xf>
    <xf numFmtId="0" fontId="18" fillId="0" borderId="0" xfId="0" applyFont="1" applyFill="1"/>
    <xf numFmtId="0" fontId="6" fillId="0" borderId="1" xfId="1" applyFont="1" applyFill="1" applyBorder="1" applyAlignment="1">
      <alignment wrapText="1"/>
    </xf>
    <xf numFmtId="0" fontId="18" fillId="0" borderId="1" xfId="0" applyFont="1" applyFill="1" applyBorder="1" applyAlignment="1"/>
    <xf numFmtId="0" fontId="18" fillId="0" borderId="0" xfId="0" applyFont="1" applyFill="1" applyAlignment="1"/>
    <xf numFmtId="0" fontId="58" fillId="0" borderId="0" xfId="0" applyFont="1" applyFill="1" applyAlignment="1"/>
    <xf numFmtId="0" fontId="48" fillId="0" borderId="0" xfId="0" applyFont="1" applyFill="1"/>
    <xf numFmtId="0" fontId="56" fillId="0" borderId="0" xfId="0" applyFont="1" applyFill="1"/>
    <xf numFmtId="3" fontId="8" fillId="4" borderId="4" xfId="1" applyNumberFormat="1" applyFont="1" applyFill="1" applyBorder="1" applyAlignment="1">
      <alignment horizontal="left" vertical="center" wrapText="1"/>
    </xf>
    <xf numFmtId="17" fontId="5" fillId="4" borderId="1" xfId="1" applyNumberFormat="1" applyFont="1" applyFill="1" applyBorder="1" applyAlignment="1">
      <alignment horizontal="center" vertical="center"/>
    </xf>
    <xf numFmtId="3" fontId="8" fillId="4" borderId="1" xfId="1" applyNumberFormat="1" applyFont="1" applyFill="1" applyBorder="1" applyAlignment="1">
      <alignment horizontal="left" vertical="center"/>
    </xf>
    <xf numFmtId="0" fontId="18" fillId="4" borderId="1" xfId="0" applyFont="1" applyFill="1" applyBorder="1" applyAlignment="1">
      <alignment vertical="center" wrapText="1"/>
    </xf>
    <xf numFmtId="3" fontId="8" fillId="4" borderId="1" xfId="1" applyNumberFormat="1" applyFont="1" applyFill="1" applyBorder="1" applyAlignment="1">
      <alignment horizontal="left" vertical="center" wrapText="1"/>
    </xf>
    <xf numFmtId="17" fontId="5" fillId="4" borderId="2" xfId="1" applyNumberFormat="1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vertical="center"/>
    </xf>
    <xf numFmtId="3" fontId="8" fillId="4" borderId="1" xfId="1" applyNumberFormat="1" applyFont="1" applyFill="1" applyBorder="1" applyAlignment="1">
      <alignment horizontal="center" vertical="center" wrapText="1"/>
    </xf>
    <xf numFmtId="3" fontId="8" fillId="4" borderId="7" xfId="1" applyNumberFormat="1" applyFont="1" applyFill="1" applyBorder="1" applyAlignment="1">
      <alignment horizontal="left" vertical="center"/>
    </xf>
    <xf numFmtId="3" fontId="31" fillId="4" borderId="9" xfId="1" applyNumberFormat="1" applyFont="1" applyFill="1" applyBorder="1" applyAlignment="1">
      <alignment horizontal="center" vertical="center"/>
    </xf>
    <xf numFmtId="10" fontId="8" fillId="4" borderId="1" xfId="1" applyNumberFormat="1" applyFont="1" applyFill="1" applyBorder="1" applyAlignment="1">
      <alignment horizontal="center" vertical="center"/>
    </xf>
    <xf numFmtId="10" fontId="18" fillId="4" borderId="1" xfId="0" applyNumberFormat="1" applyFont="1" applyFill="1" applyBorder="1" applyAlignment="1">
      <alignment horizontal="center" vertical="center"/>
    </xf>
    <xf numFmtId="3" fontId="8" fillId="4" borderId="9" xfId="1" applyNumberFormat="1" applyFont="1" applyFill="1" applyBorder="1" applyAlignment="1">
      <alignment horizontal="center" vertical="center"/>
    </xf>
    <xf numFmtId="3" fontId="8" fillId="4" borderId="2" xfId="1" applyNumberFormat="1" applyFont="1" applyFill="1" applyBorder="1" applyAlignment="1">
      <alignment horizontal="center" vertical="center"/>
    </xf>
    <xf numFmtId="10" fontId="8" fillId="4" borderId="2" xfId="1" applyNumberFormat="1" applyFont="1" applyFill="1" applyBorder="1" applyAlignment="1">
      <alignment horizontal="center" vertical="center"/>
    </xf>
    <xf numFmtId="3" fontId="8" fillId="4" borderId="2" xfId="1" applyNumberFormat="1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left" vertical="center"/>
    </xf>
    <xf numFmtId="3" fontId="6" fillId="4" borderId="2" xfId="1" applyNumberFormat="1" applyFont="1" applyFill="1" applyBorder="1" applyAlignment="1">
      <alignment horizontal="left" vertical="center"/>
    </xf>
    <xf numFmtId="3" fontId="8" fillId="4" borderId="4" xfId="1" applyNumberFormat="1" applyFont="1" applyFill="1" applyBorder="1" applyAlignment="1">
      <alignment horizontal="left" vertical="center"/>
    </xf>
    <xf numFmtId="0" fontId="18" fillId="4" borderId="4" xfId="0" applyFont="1" applyFill="1" applyBorder="1" applyAlignment="1">
      <alignment vertical="center"/>
    </xf>
    <xf numFmtId="3" fontId="6" fillId="4" borderId="1" xfId="1" applyNumberFormat="1" applyFont="1" applyFill="1" applyBorder="1" applyAlignment="1">
      <alignment horizontal="left" vertical="center"/>
    </xf>
    <xf numFmtId="0" fontId="58" fillId="4" borderId="1" xfId="0" applyFont="1" applyFill="1" applyBorder="1" applyAlignment="1">
      <alignment horizontal="center"/>
    </xf>
    <xf numFmtId="10" fontId="6" fillId="4" borderId="1" xfId="0" applyNumberFormat="1" applyFont="1" applyFill="1" applyBorder="1" applyAlignment="1">
      <alignment horizontal="center" vertical="center"/>
    </xf>
    <xf numFmtId="0" fontId="9" fillId="4" borderId="4" xfId="1" applyFont="1" applyFill="1" applyBorder="1" applyAlignment="1">
      <alignment horizontal="left" vertical="center"/>
    </xf>
    <xf numFmtId="0" fontId="8" fillId="4" borderId="4" xfId="1" applyFont="1" applyFill="1" applyBorder="1" applyAlignment="1">
      <alignment horizontal="left" vertical="center"/>
    </xf>
    <xf numFmtId="0" fontId="9" fillId="4" borderId="1" xfId="1" applyFont="1" applyFill="1" applyBorder="1" applyAlignment="1">
      <alignment horizontal="left" vertical="center"/>
    </xf>
    <xf numFmtId="0" fontId="8" fillId="4" borderId="1" xfId="1" applyFont="1" applyFill="1" applyBorder="1" applyAlignment="1">
      <alignment horizontal="left" vertical="center"/>
    </xf>
    <xf numFmtId="3" fontId="6" fillId="4" borderId="4" xfId="1" applyNumberFormat="1" applyFont="1" applyFill="1" applyBorder="1" applyAlignment="1">
      <alignment horizontal="left" vertical="center"/>
    </xf>
    <xf numFmtId="0" fontId="8" fillId="4" borderId="1" xfId="1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3" fontId="9" fillId="4" borderId="1" xfId="1" applyNumberFormat="1" applyFont="1" applyFill="1" applyBorder="1" applyAlignment="1">
      <alignment horizontal="left" vertical="center"/>
    </xf>
    <xf numFmtId="3" fontId="6" fillId="4" borderId="1" xfId="1" applyNumberFormat="1" applyFont="1" applyFill="1" applyBorder="1" applyAlignment="1">
      <alignment horizontal="center" vertical="center"/>
    </xf>
    <xf numFmtId="3" fontId="10" fillId="4" borderId="1" xfId="1" applyNumberFormat="1" applyFont="1" applyFill="1" applyBorder="1" applyAlignment="1">
      <alignment horizontal="left" vertical="center" wrapText="1"/>
    </xf>
    <xf numFmtId="0" fontId="18" fillId="4" borderId="4" xfId="0" applyFont="1" applyFill="1" applyBorder="1" applyAlignment="1">
      <alignment vertical="center" wrapText="1"/>
    </xf>
    <xf numFmtId="3" fontId="31" fillId="4" borderId="3" xfId="1" applyNumberFormat="1" applyFont="1" applyFill="1" applyBorder="1" applyAlignment="1">
      <alignment horizontal="center" vertical="center"/>
    </xf>
    <xf numFmtId="0" fontId="21" fillId="3" borderId="21" xfId="1" applyFont="1" applyFill="1" applyBorder="1" applyAlignment="1">
      <alignment horizontal="center" vertical="center" wrapText="1"/>
    </xf>
    <xf numFmtId="3" fontId="8" fillId="0" borderId="1" xfId="0" applyNumberFormat="1" applyFont="1" applyFill="1" applyBorder="1" applyAlignment="1">
      <alignment horizontal="left" vertical="center"/>
    </xf>
    <xf numFmtId="3" fontId="8" fillId="0" borderId="3" xfId="1" applyNumberFormat="1" applyFont="1" applyFill="1" applyBorder="1" applyAlignment="1">
      <alignment horizontal="left" vertical="center"/>
    </xf>
    <xf numFmtId="3" fontId="31" fillId="0" borderId="21" xfId="1" applyNumberFormat="1" applyFont="1" applyFill="1" applyBorder="1" applyAlignment="1">
      <alignment horizontal="center" vertical="center"/>
    </xf>
    <xf numFmtId="3" fontId="31" fillId="0" borderId="22" xfId="1" applyNumberFormat="1" applyFont="1" applyFill="1" applyBorder="1" applyAlignment="1">
      <alignment horizontal="center" vertical="center"/>
    </xf>
    <xf numFmtId="49" fontId="5" fillId="0" borderId="2" xfId="1" applyNumberFormat="1" applyFont="1" applyFill="1" applyBorder="1" applyAlignment="1">
      <alignment horizontal="center"/>
    </xf>
    <xf numFmtId="3" fontId="8" fillId="4" borderId="3" xfId="1" applyNumberFormat="1" applyFont="1" applyFill="1" applyBorder="1" applyAlignment="1">
      <alignment horizontal="center" vertical="center"/>
    </xf>
    <xf numFmtId="3" fontId="10" fillId="4" borderId="3" xfId="1" applyNumberFormat="1" applyFont="1" applyFill="1" applyBorder="1" applyAlignment="1">
      <alignment horizontal="left" vertical="center"/>
    </xf>
    <xf numFmtId="3" fontId="30" fillId="4" borderId="1" xfId="1" applyNumberFormat="1" applyFont="1" applyFill="1" applyBorder="1" applyAlignment="1">
      <alignment horizontal="left" vertical="center" wrapText="1"/>
    </xf>
    <xf numFmtId="17" fontId="5" fillId="4" borderId="3" xfId="1" applyNumberFormat="1" applyFont="1" applyFill="1" applyBorder="1" applyAlignment="1">
      <alignment horizontal="center" vertical="center"/>
    </xf>
    <xf numFmtId="3" fontId="8" fillId="4" borderId="12" xfId="1" applyNumberFormat="1" applyFont="1" applyFill="1" applyBorder="1" applyAlignment="1">
      <alignment horizontal="left" vertical="center" wrapText="1"/>
    </xf>
    <xf numFmtId="0" fontId="0" fillId="0" borderId="3" xfId="0" applyBorder="1" applyAlignment="1"/>
    <xf numFmtId="0" fontId="0" fillId="0" borderId="3" xfId="0" applyBorder="1" applyAlignment="1">
      <alignment horizontal="center" vertical="center"/>
    </xf>
    <xf numFmtId="0" fontId="0" fillId="0" borderId="3" xfId="0" applyFill="1" applyBorder="1" applyAlignment="1"/>
    <xf numFmtId="0" fontId="0" fillId="0" borderId="3" xfId="0" applyFill="1" applyBorder="1" applyAlignment="1">
      <alignment horizontal="center" vertical="center"/>
    </xf>
    <xf numFmtId="49" fontId="5" fillId="0" borderId="3" xfId="1" applyNumberFormat="1" applyFont="1" applyFill="1" applyBorder="1" applyAlignment="1">
      <alignment horizontal="center"/>
    </xf>
    <xf numFmtId="0" fontId="58" fillId="0" borderId="3" xfId="0" applyFont="1" applyFill="1" applyBorder="1" applyAlignment="1">
      <alignment horizontal="center"/>
    </xf>
    <xf numFmtId="3" fontId="30" fillId="4" borderId="2" xfId="1" applyNumberFormat="1" applyFont="1" applyFill="1" applyBorder="1" applyAlignment="1">
      <alignment horizontal="left" vertical="center" wrapText="1"/>
    </xf>
    <xf numFmtId="3" fontId="30" fillId="4" borderId="3" xfId="1" applyNumberFormat="1" applyFont="1" applyFill="1" applyBorder="1" applyAlignment="1">
      <alignment horizontal="left" vertical="center" wrapText="1"/>
    </xf>
    <xf numFmtId="0" fontId="27" fillId="3" borderId="0" xfId="1" applyFont="1" applyFill="1" applyBorder="1" applyAlignment="1">
      <alignment horizontal="left"/>
    </xf>
    <xf numFmtId="0" fontId="5" fillId="4" borderId="3" xfId="1" applyFont="1" applyFill="1" applyBorder="1" applyAlignment="1">
      <alignment horizontal="center"/>
    </xf>
    <xf numFmtId="0" fontId="18" fillId="4" borderId="3" xfId="0" applyFont="1" applyFill="1" applyBorder="1" applyAlignment="1">
      <alignment horizontal="center" vertical="center"/>
    </xf>
    <xf numFmtId="3" fontId="30" fillId="4" borderId="6" xfId="1" applyNumberFormat="1" applyFont="1" applyFill="1" applyBorder="1" applyAlignment="1">
      <alignment horizontal="left" vertical="center" wrapText="1"/>
    </xf>
    <xf numFmtId="49" fontId="5" fillId="0" borderId="6" xfId="1" applyNumberFormat="1" applyFont="1" applyFill="1" applyBorder="1" applyAlignment="1">
      <alignment horizontal="center"/>
    </xf>
    <xf numFmtId="3" fontId="8" fillId="0" borderId="12" xfId="1" applyNumberFormat="1" applyFont="1" applyFill="1" applyBorder="1" applyAlignment="1">
      <alignment horizontal="left" vertical="center"/>
    </xf>
    <xf numFmtId="0" fontId="8" fillId="4" borderId="12" xfId="1" applyFont="1" applyFill="1" applyBorder="1" applyAlignment="1">
      <alignment horizontal="left" vertical="center"/>
    </xf>
    <xf numFmtId="3" fontId="31" fillId="0" borderId="6" xfId="1" applyNumberFormat="1" applyFont="1" applyFill="1" applyBorder="1" applyAlignment="1">
      <alignment horizontal="center" vertical="center"/>
    </xf>
    <xf numFmtId="10" fontId="8" fillId="4" borderId="3" xfId="1" applyNumberFormat="1" applyFont="1" applyFill="1" applyBorder="1" applyAlignment="1">
      <alignment horizontal="center" vertical="center"/>
    </xf>
    <xf numFmtId="0" fontId="6" fillId="0" borderId="3" xfId="1" applyFont="1" applyFill="1" applyBorder="1" applyAlignment="1"/>
    <xf numFmtId="49" fontId="5" fillId="0" borderId="3" xfId="1" applyNumberFormat="1" applyFont="1" applyFill="1" applyBorder="1" applyAlignment="1">
      <alignment horizontal="center" vertical="center"/>
    </xf>
    <xf numFmtId="0" fontId="35" fillId="4" borderId="1" xfId="0" applyFont="1" applyFill="1" applyBorder="1" applyAlignment="1">
      <alignment horizontal="left" vertical="center" wrapText="1"/>
    </xf>
    <xf numFmtId="14" fontId="5" fillId="0" borderId="3" xfId="1" applyNumberFormat="1" applyFont="1" applyFill="1" applyBorder="1" applyAlignment="1">
      <alignment horizontal="center" wrapText="1"/>
    </xf>
    <xf numFmtId="1" fontId="5" fillId="0" borderId="3" xfId="1" applyNumberFormat="1" applyFont="1" applyFill="1" applyBorder="1" applyAlignment="1">
      <alignment horizontal="center" wrapText="1"/>
    </xf>
    <xf numFmtId="3" fontId="5" fillId="0" borderId="3" xfId="1" applyNumberFormat="1" applyFont="1" applyFill="1" applyBorder="1" applyAlignment="1">
      <alignment horizontal="center" wrapText="1"/>
    </xf>
    <xf numFmtId="10" fontId="6" fillId="0" borderId="3" xfId="0" applyNumberFormat="1" applyFont="1" applyFill="1" applyBorder="1" applyAlignment="1">
      <alignment horizontal="center" vertical="center"/>
    </xf>
    <xf numFmtId="10" fontId="18" fillId="0" borderId="3" xfId="0" applyNumberFormat="1" applyFont="1" applyFill="1" applyBorder="1" applyAlignment="1">
      <alignment horizontal="center" vertical="center"/>
    </xf>
    <xf numFmtId="3" fontId="30" fillId="4" borderId="4" xfId="1" applyNumberFormat="1" applyFont="1" applyFill="1" applyBorder="1" applyAlignment="1">
      <alignment horizontal="left" vertical="center" wrapText="1"/>
    </xf>
    <xf numFmtId="14" fontId="14" fillId="0" borderId="3" xfId="1" applyNumberFormat="1" applyFont="1" applyFill="1" applyBorder="1" applyAlignment="1">
      <alignment horizontal="center" wrapText="1"/>
    </xf>
    <xf numFmtId="3" fontId="8" fillId="4" borderId="6" xfId="1" applyNumberFormat="1" applyFont="1" applyFill="1" applyBorder="1" applyAlignment="1">
      <alignment horizontal="center" vertical="center"/>
    </xf>
    <xf numFmtId="17" fontId="5" fillId="4" borderId="6" xfId="1" applyNumberFormat="1" applyFont="1" applyFill="1" applyBorder="1" applyAlignment="1">
      <alignment horizontal="center" vertical="center"/>
    </xf>
    <xf numFmtId="3" fontId="8" fillId="4" borderId="12" xfId="1" applyNumberFormat="1" applyFont="1" applyFill="1" applyBorder="1" applyAlignment="1">
      <alignment horizontal="center" vertical="center" wrapText="1"/>
    </xf>
    <xf numFmtId="3" fontId="14" fillId="0" borderId="6" xfId="1" applyNumberFormat="1" applyFont="1" applyFill="1" applyBorder="1" applyAlignment="1">
      <alignment horizontal="center" wrapText="1"/>
    </xf>
    <xf numFmtId="0" fontId="37" fillId="4" borderId="1" xfId="0" applyFont="1" applyFill="1" applyBorder="1" applyAlignment="1">
      <alignment horizontal="left" vertical="center" wrapText="1"/>
    </xf>
    <xf numFmtId="1" fontId="14" fillId="0" borderId="3" xfId="1" applyNumberFormat="1" applyFont="1" applyFill="1" applyBorder="1" applyAlignment="1">
      <alignment horizontal="center" wrapText="1"/>
    </xf>
    <xf numFmtId="3" fontId="8" fillId="4" borderId="3" xfId="1" applyNumberFormat="1" applyFont="1" applyFill="1" applyBorder="1" applyAlignment="1">
      <alignment horizontal="left" vertical="center" wrapText="1"/>
    </xf>
    <xf numFmtId="17" fontId="5" fillId="0" borderId="6" xfId="1" applyNumberFormat="1" applyFont="1" applyFill="1" applyBorder="1" applyAlignment="1">
      <alignment horizontal="center" vertical="center"/>
    </xf>
    <xf numFmtId="0" fontId="18" fillId="0" borderId="21" xfId="0" applyFont="1" applyFill="1" applyBorder="1" applyAlignment="1">
      <alignment horizontal="center" vertical="center"/>
    </xf>
    <xf numFmtId="0" fontId="21" fillId="3" borderId="1" xfId="1" applyFont="1" applyFill="1" applyBorder="1" applyAlignment="1">
      <alignment horizontal="center" vertical="center" wrapText="1"/>
    </xf>
    <xf numFmtId="3" fontId="23" fillId="4" borderId="1" xfId="1" applyNumberFormat="1" applyFont="1" applyFill="1" applyBorder="1" applyAlignment="1">
      <alignment horizontal="left" vertical="center"/>
    </xf>
    <xf numFmtId="10" fontId="6" fillId="4" borderId="1" xfId="1" applyNumberFormat="1" applyFont="1" applyFill="1" applyBorder="1" applyAlignment="1">
      <alignment horizontal="center" vertical="center"/>
    </xf>
    <xf numFmtId="3" fontId="6" fillId="7" borderId="1" xfId="1" applyNumberFormat="1" applyFont="1" applyFill="1" applyBorder="1" applyAlignment="1">
      <alignment horizontal="center" vertical="center"/>
    </xf>
    <xf numFmtId="3" fontId="8" fillId="7" borderId="3" xfId="1" applyNumberFormat="1" applyFont="1" applyFill="1" applyBorder="1" applyAlignment="1">
      <alignment horizontal="center" vertical="center"/>
    </xf>
    <xf numFmtId="17" fontId="5" fillId="7" borderId="3" xfId="1" applyNumberFormat="1" applyFont="1" applyFill="1" applyBorder="1" applyAlignment="1">
      <alignment horizontal="center" vertical="center"/>
    </xf>
    <xf numFmtId="0" fontId="0" fillId="7" borderId="3" xfId="0" applyFill="1" applyBorder="1" applyAlignment="1">
      <alignment horizontal="center"/>
    </xf>
    <xf numFmtId="0" fontId="6" fillId="4" borderId="1" xfId="1" applyFont="1" applyFill="1" applyBorder="1" applyAlignment="1">
      <alignment vertical="center"/>
    </xf>
    <xf numFmtId="3" fontId="6" fillId="4" borderId="9" xfId="1" applyNumberFormat="1" applyFont="1" applyFill="1" applyBorder="1" applyAlignment="1">
      <alignment horizontal="center" vertical="center"/>
    </xf>
    <xf numFmtId="0" fontId="21" fillId="3" borderId="21" xfId="1" applyFont="1" applyFill="1" applyBorder="1" applyAlignment="1">
      <alignment horizontal="center" vertical="center" wrapText="1"/>
    </xf>
    <xf numFmtId="3" fontId="8" fillId="0" borderId="1" xfId="0" applyNumberFormat="1" applyFont="1" applyFill="1" applyBorder="1" applyAlignment="1">
      <alignment horizontal="left" vertical="center"/>
    </xf>
    <xf numFmtId="0" fontId="21" fillId="3" borderId="1" xfId="1" applyFont="1" applyFill="1" applyBorder="1" applyAlignment="1">
      <alignment horizontal="center" vertical="center" wrapText="1"/>
    </xf>
    <xf numFmtId="17" fontId="5" fillId="0" borderId="9" xfId="1" applyNumberFormat="1" applyFont="1" applyFill="1" applyBorder="1" applyAlignment="1">
      <alignment horizontal="center" vertical="center"/>
    </xf>
    <xf numFmtId="17" fontId="5" fillId="0" borderId="0" xfId="1" applyNumberFormat="1" applyFont="1" applyFill="1" applyBorder="1" applyAlignment="1">
      <alignment horizontal="center" vertical="center"/>
    </xf>
    <xf numFmtId="0" fontId="5" fillId="4" borderId="6" xfId="1" applyFont="1" applyFill="1" applyBorder="1" applyAlignment="1">
      <alignment horizontal="center"/>
    </xf>
    <xf numFmtId="17" fontId="5" fillId="4" borderId="9" xfId="1" applyNumberFormat="1" applyFont="1" applyFill="1" applyBorder="1" applyAlignment="1">
      <alignment horizontal="center" vertical="center"/>
    </xf>
    <xf numFmtId="17" fontId="5" fillId="4" borderId="10" xfId="1" applyNumberFormat="1" applyFont="1" applyFill="1" applyBorder="1" applyAlignment="1">
      <alignment horizontal="center" vertical="center"/>
    </xf>
    <xf numFmtId="17" fontId="5" fillId="0" borderId="10" xfId="1" applyNumberFormat="1" applyFont="1" applyFill="1" applyBorder="1" applyAlignment="1">
      <alignment horizontal="center" vertical="center"/>
    </xf>
    <xf numFmtId="17" fontId="5" fillId="0" borderId="4" xfId="1" applyNumberFormat="1" applyFont="1" applyFill="1" applyBorder="1" applyAlignment="1">
      <alignment horizontal="center" vertical="center"/>
    </xf>
    <xf numFmtId="17" fontId="5" fillId="0" borderId="7" xfId="1" applyNumberFormat="1" applyFont="1" applyFill="1" applyBorder="1" applyAlignment="1">
      <alignment horizontal="center" vertical="center"/>
    </xf>
    <xf numFmtId="17" fontId="5" fillId="4" borderId="4" xfId="1" applyNumberFormat="1" applyFont="1" applyFill="1" applyBorder="1" applyAlignment="1">
      <alignment horizontal="center" vertical="center"/>
    </xf>
    <xf numFmtId="3" fontId="31" fillId="4" borderId="3" xfId="1" applyNumberFormat="1" applyFont="1" applyFill="1" applyBorder="1" applyAlignment="1">
      <alignment horizontal="right" vertical="center"/>
    </xf>
    <xf numFmtId="0" fontId="67" fillId="3" borderId="1" xfId="0" applyFont="1" applyFill="1" applyBorder="1" applyAlignment="1">
      <alignment horizontal="center" vertical="center"/>
    </xf>
    <xf numFmtId="3" fontId="31" fillId="4" borderId="4" xfId="1" applyNumberFormat="1" applyFont="1" applyFill="1" applyBorder="1" applyAlignment="1">
      <alignment horizontal="center" vertical="center"/>
    </xf>
    <xf numFmtId="3" fontId="8" fillId="4" borderId="3" xfId="1" applyNumberFormat="1" applyFont="1" applyFill="1" applyBorder="1" applyAlignment="1">
      <alignment horizontal="left" vertical="center"/>
    </xf>
    <xf numFmtId="0" fontId="6" fillId="7" borderId="0" xfId="1" applyFont="1" applyFill="1" applyBorder="1" applyAlignment="1">
      <alignment vertical="center"/>
    </xf>
    <xf numFmtId="0" fontId="72" fillId="7" borderId="1" xfId="1" applyFont="1" applyFill="1" applyBorder="1" applyAlignment="1">
      <alignment vertical="center"/>
    </xf>
    <xf numFmtId="3" fontId="11" fillId="4" borderId="1" xfId="1" applyNumberFormat="1" applyFont="1" applyFill="1" applyBorder="1" applyAlignment="1">
      <alignment horizontal="center" vertical="center"/>
    </xf>
    <xf numFmtId="3" fontId="29" fillId="4" borderId="1" xfId="1" applyNumberFormat="1" applyFont="1" applyFill="1" applyBorder="1" applyAlignment="1">
      <alignment horizontal="center" vertical="center"/>
    </xf>
    <xf numFmtId="3" fontId="8" fillId="5" borderId="1" xfId="1" applyNumberFormat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3" fontId="6" fillId="4" borderId="25" xfId="1" applyNumberFormat="1" applyFont="1" applyFill="1" applyBorder="1" applyAlignment="1">
      <alignment horizontal="left" vertical="center"/>
    </xf>
    <xf numFmtId="0" fontId="0" fillId="4" borderId="0" xfId="0" applyFill="1" applyAlignment="1"/>
    <xf numFmtId="0" fontId="62" fillId="4" borderId="1" xfId="0" applyFont="1" applyFill="1" applyBorder="1"/>
    <xf numFmtId="0" fontId="0" fillId="4" borderId="1" xfId="0" applyFill="1" applyBorder="1" applyAlignment="1"/>
    <xf numFmtId="3" fontId="31" fillId="7" borderId="3" xfId="1" applyNumberFormat="1" applyFont="1" applyFill="1" applyBorder="1" applyAlignment="1">
      <alignment horizontal="right" vertical="center"/>
    </xf>
    <xf numFmtId="3" fontId="6" fillId="4" borderId="0" xfId="1" applyNumberFormat="1" applyFont="1" applyFill="1" applyBorder="1" applyAlignment="1"/>
    <xf numFmtId="3" fontId="8" fillId="12" borderId="1" xfId="1" applyNumberFormat="1" applyFont="1" applyFill="1" applyBorder="1" applyAlignment="1">
      <alignment horizontal="center" vertical="center"/>
    </xf>
    <xf numFmtId="3" fontId="31" fillId="0" borderId="0" xfId="1" applyNumberFormat="1" applyFont="1" applyFill="1" applyBorder="1" applyAlignment="1">
      <alignment horizontal="right" vertical="center"/>
    </xf>
    <xf numFmtId="3" fontId="11" fillId="4" borderId="3" xfId="1" applyNumberFormat="1" applyFont="1" applyFill="1" applyBorder="1" applyAlignment="1">
      <alignment horizontal="center" vertical="center"/>
    </xf>
    <xf numFmtId="3" fontId="11" fillId="12" borderId="3" xfId="1" applyNumberFormat="1" applyFont="1" applyFill="1" applyBorder="1" applyAlignment="1">
      <alignment horizontal="center" vertical="center"/>
    </xf>
    <xf numFmtId="0" fontId="29" fillId="4" borderId="3" xfId="0" applyFont="1" applyFill="1" applyBorder="1" applyAlignment="1">
      <alignment horizontal="center" vertical="center"/>
    </xf>
    <xf numFmtId="3" fontId="31" fillId="5" borderId="3" xfId="1" applyNumberFormat="1" applyFont="1" applyFill="1" applyBorder="1" applyAlignment="1">
      <alignment horizontal="center" vertical="center"/>
    </xf>
    <xf numFmtId="3" fontId="31" fillId="4" borderId="12" xfId="1" applyNumberFormat="1" applyFont="1" applyFill="1" applyBorder="1" applyAlignment="1">
      <alignment horizontal="center" vertical="center"/>
    </xf>
    <xf numFmtId="3" fontId="30" fillId="7" borderId="3" xfId="1" applyNumberFormat="1" applyFont="1" applyFill="1" applyBorder="1" applyAlignment="1">
      <alignment horizontal="left" vertical="center" wrapText="1"/>
    </xf>
    <xf numFmtId="3" fontId="82" fillId="5" borderId="1" xfId="1" applyNumberFormat="1" applyFont="1" applyFill="1" applyBorder="1" applyAlignment="1">
      <alignment horizontal="center" vertical="center"/>
    </xf>
    <xf numFmtId="3" fontId="31" fillId="5" borderId="1" xfId="1" applyNumberFormat="1" applyFont="1" applyFill="1" applyBorder="1" applyAlignment="1">
      <alignment horizontal="center" vertical="center"/>
    </xf>
    <xf numFmtId="3" fontId="31" fillId="5" borderId="3" xfId="1" applyNumberFormat="1" applyFont="1" applyFill="1" applyBorder="1" applyAlignment="1">
      <alignment horizontal="right" vertical="center"/>
    </xf>
    <xf numFmtId="3" fontId="21" fillId="3" borderId="20" xfId="1" applyNumberFormat="1" applyFont="1" applyFill="1" applyBorder="1" applyAlignment="1">
      <alignment vertical="center" wrapText="1"/>
    </xf>
    <xf numFmtId="3" fontId="8" fillId="5" borderId="10" xfId="1" applyNumberFormat="1" applyFont="1" applyFill="1" applyBorder="1" applyAlignment="1">
      <alignment horizontal="center" vertical="center"/>
    </xf>
    <xf numFmtId="17" fontId="5" fillId="5" borderId="1" xfId="1" applyNumberFormat="1" applyFont="1" applyFill="1" applyBorder="1" applyAlignment="1">
      <alignment horizontal="center" vertical="center"/>
    </xf>
    <xf numFmtId="17" fontId="5" fillId="5" borderId="10" xfId="1" applyNumberFormat="1" applyFont="1" applyFill="1" applyBorder="1" applyAlignment="1">
      <alignment horizontal="center" vertical="center"/>
    </xf>
    <xf numFmtId="3" fontId="11" fillId="0" borderId="1" xfId="1" applyNumberFormat="1" applyFont="1" applyFill="1" applyBorder="1" applyAlignment="1">
      <alignment horizontal="left" vertical="center"/>
    </xf>
    <xf numFmtId="17" fontId="5" fillId="5" borderId="7" xfId="1" applyNumberFormat="1" applyFont="1" applyFill="1" applyBorder="1" applyAlignment="1">
      <alignment horizontal="center" vertical="center"/>
    </xf>
    <xf numFmtId="0" fontId="0" fillId="5" borderId="1" xfId="0" applyFill="1" applyBorder="1" applyAlignment="1"/>
    <xf numFmtId="17" fontId="5" fillId="5" borderId="4" xfId="1" applyNumberFormat="1" applyFont="1" applyFill="1" applyBorder="1" applyAlignment="1">
      <alignment horizontal="center" vertical="center"/>
    </xf>
    <xf numFmtId="17" fontId="5" fillId="5" borderId="9" xfId="1" applyNumberFormat="1" applyFont="1" applyFill="1" applyBorder="1" applyAlignment="1">
      <alignment horizontal="center" vertical="center"/>
    </xf>
    <xf numFmtId="3" fontId="31" fillId="5" borderId="9" xfId="1" applyNumberFormat="1" applyFont="1" applyFill="1" applyBorder="1" applyAlignment="1">
      <alignment horizontal="center" vertical="center"/>
    </xf>
    <xf numFmtId="3" fontId="11" fillId="5" borderId="1" xfId="1" applyNumberFormat="1" applyFont="1" applyFill="1" applyBorder="1" applyAlignment="1">
      <alignment horizontal="center" vertical="center"/>
    </xf>
    <xf numFmtId="3" fontId="83" fillId="5" borderId="3" xfId="1" applyNumberFormat="1" applyFont="1" applyFill="1" applyBorder="1" applyAlignment="1">
      <alignment horizontal="right" vertical="center"/>
    </xf>
    <xf numFmtId="3" fontId="83" fillId="5" borderId="1" xfId="1" applyNumberFormat="1" applyFont="1" applyFill="1" applyBorder="1" applyAlignment="1">
      <alignment horizontal="center" vertical="center"/>
    </xf>
    <xf numFmtId="3" fontId="83" fillId="4" borderId="1" xfId="1" applyNumberFormat="1" applyFont="1" applyFill="1" applyBorder="1" applyAlignment="1">
      <alignment horizontal="center" vertical="center"/>
    </xf>
    <xf numFmtId="3" fontId="83" fillId="5" borderId="2" xfId="1" applyNumberFormat="1" applyFont="1" applyFill="1" applyBorder="1" applyAlignment="1">
      <alignment horizontal="center" vertical="center"/>
    </xf>
    <xf numFmtId="0" fontId="14" fillId="0" borderId="1" xfId="1" applyFont="1" applyFill="1" applyBorder="1" applyAlignment="1">
      <alignment horizontal="center" wrapText="1"/>
    </xf>
    <xf numFmtId="3" fontId="6" fillId="5" borderId="9" xfId="0" applyNumberFormat="1" applyFont="1" applyFill="1" applyBorder="1" applyAlignment="1">
      <alignment horizontal="center" vertical="center"/>
    </xf>
    <xf numFmtId="0" fontId="21" fillId="3" borderId="1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3" fontId="6" fillId="5" borderId="11" xfId="0" applyNumberFormat="1" applyFont="1" applyFill="1" applyBorder="1" applyAlignment="1">
      <alignment horizontal="center" vertical="center"/>
    </xf>
    <xf numFmtId="3" fontId="8" fillId="5" borderId="4" xfId="1" applyNumberFormat="1" applyFont="1" applyFill="1" applyBorder="1" applyAlignment="1">
      <alignment horizontal="center" vertical="center"/>
    </xf>
    <xf numFmtId="3" fontId="8" fillId="5" borderId="11" xfId="1" applyNumberFormat="1" applyFont="1" applyFill="1" applyBorder="1" applyAlignment="1">
      <alignment horizontal="center" vertical="center"/>
    </xf>
    <xf numFmtId="3" fontId="84" fillId="5" borderId="3" xfId="1" applyNumberFormat="1" applyFont="1" applyFill="1" applyBorder="1" applyAlignment="1">
      <alignment horizontal="center" vertical="center"/>
    </xf>
    <xf numFmtId="3" fontId="84" fillId="5" borderId="1" xfId="1" applyNumberFormat="1" applyFont="1" applyFill="1" applyBorder="1" applyAlignment="1">
      <alignment horizontal="center" vertical="center"/>
    </xf>
    <xf numFmtId="3" fontId="68" fillId="3" borderId="0" xfId="0" applyNumberFormat="1" applyFont="1" applyFill="1" applyBorder="1" applyAlignment="1">
      <alignment horizontal="center" vertical="center"/>
    </xf>
    <xf numFmtId="3" fontId="83" fillId="5" borderId="3" xfId="1" applyNumberFormat="1" applyFont="1" applyFill="1" applyBorder="1" applyAlignment="1">
      <alignment horizontal="center" vertical="center"/>
    </xf>
    <xf numFmtId="3" fontId="43" fillId="0" borderId="0" xfId="1" applyNumberFormat="1" applyFont="1" applyFill="1" applyBorder="1" applyAlignment="1">
      <alignment horizontal="center"/>
    </xf>
    <xf numFmtId="3" fontId="6" fillId="0" borderId="0" xfId="1" applyNumberFormat="1" applyFont="1" applyFill="1" applyBorder="1" applyAlignment="1">
      <alignment horizontal="center"/>
    </xf>
    <xf numFmtId="0" fontId="21" fillId="3" borderId="21" xfId="1" applyFont="1" applyFill="1" applyBorder="1" applyAlignment="1">
      <alignment horizontal="center" vertical="center" wrapText="1"/>
    </xf>
    <xf numFmtId="3" fontId="8" fillId="0" borderId="1" xfId="0" applyNumberFormat="1" applyFont="1" applyFill="1" applyBorder="1" applyAlignment="1">
      <alignment horizontal="left" vertical="center"/>
    </xf>
    <xf numFmtId="0" fontId="21" fillId="3" borderId="1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1" fillId="7" borderId="1" xfId="1" applyFont="1" applyFill="1" applyBorder="1" applyAlignment="1">
      <alignment horizontal="center" vertical="center" wrapText="1"/>
    </xf>
    <xf numFmtId="0" fontId="19" fillId="3" borderId="1" xfId="1" applyFont="1" applyFill="1" applyBorder="1" applyAlignment="1">
      <alignment horizontal="center" vertical="center" wrapText="1"/>
    </xf>
    <xf numFmtId="41" fontId="19" fillId="3" borderId="20" xfId="12" applyFont="1" applyFill="1" applyBorder="1" applyAlignment="1">
      <alignment vertical="center" wrapText="1"/>
    </xf>
    <xf numFmtId="0" fontId="14" fillId="0" borderId="0" xfId="0" applyFont="1"/>
    <xf numFmtId="3" fontId="31" fillId="0" borderId="3" xfId="1" applyNumberFormat="1" applyFont="1" applyFill="1" applyBorder="1" applyAlignment="1">
      <alignment horizontal="right" vertical="center"/>
    </xf>
    <xf numFmtId="0" fontId="21" fillId="3" borderId="27" xfId="1" applyFont="1" applyFill="1" applyBorder="1" applyAlignment="1">
      <alignment vertical="center" wrapText="1"/>
    </xf>
    <xf numFmtId="0" fontId="21" fillId="3" borderId="27" xfId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3" fontId="31" fillId="0" borderId="0" xfId="1" applyNumberFormat="1" applyFont="1" applyFill="1" applyBorder="1" applyAlignment="1">
      <alignment vertical="center"/>
    </xf>
    <xf numFmtId="3" fontId="8" fillId="0" borderId="0" xfId="1" applyNumberFormat="1" applyFont="1" applyFill="1" applyBorder="1" applyAlignment="1">
      <alignment horizontal="left" vertical="center"/>
    </xf>
    <xf numFmtId="0" fontId="9" fillId="0" borderId="0" xfId="1" applyFont="1" applyFill="1" applyBorder="1" applyAlignment="1">
      <alignment horizontal="left" vertical="center"/>
    </xf>
    <xf numFmtId="0" fontId="8" fillId="0" borderId="0" xfId="1" applyFont="1" applyFill="1" applyBorder="1" applyAlignment="1">
      <alignment horizontal="left" vertical="center"/>
    </xf>
    <xf numFmtId="3" fontId="11" fillId="0" borderId="0" xfId="1" applyNumberFormat="1" applyFont="1" applyFill="1" applyBorder="1" applyAlignment="1">
      <alignment horizontal="center" vertical="center"/>
    </xf>
    <xf numFmtId="10" fontId="10" fillId="0" borderId="0" xfId="1" applyNumberFormat="1" applyFont="1" applyFill="1" applyBorder="1" applyAlignment="1">
      <alignment horizontal="center" vertical="center"/>
    </xf>
    <xf numFmtId="3" fontId="30" fillId="0" borderId="3" xfId="1" applyNumberFormat="1" applyFont="1" applyFill="1" applyBorder="1" applyAlignment="1">
      <alignment horizontal="left" vertical="center" wrapText="1"/>
    </xf>
    <xf numFmtId="3" fontId="8" fillId="0" borderId="12" xfId="1" applyNumberFormat="1" applyFont="1" applyFill="1" applyBorder="1" applyAlignment="1">
      <alignment horizontal="left" vertical="center" wrapText="1"/>
    </xf>
    <xf numFmtId="3" fontId="8" fillId="0" borderId="12" xfId="1" applyNumberFormat="1" applyFont="1" applyFill="1" applyBorder="1" applyAlignment="1">
      <alignment horizontal="center" vertical="center" wrapText="1"/>
    </xf>
    <xf numFmtId="17" fontId="7" fillId="0" borderId="1" xfId="1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3" fontId="31" fillId="13" borderId="1" xfId="1" applyNumberFormat="1" applyFont="1" applyFill="1" applyBorder="1" applyAlignment="1">
      <alignment horizontal="center" vertical="center"/>
    </xf>
    <xf numFmtId="3" fontId="31" fillId="13" borderId="2" xfId="1" applyNumberFormat="1" applyFont="1" applyFill="1" applyBorder="1" applyAlignment="1">
      <alignment horizontal="center" vertical="center"/>
    </xf>
    <xf numFmtId="3" fontId="8" fillId="13" borderId="1" xfId="1" applyNumberFormat="1" applyFont="1" applyFill="1" applyBorder="1" applyAlignment="1">
      <alignment horizontal="center" vertical="center"/>
    </xf>
    <xf numFmtId="3" fontId="8" fillId="13" borderId="3" xfId="1" applyNumberFormat="1" applyFont="1" applyFill="1" applyBorder="1" applyAlignment="1">
      <alignment horizontal="center" vertical="center"/>
    </xf>
    <xf numFmtId="3" fontId="31" fillId="13" borderId="3" xfId="1" applyNumberFormat="1" applyFont="1" applyFill="1" applyBorder="1" applyAlignment="1">
      <alignment horizontal="center" vertical="center"/>
    </xf>
    <xf numFmtId="3" fontId="8" fillId="13" borderId="4" xfId="1" applyNumberFormat="1" applyFont="1" applyFill="1" applyBorder="1" applyAlignment="1">
      <alignment horizontal="center" vertical="center"/>
    </xf>
    <xf numFmtId="3" fontId="31" fillId="4" borderId="2" xfId="1" applyNumberFormat="1" applyFont="1" applyFill="1" applyBorder="1" applyAlignment="1">
      <alignment horizontal="center" vertical="center"/>
    </xf>
    <xf numFmtId="3" fontId="6" fillId="5" borderId="1" xfId="1" applyNumberFormat="1" applyFont="1" applyFill="1" applyBorder="1" applyAlignment="1">
      <alignment horizontal="center" vertical="center"/>
    </xf>
    <xf numFmtId="3" fontId="11" fillId="13" borderId="1" xfId="1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31" fillId="7" borderId="1" xfId="1" applyNumberFormat="1" applyFont="1" applyFill="1" applyBorder="1" applyAlignment="1">
      <alignment horizontal="center" vertical="center"/>
    </xf>
    <xf numFmtId="0" fontId="21" fillId="3" borderId="1" xfId="1" applyFont="1" applyFill="1" applyBorder="1" applyAlignment="1">
      <alignment horizontal="center" vertical="center" wrapText="1"/>
    </xf>
    <xf numFmtId="0" fontId="85" fillId="0" borderId="0" xfId="0" applyFont="1"/>
    <xf numFmtId="3" fontId="55" fillId="0" borderId="0" xfId="0" applyNumberFormat="1" applyFont="1"/>
    <xf numFmtId="3" fontId="86" fillId="0" borderId="0" xfId="0" applyNumberFormat="1" applyFont="1"/>
    <xf numFmtId="17" fontId="6" fillId="0" borderId="0" xfId="1" applyNumberFormat="1" applyFont="1" applyFill="1" applyBorder="1" applyAlignment="1"/>
    <xf numFmtId="3" fontId="6" fillId="14" borderId="0" xfId="1" applyNumberFormat="1" applyFont="1" applyFill="1" applyBorder="1" applyAlignment="1"/>
    <xf numFmtId="0" fontId="0" fillId="0" borderId="7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3" fontId="43" fillId="8" borderId="0" xfId="1" applyNumberFormat="1" applyFont="1" applyFill="1" applyBorder="1" applyAlignment="1"/>
    <xf numFmtId="3" fontId="6" fillId="15" borderId="0" xfId="1" applyNumberFormat="1" applyFont="1" applyFill="1" applyBorder="1" applyAlignment="1"/>
    <xf numFmtId="3" fontId="31" fillId="13" borderId="6" xfId="1" applyNumberFormat="1" applyFont="1" applyFill="1" applyBorder="1" applyAlignment="1">
      <alignment horizontal="center" vertical="center"/>
    </xf>
    <xf numFmtId="3" fontId="31" fillId="0" borderId="25" xfId="1" applyNumberFormat="1" applyFont="1" applyFill="1" applyBorder="1" applyAlignment="1">
      <alignment horizontal="center" vertical="center"/>
    </xf>
    <xf numFmtId="0" fontId="72" fillId="0" borderId="3" xfId="1" applyFont="1" applyFill="1" applyBorder="1" applyAlignment="1">
      <alignment vertical="center"/>
    </xf>
    <xf numFmtId="3" fontId="10" fillId="4" borderId="1" xfId="1" applyNumberFormat="1" applyFont="1" applyFill="1" applyBorder="1" applyAlignment="1">
      <alignment horizontal="center" vertical="center"/>
    </xf>
    <xf numFmtId="3" fontId="31" fillId="0" borderId="0" xfId="1" applyNumberFormat="1" applyFont="1" applyFill="1" applyBorder="1" applyAlignment="1">
      <alignment horizontal="center" vertical="center" wrapText="1"/>
    </xf>
    <xf numFmtId="3" fontId="18" fillId="0" borderId="1" xfId="1" applyNumberFormat="1" applyFont="1" applyFill="1" applyBorder="1" applyAlignment="1">
      <alignment horizontal="center" vertical="center"/>
    </xf>
    <xf numFmtId="3" fontId="8" fillId="16" borderId="1" xfId="1" applyNumberFormat="1" applyFont="1" applyFill="1" applyBorder="1" applyAlignment="1">
      <alignment horizontal="center" vertical="center"/>
    </xf>
    <xf numFmtId="3" fontId="10" fillId="0" borderId="3" xfId="1" applyNumberFormat="1" applyFont="1" applyFill="1" applyBorder="1" applyAlignment="1">
      <alignment horizontal="left" vertical="center"/>
    </xf>
    <xf numFmtId="3" fontId="10" fillId="0" borderId="3" xfId="1" applyNumberFormat="1" applyFont="1" applyFill="1" applyBorder="1" applyAlignment="1">
      <alignment horizontal="center" vertical="center"/>
    </xf>
    <xf numFmtId="3" fontId="30" fillId="0" borderId="4" xfId="1" applyNumberFormat="1" applyFont="1" applyFill="1" applyBorder="1" applyAlignment="1">
      <alignment horizontal="left" vertical="center" wrapText="1"/>
    </xf>
    <xf numFmtId="3" fontId="10" fillId="0" borderId="4" xfId="1" applyNumberFormat="1" applyFont="1" applyFill="1" applyBorder="1" applyAlignment="1">
      <alignment horizontal="left" vertical="center" wrapText="1"/>
    </xf>
    <xf numFmtId="0" fontId="35" fillId="0" borderId="1" xfId="0" applyFont="1" applyFill="1" applyBorder="1" applyAlignment="1">
      <alignment horizontal="left" vertical="center" wrapText="1"/>
    </xf>
    <xf numFmtId="10" fontId="8" fillId="0" borderId="3" xfId="1" applyNumberFormat="1" applyFont="1" applyFill="1" applyBorder="1" applyAlignment="1">
      <alignment horizontal="center" vertical="center"/>
    </xf>
    <xf numFmtId="3" fontId="83" fillId="0" borderId="3" xfId="1" applyNumberFormat="1" applyFont="1" applyFill="1" applyBorder="1" applyAlignment="1">
      <alignment horizontal="center" vertical="center"/>
    </xf>
    <xf numFmtId="3" fontId="6" fillId="0" borderId="0" xfId="0" applyNumberFormat="1" applyFont="1" applyFill="1"/>
    <xf numFmtId="0" fontId="8" fillId="0" borderId="12" xfId="1" applyFont="1" applyFill="1" applyBorder="1" applyAlignment="1">
      <alignment horizontal="left" vertical="center"/>
    </xf>
    <xf numFmtId="3" fontId="31" fillId="0" borderId="12" xfId="1" applyNumberFormat="1" applyFont="1" applyFill="1" applyBorder="1" applyAlignment="1">
      <alignment horizontal="center" vertical="center"/>
    </xf>
    <xf numFmtId="3" fontId="30" fillId="0" borderId="2" xfId="1" applyNumberFormat="1" applyFont="1" applyFill="1" applyBorder="1" applyAlignment="1">
      <alignment horizontal="left" vertical="center" wrapText="1"/>
    </xf>
    <xf numFmtId="3" fontId="30" fillId="0" borderId="6" xfId="1" applyNumberFormat="1" applyFont="1" applyFill="1" applyBorder="1" applyAlignment="1">
      <alignment horizontal="left" vertical="center" wrapText="1"/>
    </xf>
    <xf numFmtId="0" fontId="87" fillId="3" borderId="20" xfId="1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vertical="center" wrapText="1"/>
    </xf>
    <xf numFmtId="0" fontId="58" fillId="0" borderId="3" xfId="0" applyFont="1" applyFill="1" applyBorder="1" applyAlignment="1"/>
    <xf numFmtId="3" fontId="8" fillId="0" borderId="6" xfId="1" applyNumberFormat="1" applyFont="1" applyFill="1" applyBorder="1" applyAlignment="1">
      <alignment horizontal="center" vertical="center"/>
    </xf>
    <xf numFmtId="17" fontId="5" fillId="0" borderId="25" xfId="1" applyNumberFormat="1" applyFont="1" applyFill="1" applyBorder="1" applyAlignment="1">
      <alignment horizontal="center" vertical="center"/>
    </xf>
    <xf numFmtId="3" fontId="82" fillId="0" borderId="3" xfId="1" applyNumberFormat="1" applyFont="1" applyFill="1" applyBorder="1" applyAlignment="1">
      <alignment horizontal="center" vertical="center"/>
    </xf>
    <xf numFmtId="0" fontId="58" fillId="0" borderId="0" xfId="0" applyFont="1" applyBorder="1" applyAlignment="1"/>
    <xf numFmtId="0" fontId="58" fillId="0" borderId="0" xfId="0" applyFont="1" applyAlignment="1"/>
    <xf numFmtId="0" fontId="0" fillId="4" borderId="3" xfId="0" applyFill="1" applyBorder="1" applyAlignment="1">
      <alignment horizontal="center"/>
    </xf>
    <xf numFmtId="0" fontId="58" fillId="4" borderId="3" xfId="0" applyFont="1" applyFill="1" applyBorder="1" applyAlignment="1">
      <alignment horizontal="center"/>
    </xf>
    <xf numFmtId="0" fontId="87" fillId="0" borderId="20" xfId="1" applyFont="1" applyFill="1" applyBorder="1" applyAlignment="1">
      <alignment vertical="center" wrapText="1"/>
    </xf>
    <xf numFmtId="0" fontId="0" fillId="0" borderId="9" xfId="0" applyFill="1" applyBorder="1" applyAlignment="1"/>
    <xf numFmtId="3" fontId="8" fillId="0" borderId="3" xfId="1" applyNumberFormat="1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wrapText="1"/>
    </xf>
    <xf numFmtId="0" fontId="6" fillId="0" borderId="1" xfId="0" applyFont="1" applyFill="1" applyBorder="1" applyAlignment="1">
      <alignment wrapText="1"/>
    </xf>
    <xf numFmtId="0" fontId="6" fillId="0" borderId="0" xfId="0" applyFont="1" applyFill="1" applyAlignment="1">
      <alignment wrapText="1"/>
    </xf>
    <xf numFmtId="0" fontId="18" fillId="0" borderId="4" xfId="0" applyFont="1" applyFill="1" applyBorder="1" applyAlignment="1"/>
    <xf numFmtId="0" fontId="73" fillId="0" borderId="1" xfId="0" applyFont="1" applyFill="1" applyBorder="1" applyAlignment="1">
      <alignment vertical="center" wrapText="1"/>
    </xf>
    <xf numFmtId="0" fontId="56" fillId="0" borderId="0" xfId="0" applyFont="1" applyFill="1" applyAlignment="1">
      <alignment wrapText="1"/>
    </xf>
    <xf numFmtId="0" fontId="72" fillId="0" borderId="1" xfId="1" applyFont="1" applyFill="1" applyBorder="1" applyAlignment="1">
      <alignment horizontal="left" vertical="center" wrapText="1"/>
    </xf>
    <xf numFmtId="0" fontId="9" fillId="0" borderId="7" xfId="1" applyFont="1" applyFill="1" applyBorder="1" applyAlignment="1">
      <alignment horizontal="left" vertical="center" wrapText="1"/>
    </xf>
    <xf numFmtId="3" fontId="8" fillId="5" borderId="3" xfId="1" applyNumberFormat="1" applyFont="1" applyFill="1" applyBorder="1" applyAlignment="1">
      <alignment horizontal="center" vertical="center"/>
    </xf>
    <xf numFmtId="0" fontId="67" fillId="3" borderId="1" xfId="0" applyFont="1" applyFill="1" applyBorder="1" applyAlignment="1">
      <alignment horizontal="center" vertical="center"/>
    </xf>
    <xf numFmtId="0" fontId="21" fillId="3" borderId="1" xfId="1" applyFont="1" applyFill="1" applyBorder="1" applyAlignment="1">
      <alignment horizontal="center" vertical="center" wrapText="1"/>
    </xf>
    <xf numFmtId="3" fontId="8" fillId="7" borderId="3" xfId="1" applyNumberFormat="1" applyFont="1" applyFill="1" applyBorder="1" applyAlignment="1">
      <alignment horizontal="left" vertical="center" wrapText="1"/>
    </xf>
    <xf numFmtId="3" fontId="8" fillId="7" borderId="0" xfId="1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1" xfId="0" applyFill="1" applyBorder="1"/>
    <xf numFmtId="3" fontId="24" fillId="0" borderId="2" xfId="1" applyNumberFormat="1" applyFont="1" applyFill="1" applyBorder="1" applyAlignment="1">
      <alignment horizontal="right"/>
    </xf>
    <xf numFmtId="3" fontId="3" fillId="0" borderId="3" xfId="1" applyNumberFormat="1" applyFont="1" applyFill="1" applyBorder="1" applyAlignment="1">
      <alignment horizontal="right"/>
    </xf>
    <xf numFmtId="3" fontId="24" fillId="0" borderId="3" xfId="1" applyNumberFormat="1" applyFont="1" applyFill="1" applyBorder="1" applyAlignment="1">
      <alignment horizontal="right"/>
    </xf>
    <xf numFmtId="3" fontId="25" fillId="0" borderId="3" xfId="1" applyNumberFormat="1" applyFont="1" applyFill="1" applyBorder="1" applyAlignment="1">
      <alignment horizontal="right"/>
    </xf>
    <xf numFmtId="0" fontId="88" fillId="3" borderId="1" xfId="1" applyFont="1" applyFill="1" applyBorder="1" applyAlignment="1">
      <alignment horizontal="left"/>
    </xf>
    <xf numFmtId="0" fontId="22" fillId="3" borderId="1" xfId="1" applyFont="1" applyFill="1" applyBorder="1" applyAlignment="1">
      <alignment horizontal="center" vertical="center"/>
    </xf>
    <xf numFmtId="0" fontId="21" fillId="3" borderId="25" xfId="1" applyFont="1" applyFill="1" applyBorder="1" applyAlignment="1">
      <alignment horizontal="center" vertical="center" wrapText="1"/>
    </xf>
    <xf numFmtId="0" fontId="21" fillId="3" borderId="9" xfId="1" applyFont="1" applyFill="1" applyBorder="1" applyAlignment="1">
      <alignment horizontal="center" vertical="center" wrapText="1"/>
    </xf>
    <xf numFmtId="0" fontId="21" fillId="3" borderId="3" xfId="1" applyFont="1" applyFill="1" applyBorder="1" applyAlignment="1">
      <alignment horizontal="center" vertical="center" wrapText="1"/>
    </xf>
    <xf numFmtId="0" fontId="21" fillId="3" borderId="23" xfId="1" applyFont="1" applyFill="1" applyBorder="1" applyAlignment="1">
      <alignment horizontal="center" vertical="center" wrapText="1"/>
    </xf>
    <xf numFmtId="0" fontId="21" fillId="3" borderId="21" xfId="1" applyFont="1" applyFill="1" applyBorder="1" applyAlignment="1">
      <alignment horizontal="center" vertical="center" wrapText="1"/>
    </xf>
    <xf numFmtId="0" fontId="21" fillId="3" borderId="24" xfId="1" applyFont="1" applyFill="1" applyBorder="1" applyAlignment="1">
      <alignment horizontal="center" vertical="center" wrapText="1"/>
    </xf>
    <xf numFmtId="0" fontId="79" fillId="0" borderId="0" xfId="0" applyFont="1" applyAlignment="1">
      <alignment horizontal="center"/>
    </xf>
    <xf numFmtId="0" fontId="79" fillId="0" borderId="0" xfId="0" applyFont="1" applyAlignment="1">
      <alignment horizontal="center" vertical="center"/>
    </xf>
    <xf numFmtId="0" fontId="81" fillId="0" borderId="0" xfId="0" applyFont="1" applyAlignment="1">
      <alignment horizontal="center"/>
    </xf>
    <xf numFmtId="0" fontId="79" fillId="0" borderId="0" xfId="0" applyFont="1" applyAlignment="1">
      <alignment horizontal="center" vertical="center" wrapText="1"/>
    </xf>
    <xf numFmtId="0" fontId="80" fillId="0" borderId="0" xfId="0" applyFont="1" applyAlignment="1">
      <alignment horizontal="center" vertical="center" wrapText="1"/>
    </xf>
    <xf numFmtId="3" fontId="8" fillId="0" borderId="1" xfId="0" applyNumberFormat="1" applyFont="1" applyFill="1" applyBorder="1" applyAlignment="1">
      <alignment horizontal="left" vertical="center"/>
    </xf>
    <xf numFmtId="0" fontId="26" fillId="3" borderId="13" xfId="1" applyFont="1" applyFill="1" applyBorder="1" applyAlignment="1">
      <alignment horizontal="center"/>
    </xf>
    <xf numFmtId="0" fontId="26" fillId="3" borderId="0" xfId="1" applyFont="1" applyFill="1" applyBorder="1" applyAlignment="1">
      <alignment horizontal="center"/>
    </xf>
    <xf numFmtId="0" fontId="26" fillId="3" borderId="1" xfId="1" applyFont="1" applyFill="1" applyBorder="1" applyAlignment="1">
      <alignment horizontal="center"/>
    </xf>
    <xf numFmtId="0" fontId="60" fillId="0" borderId="0" xfId="0" applyFont="1" applyAlignment="1">
      <alignment horizontal="center"/>
    </xf>
    <xf numFmtId="0" fontId="61" fillId="10" borderId="15" xfId="0" applyFont="1" applyFill="1" applyBorder="1" applyAlignment="1">
      <alignment horizontal="center" vertical="center"/>
    </xf>
    <xf numFmtId="0" fontId="61" fillId="10" borderId="16" xfId="0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left" vertical="center"/>
    </xf>
    <xf numFmtId="0" fontId="67" fillId="3" borderId="22" xfId="0" applyFont="1" applyFill="1" applyBorder="1" applyAlignment="1">
      <alignment horizontal="left" vertical="center"/>
    </xf>
    <xf numFmtId="0" fontId="67" fillId="3" borderId="9" xfId="0" applyFont="1" applyFill="1" applyBorder="1" applyAlignment="1">
      <alignment horizontal="left" vertical="center"/>
    </xf>
    <xf numFmtId="0" fontId="67" fillId="3" borderId="3" xfId="0" applyFont="1" applyFill="1" applyBorder="1" applyAlignment="1">
      <alignment horizontal="left" vertical="center"/>
    </xf>
    <xf numFmtId="0" fontId="67" fillId="11" borderId="1" xfId="0" applyFont="1" applyFill="1" applyBorder="1" applyAlignment="1">
      <alignment horizontal="center" vertical="center"/>
    </xf>
    <xf numFmtId="0" fontId="67" fillId="3" borderId="1" xfId="0" applyFont="1" applyFill="1" applyBorder="1" applyAlignment="1">
      <alignment horizontal="center" vertical="center"/>
    </xf>
    <xf numFmtId="0" fontId="67" fillId="3" borderId="1" xfId="0" applyFont="1" applyFill="1" applyBorder="1" applyAlignment="1">
      <alignment horizontal="center"/>
    </xf>
    <xf numFmtId="0" fontId="21" fillId="3" borderId="1" xfId="1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42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67" fillId="0" borderId="1" xfId="0" applyFont="1" applyFill="1" applyBorder="1" applyAlignment="1">
      <alignment horizontal="center"/>
    </xf>
    <xf numFmtId="3" fontId="8" fillId="0" borderId="1" xfId="1" applyNumberFormat="1" applyFont="1" applyFill="1" applyBorder="1" applyAlignment="1">
      <alignment horizontal="right"/>
    </xf>
  </cellXfs>
  <cellStyles count="13">
    <cellStyle name="Hipervínculo" xfId="10" builtinId="8"/>
    <cellStyle name="Millares" xfId="11" builtinId="3"/>
    <cellStyle name="Millares [0]" xfId="12" builtinId="6"/>
    <cellStyle name="Millares [0] 2" xfId="8"/>
    <cellStyle name="Millares 2" xfId="2"/>
    <cellStyle name="Millares 2 2" xfId="5"/>
    <cellStyle name="Millares 4" xfId="4"/>
    <cellStyle name="Normal" xfId="0" builtinId="0"/>
    <cellStyle name="Normal 2" xfId="1"/>
    <cellStyle name="Normal 2 2" xfId="6"/>
    <cellStyle name="Normal 3" xfId="3"/>
    <cellStyle name="Normal 4" xfId="7"/>
    <cellStyle name="Normal 5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NUL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547689</xdr:colOff>
      <xdr:row>0</xdr:row>
      <xdr:rowOff>11907</xdr:rowOff>
    </xdr:from>
    <xdr:to>
      <xdr:col>42</xdr:col>
      <xdr:colOff>82889</xdr:colOff>
      <xdr:row>0</xdr:row>
      <xdr:rowOff>690563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7220" y="11907"/>
          <a:ext cx="1618704" cy="678656"/>
        </a:xfrm>
        <a:prstGeom prst="rect">
          <a:avLst/>
        </a:prstGeom>
      </xdr:spPr>
    </xdr:pic>
    <xdr:clientData/>
  </xdr:twoCellAnchor>
  <xdr:twoCellAnchor editAs="oneCell">
    <xdr:from>
      <xdr:col>59</xdr:col>
      <xdr:colOff>0</xdr:colOff>
      <xdr:row>0</xdr:row>
      <xdr:rowOff>209551</xdr:rowOff>
    </xdr:from>
    <xdr:to>
      <xdr:col>63</xdr:col>
      <xdr:colOff>729331</xdr:colOff>
      <xdr:row>0</xdr:row>
      <xdr:rowOff>215267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03550" y="209551"/>
          <a:ext cx="2250949" cy="5716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0</xdr:row>
      <xdr:rowOff>78582</xdr:rowOff>
    </xdr:from>
    <xdr:to>
      <xdr:col>0</xdr:col>
      <xdr:colOff>1078826</xdr:colOff>
      <xdr:row>1</xdr:row>
      <xdr:rowOff>273845</xdr:rowOff>
    </xdr:to>
    <xdr:pic>
      <xdr:nvPicPr>
        <xdr:cNvPr id="4" name="Imagen 3" descr="muvh_gobierno_slogan-01">
          <a:extLst>
            <a:ext uri="{FF2B5EF4-FFF2-40B4-BE49-F238E27FC236}">
              <a16:creationId xmlns="" xmlns:a16="http://schemas.microsoft.com/office/drawing/2014/main" id="{B0D93129-1947-4219-8562-3CB6C09CE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27"/>
        <a:stretch>
          <a:fillRect/>
        </a:stretch>
      </xdr:blipFill>
      <xdr:spPr bwMode="auto">
        <a:xfrm>
          <a:off x="76201" y="78582"/>
          <a:ext cx="1002625" cy="1004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2286001</xdr:colOff>
      <xdr:row>0</xdr:row>
      <xdr:rowOff>0</xdr:rowOff>
    </xdr:from>
    <xdr:to>
      <xdr:col>66</xdr:col>
      <xdr:colOff>276225</xdr:colOff>
      <xdr:row>1</xdr:row>
      <xdr:rowOff>76200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5801" y="0"/>
          <a:ext cx="2562224" cy="914400"/>
        </a:xfrm>
        <a:prstGeom prst="rect">
          <a:avLst/>
        </a:prstGeom>
      </xdr:spPr>
    </xdr:pic>
    <xdr:clientData/>
  </xdr:twoCellAnchor>
  <xdr:twoCellAnchor editAs="oneCell">
    <xdr:from>
      <xdr:col>67</xdr:col>
      <xdr:colOff>466725</xdr:colOff>
      <xdr:row>0</xdr:row>
      <xdr:rowOff>9526</xdr:rowOff>
    </xdr:from>
    <xdr:to>
      <xdr:col>70</xdr:col>
      <xdr:colOff>400050</xdr:colOff>
      <xdr:row>1</xdr:row>
      <xdr:rowOff>200026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16775" y="9526"/>
          <a:ext cx="2219325" cy="1028700"/>
        </a:xfrm>
        <a:prstGeom prst="rect">
          <a:avLst/>
        </a:prstGeom>
      </xdr:spPr>
    </xdr:pic>
    <xdr:clientData/>
  </xdr:twoCellAnchor>
  <xdr:twoCellAnchor editAs="oneCell">
    <xdr:from>
      <xdr:col>60</xdr:col>
      <xdr:colOff>314325</xdr:colOff>
      <xdr:row>0</xdr:row>
      <xdr:rowOff>0</xdr:rowOff>
    </xdr:from>
    <xdr:to>
      <xdr:col>64</xdr:col>
      <xdr:colOff>79629</xdr:colOff>
      <xdr:row>1</xdr:row>
      <xdr:rowOff>128016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0125" y="0"/>
          <a:ext cx="2813304" cy="966216"/>
        </a:xfrm>
        <a:prstGeom prst="rect">
          <a:avLst/>
        </a:prstGeom>
      </xdr:spPr>
    </xdr:pic>
    <xdr:clientData/>
  </xdr:twoCellAnchor>
  <xdr:twoCellAnchor editAs="oneCell">
    <xdr:from>
      <xdr:col>7</xdr:col>
      <xdr:colOff>516949</xdr:colOff>
      <xdr:row>0</xdr:row>
      <xdr:rowOff>0</xdr:rowOff>
    </xdr:from>
    <xdr:to>
      <xdr:col>11</xdr:col>
      <xdr:colOff>31173</xdr:colOff>
      <xdr:row>0</xdr:row>
      <xdr:rowOff>914400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0949" y="0"/>
          <a:ext cx="2562224" cy="91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559378</xdr:colOff>
      <xdr:row>0</xdr:row>
      <xdr:rowOff>0</xdr:rowOff>
    </xdr:from>
    <xdr:to>
      <xdr:col>18</xdr:col>
      <xdr:colOff>492703</xdr:colOff>
      <xdr:row>1</xdr:row>
      <xdr:rowOff>58882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9378" y="0"/>
          <a:ext cx="22193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536864</xdr:colOff>
      <xdr:row>0</xdr:row>
      <xdr:rowOff>0</xdr:rowOff>
    </xdr:from>
    <xdr:to>
      <xdr:col>4</xdr:col>
      <xdr:colOff>302168</xdr:colOff>
      <xdr:row>0</xdr:row>
      <xdr:rowOff>966216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864" y="0"/>
          <a:ext cx="2813304" cy="9662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984719</xdr:colOff>
      <xdr:row>0</xdr:row>
      <xdr:rowOff>112760</xdr:rowOff>
    </xdr:from>
    <xdr:to>
      <xdr:col>35</xdr:col>
      <xdr:colOff>673719</xdr:colOff>
      <xdr:row>0</xdr:row>
      <xdr:rowOff>791416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3425" y="112760"/>
          <a:ext cx="1627618" cy="678656"/>
        </a:xfrm>
        <a:prstGeom prst="rect">
          <a:avLst/>
        </a:prstGeom>
      </xdr:spPr>
    </xdr:pic>
    <xdr:clientData/>
  </xdr:twoCellAnchor>
  <xdr:twoCellAnchor editAs="oneCell">
    <xdr:from>
      <xdr:col>57</xdr:col>
      <xdr:colOff>0</xdr:colOff>
      <xdr:row>0</xdr:row>
      <xdr:rowOff>209551</xdr:rowOff>
    </xdr:from>
    <xdr:to>
      <xdr:col>60</xdr:col>
      <xdr:colOff>727650</xdr:colOff>
      <xdr:row>0</xdr:row>
      <xdr:rowOff>215267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37275" y="209551"/>
          <a:ext cx="2253331" cy="5716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0</xdr:row>
      <xdr:rowOff>78582</xdr:rowOff>
    </xdr:from>
    <xdr:to>
      <xdr:col>0</xdr:col>
      <xdr:colOff>1078826</xdr:colOff>
      <xdr:row>1</xdr:row>
      <xdr:rowOff>273845</xdr:rowOff>
    </xdr:to>
    <xdr:pic>
      <xdr:nvPicPr>
        <xdr:cNvPr id="4" name="Imagen 3" descr="muvh_gobierno_slogan-01">
          <a:extLst>
            <a:ext uri="{FF2B5EF4-FFF2-40B4-BE49-F238E27FC236}">
              <a16:creationId xmlns="" xmlns:a16="http://schemas.microsoft.com/office/drawing/2014/main" id="{B0D93129-1947-4219-8562-3CB6C09CE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27"/>
        <a:stretch>
          <a:fillRect/>
        </a:stretch>
      </xdr:blipFill>
      <xdr:spPr bwMode="auto">
        <a:xfrm>
          <a:off x="76201" y="78582"/>
          <a:ext cx="983575" cy="1004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1722%20de%20fecha%2023%20de%20julio%20del%202018.pdf" TargetMode="External"/><Relationship Id="rId13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1887%20de%20fecha%2008-08-18maskoy%20de%20Riacho%20Mosquito%20Anulaci&#243;n%20de%20svs.pdf" TargetMode="External"/><Relationship Id="rId18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146%2022-01-18%20Pyto.%20Nich&#180;%20a%20Toyis.pdf" TargetMode="External"/><Relationship Id="rId3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597%20de%20fecha%2005%20de%20abril%20del%202019.pdf" TargetMode="External"/><Relationship Id="rId21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%20560-18%2016-03,%20Pyto.Com.%20Ind.%20Chamacoco%20Exclusi&#243;n%20de%20beneficiario..pdf" TargetMode="External"/><Relationship Id="rId7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1672%20de%20fecha%2016%20de%20julio%20del%202018.pdf" TargetMode="External"/><Relationship Id="rId12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2933%20de%20fecha%2018-12-17%20Exc.%20y%20Disminuci&#243;n%20del%20Pyto.pdf" TargetMode="External"/><Relationship Id="rId17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629%20de%20fecha%2008%20de%20abril%20del%202019.pdf" TargetMode="External"/><Relationship Id="rId25" Type="http://schemas.openxmlformats.org/officeDocument/2006/relationships/comments" Target="../comments1.xml"/><Relationship Id="rId2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%20473%20de%20fecha%2023-11-18%20Cmis.%20Senavitad%20de%20la%20Colonia%20Sta%20Lucia.pdf" TargetMode="External"/><Relationship Id="rId16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798%20de%20fecha%2013%20-05-19,Cerro%20Campi%20Exc.%20a%203%20benef.pdf" TargetMode="External"/><Relationship Id="rId20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%20327-18%2001-11%20Pyto.Territ.%20Soc.%20Virgen%20del%20Carmen%20Exclusi&#243;n%20de%202%20Benef.pdf" TargetMode="External"/><Relationship Id="rId1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801-16%20Y%201608-17%20Asoc.%20de%20Vec.%20Unidos%20del%20Asentamiento%20s.%20Jos&#233;" TargetMode="External"/><Relationship Id="rId6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1869%20de%20fecha%2007%20de%20agosto%20del%202018.pdf" TargetMode="External"/><Relationship Id="rId11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061%20de%20fecha%2009%20-01-19%20Anulaci&#243;n%20de%20Svs.pdf" TargetMode="External"/><Relationship Id="rId24" Type="http://schemas.openxmlformats.org/officeDocument/2006/relationships/vmlDrawing" Target="../drawings/vmlDrawing1.vml"/><Relationship Id="rId5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704%20de%20fecha%2023%20de%20abril%20del%202019.pdf" TargetMode="External"/><Relationship Id="rId15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803%20de%20fecha%2013-05-19%20Fortzaleza%20Exc.%20de%20benef.pdf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%201721%20de%20fecha%2023-07-18%20Villa%20del%20Maestro%20Exc.%20de%20Benf.pdf" TargetMode="External"/><Relationship Id="rId19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%201906-18-08-08,%20Comis.%20de%20Des.%20Asent.%20Luis%20Franco.pdf" TargetMode="External"/><Relationship Id="rId4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801-16%20Y%201608-17%20Asoc.%20de%20Vec.%20Unidos%20del%20Asentamiento%20s.%20Jos&#233;" TargetMode="External"/><Relationship Id="rId9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86;%201625%20de%20fecha%202%20de%20agosto%20del%202017.pdf" TargetMode="External"/><Relationship Id="rId14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843%20de%20fecha%2018-04-18%20San%20Jorge%20%20Exclusi&#243;n%20de%20benef.pdf" TargetMode="External"/><Relationship Id="rId22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1722%20de%20fecha%2023%20de%20julio%20del%202018.pdf" TargetMode="External"/><Relationship Id="rId13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1887%20de%20fecha%2008-08-18maskoy%20de%20Riacho%20Mosquito%20Anulaci&#243;n%20de%20svs.pdf" TargetMode="External"/><Relationship Id="rId18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146%2022-01-18%20Pyto.%20Nich&#180;%20a%20Toyis.pdf" TargetMode="External"/><Relationship Id="rId3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597%20de%20fecha%2005%20de%20abril%20del%202019.pdf" TargetMode="External"/><Relationship Id="rId21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%20560-18%2016-03,%20Pyto.Com.%20Ind.%20Chamacoco%20Exclusi&#243;n%20de%20beneficiario..pdf" TargetMode="External"/><Relationship Id="rId7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1672%20de%20fecha%2016%20de%20julio%20del%202018.pdf" TargetMode="External"/><Relationship Id="rId12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2933%20de%20fecha%2018-12-17%20Exc.%20y%20Disminuci&#243;n%20del%20Pyto.pdf" TargetMode="External"/><Relationship Id="rId17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629%20de%20fecha%2008%20de%20abril%20del%202019.pdf" TargetMode="External"/><Relationship Id="rId25" Type="http://schemas.openxmlformats.org/officeDocument/2006/relationships/comments" Target="../comments2.xml"/><Relationship Id="rId2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%20473%20de%20fecha%2023-11-18%20Cmis.%20Senavitad%20de%20la%20Colonia%20Sta%20Lucia.pdf" TargetMode="External"/><Relationship Id="rId16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798%20de%20fecha%2013%20-05-19,Cerro%20Campi%20Exc.%20a%203%20benef.pdf" TargetMode="External"/><Relationship Id="rId20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%20327-18%2001-11%20Pyto.Territ.%20Soc.%20Virgen%20del%20Carmen%20Exclusi&#243;n%20de%202%20Benef.pdf" TargetMode="External"/><Relationship Id="rId1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801-16%20Y%201608-17%20Asoc.%20de%20Vec.%20Unidos%20del%20Asentamiento%20s.%20Jos&#233;" TargetMode="External"/><Relationship Id="rId6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1869%20de%20fecha%2007%20de%20agosto%20del%202018.pdf" TargetMode="External"/><Relationship Id="rId11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061%20de%20fecha%2009%20-01-19%20Anulaci&#243;n%20de%20Svs.pdf" TargetMode="External"/><Relationship Id="rId24" Type="http://schemas.openxmlformats.org/officeDocument/2006/relationships/vmlDrawing" Target="../drawings/vmlDrawing2.vml"/><Relationship Id="rId5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704%20de%20fecha%2023%20de%20abril%20del%202019.pdf" TargetMode="External"/><Relationship Id="rId15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803%20de%20fecha%2013-05-19%20Fortzaleza%20Exc.%20de%20benef.pdf" TargetMode="External"/><Relationship Id="rId23" Type="http://schemas.openxmlformats.org/officeDocument/2006/relationships/drawing" Target="../drawings/drawing3.xml"/><Relationship Id="rId10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%201721%20de%20fecha%2023-07-18%20Villa%20del%20Maestro%20Exc.%20de%20Benf.pdf" TargetMode="External"/><Relationship Id="rId19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%201906-18-08-08,%20Comis.%20de%20Des.%20Asent.%20Luis%20Franco.pdf" TargetMode="External"/><Relationship Id="rId4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801-16%20Y%201608-17%20Asoc.%20de%20Vec.%20Unidos%20del%20Asentamiento%20s.%20Jos&#233;" TargetMode="External"/><Relationship Id="rId9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86;%201625%20de%20fecha%202%20de%20agosto%20del%202017.pdf" TargetMode="External"/><Relationship Id="rId14" Type="http://schemas.openxmlformats.org/officeDocument/2006/relationships/hyperlink" Target="file:///\\pc19669\..\AppData\Local\Microsoft\Windows\Desktop\archivos\Trabajo%202019\INFORME%20DE%20GESTI&#211;N%201ER%20SEMESTRE%202019\FONAVIS\RESOLUCION%20DE%20ANULACI&#211;N%20FONAVIS\Resolucion%20N&#176;%20843%20de%20fecha%2018-04-18%20San%20Jorge%20%20Exclusi&#243;n%20de%20benef.pdf" TargetMode="External"/><Relationship Id="rId22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BT1316"/>
  <sheetViews>
    <sheetView tabSelected="1" view="pageBreakPreview" topLeftCell="A4" zoomScaleNormal="100" zoomScaleSheetLayoutView="100" workbookViewId="0">
      <pane ySplit="3" topLeftCell="A7" activePane="bottomLeft" state="frozen"/>
      <selection activeCell="A4" sqref="A4"/>
      <selection pane="bottomLeft" activeCell="A5" sqref="A5:BH5"/>
    </sheetView>
  </sheetViews>
  <sheetFormatPr baseColWidth="10" defaultColWidth="11.42578125" defaultRowHeight="15"/>
  <cols>
    <col min="1" max="1" width="15.85546875" style="203" customWidth="1"/>
    <col min="2" max="2" width="20.85546875" style="203" customWidth="1"/>
    <col min="3" max="3" width="48" style="203" customWidth="1"/>
    <col min="4" max="4" width="35.140625" style="203" hidden="1" customWidth="1"/>
    <col min="5" max="5" width="11.5703125" style="203" hidden="1" customWidth="1"/>
    <col min="6" max="6" width="7.42578125" style="203" hidden="1" customWidth="1"/>
    <col min="7" max="7" width="5.140625" style="203" hidden="1" customWidth="1"/>
    <col min="8" max="8" width="5.7109375" style="203" customWidth="1"/>
    <col min="9" max="9" width="6.140625" style="203" customWidth="1"/>
    <col min="10" max="10" width="8.28515625" style="203" hidden="1" customWidth="1"/>
    <col min="11" max="11" width="5.5703125" style="203" hidden="1" customWidth="1"/>
    <col min="12" max="12" width="11.28515625" style="375" hidden="1" customWidth="1"/>
    <col min="13" max="13" width="13.7109375" style="375" hidden="1" customWidth="1"/>
    <col min="14" max="14" width="7.42578125" style="375" customWidth="1"/>
    <col min="15" max="15" width="7.28515625" style="375" customWidth="1"/>
    <col min="16" max="17" width="15.140625" style="203" hidden="1" customWidth="1"/>
    <col min="18" max="18" width="14.28515625" style="203" hidden="1" customWidth="1"/>
    <col min="19" max="19" width="11.28515625" style="203" hidden="1" customWidth="1"/>
    <col min="20" max="20" width="13.85546875" style="203" hidden="1" customWidth="1"/>
    <col min="21" max="21" width="14.42578125" style="631" hidden="1" customWidth="1"/>
    <col min="22" max="22" width="11.7109375" style="203" hidden="1" customWidth="1"/>
    <col min="23" max="23" width="14.28515625" style="203" hidden="1" customWidth="1"/>
    <col min="24" max="24" width="14.85546875" style="203" hidden="1" customWidth="1"/>
    <col min="25" max="25" width="13.7109375" style="203" hidden="1" customWidth="1"/>
    <col min="26" max="26" width="15.140625" style="203" hidden="1" customWidth="1"/>
    <col min="27" max="27" width="4.140625" style="203" hidden="1" customWidth="1"/>
    <col min="28" max="28" width="15.5703125" style="203" hidden="1" customWidth="1"/>
    <col min="29" max="29" width="10.7109375" style="203" hidden="1" customWidth="1"/>
    <col min="30" max="30" width="13.42578125" style="203" hidden="1" customWidth="1"/>
    <col min="31" max="31" width="4.140625" style="203" hidden="1" customWidth="1"/>
    <col min="32" max="32" width="14.7109375" style="203" hidden="1" customWidth="1"/>
    <col min="33" max="33" width="2.7109375" style="203" hidden="1" customWidth="1"/>
    <col min="34" max="34" width="11.5703125" style="203" hidden="1" customWidth="1"/>
    <col min="35" max="35" width="17.140625" style="203" hidden="1" customWidth="1"/>
    <col min="36" max="36" width="4.85546875" style="203" hidden="1" customWidth="1"/>
    <col min="37" max="37" width="14.28515625" style="203" hidden="1" customWidth="1"/>
    <col min="38" max="38" width="8.7109375" style="203" hidden="1" customWidth="1"/>
    <col min="39" max="39" width="8.140625" style="203" hidden="1" customWidth="1"/>
    <col min="40" max="44" width="7.7109375" style="375" bestFit="1" customWidth="1"/>
    <col min="45" max="45" width="6" style="375" customWidth="1"/>
    <col min="46" max="46" width="10" style="203" customWidth="1"/>
    <col min="47" max="47" width="11.42578125" style="203" customWidth="1"/>
    <col min="48" max="48" width="38.28515625" style="203" customWidth="1"/>
    <col min="49" max="55" width="11.42578125" style="203" hidden="1" customWidth="1"/>
    <col min="56" max="57" width="12.28515625" style="203" hidden="1" customWidth="1"/>
    <col min="58" max="58" width="12.7109375" style="203" hidden="1" customWidth="1"/>
    <col min="59" max="59" width="8.5703125" style="203" hidden="1" customWidth="1"/>
    <col min="60" max="60" width="11.28515625" style="203" hidden="1" customWidth="1"/>
    <col min="61" max="61" width="11.42578125" style="203" hidden="1" customWidth="1"/>
    <col min="62" max="16384" width="11.42578125" style="203"/>
  </cols>
  <sheetData>
    <row r="1" spans="1:61" ht="63.75" customHeight="1">
      <c r="A1" s="744" t="s">
        <v>1989</v>
      </c>
      <c r="B1" s="744"/>
      <c r="C1" s="744"/>
      <c r="D1" s="744"/>
      <c r="E1" s="744"/>
      <c r="F1" s="744"/>
      <c r="G1" s="744"/>
      <c r="H1" s="744"/>
      <c r="I1" s="744"/>
      <c r="J1" s="744"/>
      <c r="K1" s="744"/>
      <c r="L1" s="745"/>
      <c r="M1" s="745"/>
      <c r="N1" s="745"/>
      <c r="O1" s="745"/>
      <c r="P1" s="746"/>
      <c r="Q1" s="746"/>
      <c r="R1" s="746"/>
      <c r="S1" s="746"/>
      <c r="T1" s="746"/>
      <c r="U1" s="746"/>
      <c r="V1" s="746"/>
      <c r="W1" s="746"/>
      <c r="X1" s="746"/>
      <c r="Y1" s="746"/>
      <c r="Z1" s="746"/>
      <c r="AA1" s="746"/>
      <c r="AB1" s="746"/>
      <c r="AC1" s="746"/>
      <c r="AD1" s="746"/>
      <c r="AE1" s="746"/>
      <c r="AF1" s="746"/>
      <c r="AG1" s="746"/>
      <c r="AH1" s="746"/>
      <c r="AI1" s="746"/>
      <c r="AJ1" s="746"/>
      <c r="AK1" s="746"/>
      <c r="AL1" s="746"/>
      <c r="AM1" s="746"/>
      <c r="AN1" s="745"/>
      <c r="AO1" s="745"/>
      <c r="AP1" s="745"/>
      <c r="AQ1" s="745"/>
      <c r="AR1" s="745"/>
      <c r="AS1" s="745"/>
      <c r="AT1" s="744"/>
      <c r="AU1" s="744"/>
      <c r="AV1" s="744"/>
      <c r="AW1" s="746"/>
      <c r="AX1" s="746"/>
      <c r="AY1" s="746"/>
      <c r="AZ1" s="746"/>
      <c r="BA1" s="746"/>
      <c r="BB1" s="746"/>
      <c r="BC1" s="746"/>
      <c r="BD1" s="746"/>
      <c r="BE1" s="746"/>
      <c r="BF1" s="746"/>
      <c r="BG1" s="744"/>
    </row>
    <row r="2" spans="1:61" ht="51.75" customHeight="1">
      <c r="A2" s="747" t="s">
        <v>1455</v>
      </c>
      <c r="B2" s="747"/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  <c r="P2" s="748"/>
      <c r="Q2" s="748"/>
      <c r="R2" s="748"/>
      <c r="S2" s="748"/>
      <c r="T2" s="748"/>
      <c r="U2" s="748"/>
      <c r="V2" s="748"/>
      <c r="W2" s="748"/>
      <c r="X2" s="748"/>
      <c r="Y2" s="748"/>
      <c r="Z2" s="748"/>
      <c r="AA2" s="748"/>
      <c r="AB2" s="748"/>
      <c r="AC2" s="748"/>
      <c r="AD2" s="748"/>
      <c r="AE2" s="748"/>
      <c r="AF2" s="748"/>
      <c r="AG2" s="748"/>
      <c r="AH2" s="748"/>
      <c r="AI2" s="748"/>
      <c r="AJ2" s="748"/>
      <c r="AK2" s="748"/>
      <c r="AL2" s="748"/>
      <c r="AM2" s="748"/>
      <c r="AN2" s="747"/>
      <c r="AO2" s="747"/>
      <c r="AP2" s="747"/>
      <c r="AQ2" s="747"/>
      <c r="AR2" s="747"/>
      <c r="AS2" s="747"/>
      <c r="AT2" s="747"/>
      <c r="AU2" s="747"/>
      <c r="AV2" s="747"/>
      <c r="AW2" s="748"/>
      <c r="AX2" s="748"/>
      <c r="AY2" s="748"/>
      <c r="AZ2" s="748"/>
      <c r="BA2" s="748"/>
      <c r="BB2" s="748"/>
      <c r="BC2" s="748"/>
      <c r="BD2" s="748"/>
      <c r="BE2" s="748"/>
      <c r="BF2" s="748"/>
      <c r="BG2" s="747"/>
    </row>
    <row r="3" spans="1:61" ht="51.75" customHeight="1">
      <c r="A3" s="442" t="s">
        <v>2153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1"/>
      <c r="T3" s="441"/>
      <c r="U3" s="637"/>
      <c r="V3" s="441"/>
      <c r="W3" s="441"/>
      <c r="X3" s="441"/>
      <c r="Y3" s="441"/>
      <c r="Z3" s="441"/>
      <c r="AA3" s="441"/>
      <c r="AB3" s="441"/>
      <c r="AC3" s="441"/>
      <c r="AD3" s="441"/>
      <c r="AE3" s="441"/>
      <c r="AF3" s="441"/>
      <c r="AG3" s="441"/>
      <c r="AH3" s="441"/>
      <c r="AI3" s="441"/>
      <c r="AJ3" s="441"/>
      <c r="AK3" s="441"/>
      <c r="AL3" s="441"/>
      <c r="AM3" s="441"/>
      <c r="AN3" s="441"/>
      <c r="AO3" s="441"/>
      <c r="AP3" s="441"/>
      <c r="AQ3" s="441"/>
      <c r="AR3" s="441"/>
      <c r="AS3" s="441"/>
      <c r="AT3" s="441"/>
      <c r="AU3" s="441"/>
      <c r="AV3" s="441"/>
      <c r="AW3" s="441"/>
      <c r="AX3" s="441"/>
      <c r="AY3" s="441"/>
      <c r="AZ3" s="441"/>
      <c r="BA3" s="441"/>
      <c r="BB3" s="441"/>
      <c r="BC3" s="441"/>
      <c r="BD3" s="441"/>
      <c r="BE3" s="441"/>
      <c r="BF3" s="441"/>
      <c r="BG3" s="441"/>
      <c r="BH3" s="441"/>
    </row>
    <row r="4" spans="1:61" ht="51.75" customHeight="1">
      <c r="A4" s="441"/>
      <c r="B4" s="441"/>
      <c r="C4" s="441"/>
      <c r="D4" s="441"/>
      <c r="E4" s="441"/>
      <c r="F4" s="441"/>
      <c r="G4" s="441"/>
      <c r="H4" s="441"/>
      <c r="I4" s="441"/>
      <c r="J4" s="441"/>
      <c r="K4" s="441"/>
      <c r="L4" s="441"/>
      <c r="M4" s="441"/>
      <c r="N4" s="441"/>
      <c r="O4" s="441"/>
      <c r="P4" s="441"/>
      <c r="Q4" s="441"/>
      <c r="R4" s="441"/>
      <c r="S4" s="441"/>
      <c r="T4" s="441"/>
      <c r="U4" s="637"/>
      <c r="V4" s="441"/>
      <c r="W4" s="441"/>
      <c r="X4" s="441"/>
      <c r="Y4" s="441"/>
      <c r="Z4" s="441"/>
      <c r="AA4" s="441"/>
      <c r="AB4" s="441"/>
      <c r="AC4" s="441"/>
      <c r="AD4" s="441"/>
      <c r="AE4" s="441"/>
      <c r="AF4" s="441"/>
      <c r="AG4" s="441"/>
      <c r="AH4" s="441"/>
      <c r="AI4" s="441"/>
      <c r="AJ4" s="441"/>
      <c r="AK4" s="441"/>
      <c r="AL4" s="441"/>
      <c r="AM4" s="441"/>
      <c r="AN4" s="441"/>
      <c r="AO4" s="441"/>
      <c r="AP4" s="441"/>
      <c r="AQ4" s="441"/>
      <c r="AR4" s="441"/>
      <c r="AS4" s="441"/>
      <c r="AT4" s="441"/>
      <c r="AU4" s="441"/>
      <c r="AV4" s="441"/>
      <c r="AW4" s="441"/>
      <c r="AX4" s="441"/>
      <c r="AY4" s="441"/>
      <c r="AZ4" s="441"/>
      <c r="BA4" s="441"/>
      <c r="BB4" s="441"/>
      <c r="BC4" s="441"/>
      <c r="BD4" s="441"/>
      <c r="BE4" s="441"/>
      <c r="BF4" s="441"/>
      <c r="BG4" s="441"/>
      <c r="BH4" s="441"/>
    </row>
    <row r="5" spans="1:61" ht="16.5" customHeight="1">
      <c r="A5" s="738" t="s">
        <v>2438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  <c r="L5" s="738"/>
      <c r="M5" s="738"/>
      <c r="N5" s="738"/>
      <c r="O5" s="738"/>
      <c r="P5" s="738"/>
      <c r="Q5" s="738"/>
      <c r="R5" s="738"/>
      <c r="S5" s="738"/>
      <c r="T5" s="738"/>
      <c r="U5" s="738"/>
      <c r="V5" s="738"/>
      <c r="W5" s="738"/>
      <c r="X5" s="738"/>
      <c r="Y5" s="738"/>
      <c r="Z5" s="738"/>
      <c r="AA5" s="738"/>
      <c r="AB5" s="738"/>
      <c r="AC5" s="738"/>
      <c r="AD5" s="738"/>
      <c r="AE5" s="738"/>
      <c r="AF5" s="738"/>
      <c r="AG5" s="738"/>
      <c r="AH5" s="738"/>
      <c r="AI5" s="738"/>
      <c r="AJ5" s="738"/>
      <c r="AK5" s="738"/>
      <c r="AL5" s="738"/>
      <c r="AM5" s="738"/>
      <c r="AN5" s="738"/>
      <c r="AO5" s="738"/>
      <c r="AP5" s="738"/>
      <c r="AQ5" s="738"/>
      <c r="AR5" s="738"/>
      <c r="AS5" s="738"/>
      <c r="AT5" s="738"/>
      <c r="AU5" s="738"/>
      <c r="AV5" s="738"/>
      <c r="AW5" s="738"/>
      <c r="AX5" s="738"/>
      <c r="AY5" s="738"/>
      <c r="AZ5" s="738"/>
      <c r="BA5" s="738"/>
      <c r="BB5" s="738"/>
      <c r="BC5" s="738"/>
      <c r="BD5" s="738"/>
      <c r="BE5" s="738"/>
      <c r="BF5" s="738"/>
      <c r="BG5" s="738"/>
      <c r="BH5" s="738"/>
    </row>
    <row r="6" spans="1:61" ht="78.75" customHeight="1">
      <c r="A6" s="450" t="s">
        <v>2151</v>
      </c>
      <c r="B6" s="436" t="s">
        <v>921</v>
      </c>
      <c r="C6" s="436" t="s">
        <v>1050</v>
      </c>
      <c r="D6" s="439" t="s">
        <v>2</v>
      </c>
      <c r="E6" s="439" t="s">
        <v>2307</v>
      </c>
      <c r="F6" s="439" t="s">
        <v>2244</v>
      </c>
      <c r="G6" s="439" t="s">
        <v>2301</v>
      </c>
      <c r="H6" s="437" t="s">
        <v>629</v>
      </c>
      <c r="I6" s="432" t="s">
        <v>1443</v>
      </c>
      <c r="J6" s="432" t="s">
        <v>1444</v>
      </c>
      <c r="K6" s="429" t="s">
        <v>1335</v>
      </c>
      <c r="L6" s="429" t="s">
        <v>1335</v>
      </c>
      <c r="M6" s="429" t="s">
        <v>2195</v>
      </c>
      <c r="N6" s="429" t="s">
        <v>2196</v>
      </c>
      <c r="O6" s="429" t="s">
        <v>2197</v>
      </c>
      <c r="P6" s="429" t="s">
        <v>1424</v>
      </c>
      <c r="Q6" s="727"/>
      <c r="R6" s="429" t="s">
        <v>1470</v>
      </c>
      <c r="S6" s="432" t="s">
        <v>1453</v>
      </c>
      <c r="T6" s="429" t="s">
        <v>1717</v>
      </c>
      <c r="U6" s="630" t="s">
        <v>1425</v>
      </c>
      <c r="V6" s="432" t="s">
        <v>1453</v>
      </c>
      <c r="W6" s="429" t="s">
        <v>1717</v>
      </c>
      <c r="X6" s="576" t="s">
        <v>2302</v>
      </c>
      <c r="Y6" s="576" t="s">
        <v>2300</v>
      </c>
      <c r="Z6" s="429" t="s">
        <v>1426</v>
      </c>
      <c r="AA6" s="429" t="s">
        <v>1453</v>
      </c>
      <c r="AB6" s="675" t="s">
        <v>1717</v>
      </c>
      <c r="AC6" s="576" t="s">
        <v>2302</v>
      </c>
      <c r="AD6" s="429" t="s">
        <v>1536</v>
      </c>
      <c r="AE6" s="429" t="s">
        <v>1453</v>
      </c>
      <c r="AF6" s="429" t="s">
        <v>1634</v>
      </c>
      <c r="AG6" s="565" t="s">
        <v>2294</v>
      </c>
      <c r="AH6" s="429" t="s">
        <v>2160</v>
      </c>
      <c r="AI6" s="645" t="s">
        <v>2239</v>
      </c>
      <c r="AJ6" s="565" t="s">
        <v>2294</v>
      </c>
      <c r="AK6" s="645" t="s">
        <v>1635</v>
      </c>
      <c r="AL6" s="432" t="s">
        <v>631</v>
      </c>
      <c r="AM6" s="432" t="s">
        <v>1453</v>
      </c>
      <c r="AN6" s="433" t="s">
        <v>521</v>
      </c>
      <c r="AO6" s="433" t="s">
        <v>38</v>
      </c>
      <c r="AP6" s="433" t="s">
        <v>646</v>
      </c>
      <c r="AQ6" s="433" t="s">
        <v>942</v>
      </c>
      <c r="AR6" s="433" t="s">
        <v>986</v>
      </c>
      <c r="AS6" s="433" t="s">
        <v>687</v>
      </c>
      <c r="AT6" s="646" t="s">
        <v>2349</v>
      </c>
      <c r="AU6" s="643" t="s">
        <v>2350</v>
      </c>
      <c r="AV6" s="440" t="s">
        <v>703</v>
      </c>
      <c r="AW6" s="327" t="s">
        <v>1263</v>
      </c>
      <c r="AX6" s="327" t="s">
        <v>1264</v>
      </c>
      <c r="AY6" s="327" t="s">
        <v>1265</v>
      </c>
      <c r="AZ6" s="327" t="s">
        <v>1266</v>
      </c>
      <c r="BA6" s="327" t="s">
        <v>2223</v>
      </c>
      <c r="BB6" s="327" t="s">
        <v>1705</v>
      </c>
      <c r="BC6" s="327" t="s">
        <v>2420</v>
      </c>
      <c r="BD6" s="327" t="s">
        <v>2421</v>
      </c>
      <c r="BE6" s="327" t="s">
        <v>2201</v>
      </c>
      <c r="BF6" s="327" t="s">
        <v>1288</v>
      </c>
      <c r="BG6" s="327" t="s">
        <v>1289</v>
      </c>
      <c r="BH6" s="327" t="s">
        <v>2192</v>
      </c>
      <c r="BI6" s="327" t="s">
        <v>2192</v>
      </c>
    </row>
    <row r="7" spans="1:61" ht="18" customHeight="1">
      <c r="A7" s="434" t="s">
        <v>500</v>
      </c>
      <c r="B7" s="434"/>
      <c r="C7" s="434"/>
      <c r="D7" s="434"/>
      <c r="E7" s="434"/>
      <c r="F7" s="434"/>
      <c r="G7" s="434"/>
      <c r="H7" s="434"/>
      <c r="I7" s="435"/>
      <c r="J7" s="435"/>
      <c r="K7" s="435">
        <f>SUM(K8:K52)</f>
        <v>368</v>
      </c>
      <c r="L7" s="435">
        <f t="shared" ref="L7:M7" si="0">SUM(L8:L52)</f>
        <v>423</v>
      </c>
      <c r="M7" s="435">
        <f t="shared" si="0"/>
        <v>525</v>
      </c>
      <c r="N7" s="452">
        <f>SUM(N8:N54)</f>
        <v>801</v>
      </c>
      <c r="O7" s="452">
        <f>SUM(O8:O54)</f>
        <v>60</v>
      </c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452">
        <f t="shared" ref="AN7:AS7" si="1">SUM(AN8:AN54)</f>
        <v>35</v>
      </c>
      <c r="AO7" s="452">
        <f t="shared" si="1"/>
        <v>383</v>
      </c>
      <c r="AP7" s="452">
        <f t="shared" si="1"/>
        <v>383</v>
      </c>
      <c r="AQ7" s="452">
        <f t="shared" si="1"/>
        <v>60</v>
      </c>
      <c r="AR7" s="452">
        <f t="shared" si="1"/>
        <v>0</v>
      </c>
      <c r="AS7" s="452">
        <f t="shared" si="1"/>
        <v>0</v>
      </c>
      <c r="AT7" s="435"/>
      <c r="AU7" s="435"/>
      <c r="AV7" s="438"/>
      <c r="AW7" s="19">
        <f t="shared" ref="AW7:AZ7" si="2">SUM(AW8:AW52)</f>
        <v>260</v>
      </c>
      <c r="AX7" s="19">
        <f t="shared" si="2"/>
        <v>304</v>
      </c>
      <c r="AY7" s="19">
        <f t="shared" si="2"/>
        <v>272</v>
      </c>
      <c r="AZ7" s="19">
        <f t="shared" si="2"/>
        <v>178</v>
      </c>
      <c r="BA7" s="452">
        <f>SUM(BA8:BA54)</f>
        <v>383</v>
      </c>
      <c r="BB7" s="452">
        <f>SUM(BB8:BB53)</f>
        <v>101</v>
      </c>
      <c r="BC7" s="452">
        <f>SUM(BC8:BC53)</f>
        <v>171</v>
      </c>
      <c r="BD7" s="452">
        <f>SUM(BD8:BD54)</f>
        <v>732</v>
      </c>
      <c r="BE7" s="452">
        <f>SUM(BE8:BE54)</f>
        <v>15</v>
      </c>
      <c r="BF7" s="452"/>
      <c r="BG7" s="434">
        <v>2019</v>
      </c>
      <c r="BH7" s="434">
        <v>2020</v>
      </c>
      <c r="BI7" s="434" t="s">
        <v>2419</v>
      </c>
    </row>
    <row r="8" spans="1:61" s="204" customFormat="1" ht="15" customHeight="1">
      <c r="A8" s="160" t="s">
        <v>500</v>
      </c>
      <c r="B8" s="58" t="s">
        <v>6</v>
      </c>
      <c r="C8" s="122" t="s">
        <v>5</v>
      </c>
      <c r="D8" s="58" t="s">
        <v>3</v>
      </c>
      <c r="E8" s="58"/>
      <c r="F8" s="58"/>
      <c r="G8" s="58"/>
      <c r="H8" s="30" t="s">
        <v>647</v>
      </c>
      <c r="I8" s="30"/>
      <c r="J8" s="30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  <c r="Y8" s="158"/>
      <c r="Z8" s="158"/>
      <c r="AA8" s="158"/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 t="s">
        <v>0</v>
      </c>
      <c r="AM8" s="158"/>
      <c r="AN8" s="158"/>
      <c r="AO8" s="158"/>
      <c r="AP8" s="158"/>
      <c r="AQ8" s="158"/>
      <c r="AR8" s="158"/>
      <c r="AS8" s="158"/>
      <c r="AT8" s="2">
        <v>1</v>
      </c>
      <c r="AU8" s="58" t="s">
        <v>646</v>
      </c>
      <c r="AV8" s="102"/>
      <c r="AW8" s="158"/>
      <c r="AX8" s="158">
        <v>49</v>
      </c>
      <c r="AY8" s="158"/>
      <c r="AZ8" s="158"/>
      <c r="BA8" s="158"/>
      <c r="BB8" s="158"/>
      <c r="BC8" s="69"/>
      <c r="BD8" s="69"/>
      <c r="BE8" s="69"/>
      <c r="BF8" s="271" t="s">
        <v>1707</v>
      </c>
      <c r="BG8" s="268"/>
      <c r="BH8" s="431"/>
      <c r="BI8" s="271" t="s">
        <v>2375</v>
      </c>
    </row>
    <row r="9" spans="1:61" s="204" customFormat="1" ht="15" customHeight="1">
      <c r="A9" s="160" t="s">
        <v>500</v>
      </c>
      <c r="B9" s="58" t="s">
        <v>6</v>
      </c>
      <c r="C9" s="122" t="s">
        <v>5</v>
      </c>
      <c r="D9" s="58" t="s">
        <v>3</v>
      </c>
      <c r="E9" s="58"/>
      <c r="F9" s="58"/>
      <c r="G9" s="58"/>
      <c r="H9" s="30" t="s">
        <v>647</v>
      </c>
      <c r="I9" s="30"/>
      <c r="J9" s="30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2"/>
      <c r="AO9" s="11"/>
      <c r="AP9" s="11"/>
      <c r="AQ9" s="11"/>
      <c r="AR9" s="11"/>
      <c r="AS9" s="158"/>
      <c r="AT9" s="2">
        <v>0</v>
      </c>
      <c r="AU9" s="58" t="s">
        <v>687</v>
      </c>
      <c r="AV9" s="162" t="s">
        <v>1371</v>
      </c>
      <c r="AW9" s="158"/>
      <c r="AX9" s="11"/>
      <c r="AY9" s="11"/>
      <c r="AZ9" s="11"/>
      <c r="BA9" s="11"/>
      <c r="BB9" s="11"/>
      <c r="BC9" s="70"/>
      <c r="BD9" s="70"/>
      <c r="BE9" s="69">
        <v>11</v>
      </c>
      <c r="BF9" s="271" t="s">
        <v>1704</v>
      </c>
      <c r="BG9" s="268"/>
      <c r="BH9" s="271"/>
      <c r="BI9" s="271" t="s">
        <v>2375</v>
      </c>
    </row>
    <row r="10" spans="1:61" s="204" customFormat="1" ht="15" customHeight="1">
      <c r="A10" s="160" t="s">
        <v>500</v>
      </c>
      <c r="B10" s="130" t="s">
        <v>11</v>
      </c>
      <c r="C10" s="130" t="s">
        <v>517</v>
      </c>
      <c r="D10" s="130" t="s">
        <v>10</v>
      </c>
      <c r="E10" s="130"/>
      <c r="F10" s="130"/>
      <c r="G10" s="130"/>
      <c r="H10" s="130"/>
      <c r="I10" s="130"/>
      <c r="J10" s="130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8"/>
      <c r="AM10" s="158"/>
      <c r="AN10" s="12"/>
      <c r="AO10" s="158"/>
      <c r="AP10" s="158"/>
      <c r="AQ10" s="158"/>
      <c r="AR10" s="158"/>
      <c r="AS10" s="158"/>
      <c r="AT10" s="2">
        <v>1</v>
      </c>
      <c r="AU10" s="58" t="s">
        <v>646</v>
      </c>
      <c r="AV10" s="162"/>
      <c r="AW10" s="158">
        <v>15</v>
      </c>
      <c r="AX10" s="158"/>
      <c r="AY10" s="158"/>
      <c r="AZ10" s="158"/>
      <c r="BA10" s="158"/>
      <c r="BB10" s="158"/>
      <c r="BC10" s="69"/>
      <c r="BD10" s="69"/>
      <c r="BE10" s="69"/>
      <c r="BF10" s="271">
        <v>2016</v>
      </c>
      <c r="BG10" s="271"/>
      <c r="BH10" s="271"/>
      <c r="BI10" s="271" t="s">
        <v>2376</v>
      </c>
    </row>
    <row r="11" spans="1:61" s="204" customFormat="1" ht="15" customHeight="1">
      <c r="A11" s="160" t="s">
        <v>500</v>
      </c>
      <c r="B11" s="58" t="s">
        <v>522</v>
      </c>
      <c r="C11" s="122" t="s">
        <v>518</v>
      </c>
      <c r="D11" s="58" t="s">
        <v>9</v>
      </c>
      <c r="E11" s="58"/>
      <c r="F11" s="58"/>
      <c r="G11" s="58"/>
      <c r="H11" s="58"/>
      <c r="I11" s="58"/>
      <c r="J11" s="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2"/>
      <c r="AO11" s="158"/>
      <c r="AP11" s="158"/>
      <c r="AQ11" s="158"/>
      <c r="AR11" s="158"/>
      <c r="AS11" s="158"/>
      <c r="AT11" s="2">
        <v>1</v>
      </c>
      <c r="AU11" s="58" t="s">
        <v>646</v>
      </c>
      <c r="AV11" s="162"/>
      <c r="AW11" s="158">
        <v>20</v>
      </c>
      <c r="AX11" s="158"/>
      <c r="AY11" s="158"/>
      <c r="AZ11" s="158"/>
      <c r="BA11" s="158"/>
      <c r="BB11" s="158"/>
      <c r="BC11" s="69"/>
      <c r="BD11" s="69"/>
      <c r="BE11" s="69"/>
      <c r="BF11" s="271">
        <v>2016</v>
      </c>
      <c r="BG11" s="271"/>
      <c r="BH11" s="271"/>
      <c r="BI11" s="271" t="s">
        <v>2376</v>
      </c>
    </row>
    <row r="12" spans="1:61" s="204" customFormat="1" ht="19.5" customHeight="1">
      <c r="A12" s="160" t="s">
        <v>500</v>
      </c>
      <c r="B12" s="58" t="s">
        <v>4</v>
      </c>
      <c r="C12" s="29" t="s">
        <v>12</v>
      </c>
      <c r="D12" s="58" t="s">
        <v>13</v>
      </c>
      <c r="E12" s="58"/>
      <c r="F12" s="58"/>
      <c r="G12" s="58"/>
      <c r="H12" s="30" t="s">
        <v>648</v>
      </c>
      <c r="I12" s="30"/>
      <c r="J12" s="30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2"/>
      <c r="AO12" s="11"/>
      <c r="AP12" s="11"/>
      <c r="AQ12" s="11"/>
      <c r="AR12" s="11"/>
      <c r="AS12" s="11"/>
      <c r="AT12" s="2">
        <v>0</v>
      </c>
      <c r="AU12" s="58" t="s">
        <v>687</v>
      </c>
      <c r="AV12" s="162" t="s">
        <v>1371</v>
      </c>
      <c r="AW12" s="158" t="s">
        <v>0</v>
      </c>
      <c r="AX12" s="11"/>
      <c r="AY12" s="11"/>
      <c r="AZ12" s="11"/>
      <c r="BA12" s="11"/>
      <c r="BB12" s="11"/>
      <c r="BC12" s="70"/>
      <c r="BD12" s="70"/>
      <c r="BE12" s="69">
        <v>2</v>
      </c>
      <c r="BF12" s="271" t="s">
        <v>1703</v>
      </c>
      <c r="BG12" s="268"/>
      <c r="BH12" s="431"/>
      <c r="BI12" s="271" t="s">
        <v>2376</v>
      </c>
    </row>
    <row r="13" spans="1:61" s="204" customFormat="1" ht="15" customHeight="1">
      <c r="A13" s="160" t="s">
        <v>500</v>
      </c>
      <c r="B13" s="1" t="s">
        <v>4</v>
      </c>
      <c r="C13" s="123" t="s">
        <v>14</v>
      </c>
      <c r="D13" s="1" t="s">
        <v>13</v>
      </c>
      <c r="E13" s="1"/>
      <c r="F13" s="1"/>
      <c r="G13" s="1"/>
      <c r="H13" s="58"/>
      <c r="I13" s="58"/>
      <c r="J13" s="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2"/>
      <c r="AO13" s="11"/>
      <c r="AP13" s="11"/>
      <c r="AQ13" s="11"/>
      <c r="AR13" s="11"/>
      <c r="AS13" s="11"/>
      <c r="AT13" s="2">
        <v>1</v>
      </c>
      <c r="AU13" s="58"/>
      <c r="AV13" s="162"/>
      <c r="AW13" s="158">
        <v>44</v>
      </c>
      <c r="AX13" s="11"/>
      <c r="AY13" s="11"/>
      <c r="AZ13" s="11"/>
      <c r="BA13" s="11"/>
      <c r="BB13" s="11"/>
      <c r="BC13" s="70"/>
      <c r="BD13" s="70"/>
      <c r="BE13" s="69"/>
      <c r="BF13" s="271">
        <v>2016</v>
      </c>
      <c r="BG13" s="271"/>
      <c r="BH13" s="271"/>
      <c r="BI13" s="271" t="s">
        <v>2376</v>
      </c>
    </row>
    <row r="14" spans="1:61" s="204" customFormat="1" ht="15" customHeight="1">
      <c r="A14" s="160" t="s">
        <v>500</v>
      </c>
      <c r="B14" s="1" t="s">
        <v>4</v>
      </c>
      <c r="C14" s="122" t="s">
        <v>14</v>
      </c>
      <c r="D14" s="1" t="s">
        <v>13</v>
      </c>
      <c r="E14" s="1"/>
      <c r="F14" s="1"/>
      <c r="G14" s="1"/>
      <c r="H14" s="30" t="s">
        <v>648</v>
      </c>
      <c r="I14" s="30"/>
      <c r="J14" s="30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2"/>
      <c r="AO14" s="11"/>
      <c r="AP14" s="11"/>
      <c r="AQ14" s="11"/>
      <c r="AR14" s="11"/>
      <c r="AS14" s="11"/>
      <c r="AT14" s="2">
        <v>0</v>
      </c>
      <c r="AU14" s="58" t="s">
        <v>687</v>
      </c>
      <c r="AV14" s="162" t="s">
        <v>1371</v>
      </c>
      <c r="AW14" s="158"/>
      <c r="AX14" s="11"/>
      <c r="AY14" s="11"/>
      <c r="AZ14" s="11"/>
      <c r="BA14" s="11"/>
      <c r="BB14" s="11"/>
      <c r="BC14" s="70"/>
      <c r="BD14" s="70"/>
      <c r="BE14" s="69">
        <v>2</v>
      </c>
      <c r="BF14" s="271" t="s">
        <v>1703</v>
      </c>
      <c r="BG14" s="268"/>
      <c r="BH14" s="271"/>
      <c r="BI14" s="271" t="s">
        <v>2376</v>
      </c>
    </row>
    <row r="15" spans="1:61" s="204" customFormat="1" ht="15" customHeight="1">
      <c r="A15" s="160" t="s">
        <v>500</v>
      </c>
      <c r="B15" s="58" t="s">
        <v>4</v>
      </c>
      <c r="C15" s="122" t="s">
        <v>15</v>
      </c>
      <c r="D15" s="58" t="s">
        <v>16</v>
      </c>
      <c r="E15" s="58"/>
      <c r="F15" s="58"/>
      <c r="G15" s="58"/>
      <c r="H15" s="58"/>
      <c r="I15" s="58"/>
      <c r="J15" s="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2"/>
      <c r="AO15" s="158"/>
      <c r="AP15" s="158"/>
      <c r="AQ15" s="158"/>
      <c r="AR15" s="158"/>
      <c r="AS15" s="158"/>
      <c r="AT15" s="2"/>
      <c r="AU15" s="58"/>
      <c r="AV15" s="162"/>
      <c r="AW15" s="158">
        <v>25</v>
      </c>
      <c r="AX15" s="158"/>
      <c r="AY15" s="158"/>
      <c r="AZ15" s="158"/>
      <c r="BA15" s="158"/>
      <c r="BB15" s="158"/>
      <c r="BC15" s="69"/>
      <c r="BD15" s="69"/>
      <c r="BE15" s="69"/>
      <c r="BF15" s="271">
        <v>2016</v>
      </c>
      <c r="BG15" s="271"/>
      <c r="BH15" s="271"/>
      <c r="BI15" s="271" t="s">
        <v>2376</v>
      </c>
    </row>
    <row r="16" spans="1:61" s="204" customFormat="1" ht="15" customHeight="1">
      <c r="A16" s="160" t="s">
        <v>500</v>
      </c>
      <c r="B16" s="58" t="s">
        <v>4</v>
      </c>
      <c r="C16" s="122" t="s">
        <v>17</v>
      </c>
      <c r="D16" s="58" t="s">
        <v>16</v>
      </c>
      <c r="E16" s="58"/>
      <c r="F16" s="58"/>
      <c r="G16" s="58"/>
      <c r="H16" s="58"/>
      <c r="I16" s="58"/>
      <c r="J16" s="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2"/>
      <c r="AU16" s="58"/>
      <c r="AV16" s="162"/>
      <c r="AW16" s="158">
        <v>34</v>
      </c>
      <c r="AX16" s="158"/>
      <c r="AY16" s="158"/>
      <c r="AZ16" s="158"/>
      <c r="BA16" s="158"/>
      <c r="BB16" s="158"/>
      <c r="BC16" s="69"/>
      <c r="BD16" s="69"/>
      <c r="BE16" s="69"/>
      <c r="BF16" s="271">
        <v>2016</v>
      </c>
      <c r="BG16" s="271"/>
      <c r="BH16" s="271"/>
      <c r="BI16" s="271" t="s">
        <v>2376</v>
      </c>
    </row>
    <row r="17" spans="1:61" s="204" customFormat="1" ht="15" customHeight="1">
      <c r="A17" s="160" t="s">
        <v>500</v>
      </c>
      <c r="B17" s="58" t="s">
        <v>4</v>
      </c>
      <c r="C17" s="122" t="s">
        <v>556</v>
      </c>
      <c r="D17" s="58" t="s">
        <v>555</v>
      </c>
      <c r="E17" s="58"/>
      <c r="F17" s="58"/>
      <c r="G17" s="58"/>
      <c r="H17" s="30" t="s">
        <v>647</v>
      </c>
      <c r="I17" s="30"/>
      <c r="J17" s="30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2">
        <v>1</v>
      </c>
      <c r="AU17" s="58" t="s">
        <v>646</v>
      </c>
      <c r="AV17" s="162"/>
      <c r="AW17" s="158"/>
      <c r="AX17" s="158">
        <v>48</v>
      </c>
      <c r="AY17" s="158"/>
      <c r="AZ17" s="158"/>
      <c r="BA17" s="158"/>
      <c r="BB17" s="158"/>
      <c r="BC17" s="69"/>
      <c r="BD17" s="69"/>
      <c r="BE17" s="69"/>
      <c r="BF17" s="271">
        <v>2017</v>
      </c>
      <c r="BG17" s="268"/>
      <c r="BH17" s="271"/>
      <c r="BI17" s="271" t="s">
        <v>2376</v>
      </c>
    </row>
    <row r="18" spans="1:61" s="204" customFormat="1" ht="15" customHeight="1">
      <c r="A18" s="160" t="s">
        <v>500</v>
      </c>
      <c r="B18" s="58" t="s">
        <v>4</v>
      </c>
      <c r="C18" s="58" t="s">
        <v>18</v>
      </c>
      <c r="D18" s="58" t="s">
        <v>9</v>
      </c>
      <c r="E18" s="58"/>
      <c r="F18" s="58"/>
      <c r="G18" s="58"/>
      <c r="H18" s="30"/>
      <c r="I18" s="30"/>
      <c r="J18" s="30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2" t="s">
        <v>1292</v>
      </c>
      <c r="AU18" s="58" t="s">
        <v>646</v>
      </c>
      <c r="AV18" s="162"/>
      <c r="AW18" s="158">
        <v>31</v>
      </c>
      <c r="AX18" s="158"/>
      <c r="AY18" s="158"/>
      <c r="AZ18" s="158"/>
      <c r="BA18" s="158"/>
      <c r="BB18" s="158"/>
      <c r="BC18" s="69"/>
      <c r="BD18" s="69"/>
      <c r="BE18" s="69"/>
      <c r="BF18" s="271">
        <v>2016</v>
      </c>
      <c r="BG18" s="271"/>
      <c r="BH18" s="271"/>
      <c r="BI18" s="271" t="s">
        <v>2376</v>
      </c>
    </row>
    <row r="19" spans="1:61" s="204" customFormat="1" ht="15" customHeight="1">
      <c r="A19" s="160" t="s">
        <v>500</v>
      </c>
      <c r="B19" s="58" t="s">
        <v>4</v>
      </c>
      <c r="C19" s="58" t="s">
        <v>19</v>
      </c>
      <c r="D19" s="58" t="s">
        <v>16</v>
      </c>
      <c r="E19" s="58"/>
      <c r="F19" s="58"/>
      <c r="G19" s="58"/>
      <c r="H19" s="30"/>
      <c r="I19" s="30"/>
      <c r="J19" s="30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2"/>
      <c r="AU19" s="58"/>
      <c r="AV19" s="162"/>
      <c r="AW19" s="158">
        <v>49</v>
      </c>
      <c r="AX19" s="158"/>
      <c r="AY19" s="158"/>
      <c r="AZ19" s="158"/>
      <c r="BA19" s="158"/>
      <c r="BB19" s="158"/>
      <c r="BC19" s="69"/>
      <c r="BD19" s="69"/>
      <c r="BE19" s="69"/>
      <c r="BF19" s="271">
        <v>2016</v>
      </c>
      <c r="BG19" s="271"/>
      <c r="BH19" s="271"/>
      <c r="BI19" s="271" t="s">
        <v>2376</v>
      </c>
    </row>
    <row r="20" spans="1:61" s="204" customFormat="1" ht="15" customHeight="1">
      <c r="A20" s="160" t="s">
        <v>500</v>
      </c>
      <c r="B20" s="58" t="s">
        <v>4</v>
      </c>
      <c r="C20" s="58" t="s">
        <v>923</v>
      </c>
      <c r="D20" s="58" t="s">
        <v>16</v>
      </c>
      <c r="E20" s="58"/>
      <c r="F20" s="58"/>
      <c r="G20" s="58"/>
      <c r="H20" s="30"/>
      <c r="I20" s="30"/>
      <c r="J20" s="30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2"/>
      <c r="AU20" s="58"/>
      <c r="AV20" s="162"/>
      <c r="AW20" s="158">
        <v>42</v>
      </c>
      <c r="AX20" s="158"/>
      <c r="AY20" s="158"/>
      <c r="AZ20" s="158"/>
      <c r="BA20" s="158"/>
      <c r="BB20" s="158"/>
      <c r="BC20" s="69"/>
      <c r="BD20" s="69"/>
      <c r="BE20" s="69"/>
      <c r="BF20" s="271">
        <v>2016</v>
      </c>
      <c r="BG20" s="271"/>
      <c r="BH20" s="271"/>
      <c r="BI20" s="271" t="s">
        <v>2376</v>
      </c>
    </row>
    <row r="21" spans="1:61" s="204" customFormat="1" ht="15" customHeight="1">
      <c r="A21" s="160" t="s">
        <v>500</v>
      </c>
      <c r="B21" s="58" t="s">
        <v>4</v>
      </c>
      <c r="C21" s="122" t="s">
        <v>649</v>
      </c>
      <c r="D21" s="58" t="s">
        <v>16</v>
      </c>
      <c r="E21" s="58"/>
      <c r="F21" s="58"/>
      <c r="G21" s="58"/>
      <c r="H21" s="30" t="s">
        <v>635</v>
      </c>
      <c r="I21" s="30"/>
      <c r="J21" s="30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2">
        <v>1</v>
      </c>
      <c r="AU21" s="58" t="s">
        <v>646</v>
      </c>
      <c r="AV21" s="162"/>
      <c r="AW21" s="158"/>
      <c r="AX21" s="158">
        <v>34</v>
      </c>
      <c r="AY21" s="158"/>
      <c r="AZ21" s="158"/>
      <c r="BA21" s="158"/>
      <c r="BB21" s="158"/>
      <c r="BC21" s="69"/>
      <c r="BD21" s="69"/>
      <c r="BE21" s="69"/>
      <c r="BF21" s="271">
        <v>2017</v>
      </c>
      <c r="BG21" s="268"/>
      <c r="BH21" s="271"/>
      <c r="BI21" s="271" t="s">
        <v>2376</v>
      </c>
    </row>
    <row r="22" spans="1:61" s="204" customFormat="1" ht="15" customHeight="1">
      <c r="A22" s="160" t="s">
        <v>500</v>
      </c>
      <c r="B22" s="58" t="s">
        <v>4</v>
      </c>
      <c r="C22" s="58" t="s">
        <v>20</v>
      </c>
      <c r="D22" s="58" t="s">
        <v>13</v>
      </c>
      <c r="E22" s="58"/>
      <c r="F22" s="58"/>
      <c r="G22" s="58"/>
      <c r="H22" s="30" t="s">
        <v>635</v>
      </c>
      <c r="I22" s="30"/>
      <c r="J22" s="30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2">
        <v>1</v>
      </c>
      <c r="AU22" s="58" t="s">
        <v>646</v>
      </c>
      <c r="AV22" s="162"/>
      <c r="AW22" s="158"/>
      <c r="AX22" s="158">
        <v>30</v>
      </c>
      <c r="AY22" s="158"/>
      <c r="AZ22" s="158"/>
      <c r="BA22" s="158"/>
      <c r="BB22" s="158"/>
      <c r="BC22" s="69"/>
      <c r="BD22" s="69"/>
      <c r="BE22" s="69"/>
      <c r="BF22" s="271">
        <v>2017</v>
      </c>
      <c r="BG22" s="268"/>
      <c r="BH22" s="271"/>
      <c r="BI22" s="271" t="s">
        <v>2376</v>
      </c>
    </row>
    <row r="23" spans="1:61" s="204" customFormat="1" ht="15" customHeight="1">
      <c r="A23" s="160" t="s">
        <v>500</v>
      </c>
      <c r="B23" s="58" t="s">
        <v>4</v>
      </c>
      <c r="C23" s="58" t="s">
        <v>21</v>
      </c>
      <c r="D23" s="58" t="s">
        <v>13</v>
      </c>
      <c r="E23" s="58"/>
      <c r="F23" s="58"/>
      <c r="G23" s="58"/>
      <c r="H23" s="30" t="s">
        <v>635</v>
      </c>
      <c r="I23" s="30"/>
      <c r="J23" s="30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2">
        <v>1</v>
      </c>
      <c r="AU23" s="58" t="s">
        <v>646</v>
      </c>
      <c r="AV23" s="162"/>
      <c r="AW23" s="158"/>
      <c r="AX23" s="158">
        <v>27</v>
      </c>
      <c r="AY23" s="158"/>
      <c r="AZ23" s="158"/>
      <c r="BA23" s="158"/>
      <c r="BB23" s="158"/>
      <c r="BC23" s="69"/>
      <c r="BD23" s="69"/>
      <c r="BE23" s="69"/>
      <c r="BF23" s="271">
        <v>2017</v>
      </c>
      <c r="BG23" s="268"/>
      <c r="BH23" s="271"/>
      <c r="BI23" s="271" t="s">
        <v>2376</v>
      </c>
    </row>
    <row r="24" spans="1:61" s="204" customFormat="1" ht="15" customHeight="1">
      <c r="A24" s="160" t="s">
        <v>500</v>
      </c>
      <c r="B24" s="58" t="s">
        <v>4</v>
      </c>
      <c r="C24" s="124" t="s">
        <v>22</v>
      </c>
      <c r="D24" s="126" t="s">
        <v>16</v>
      </c>
      <c r="E24" s="126"/>
      <c r="F24" s="126"/>
      <c r="G24" s="126"/>
      <c r="H24" s="30" t="s">
        <v>636</v>
      </c>
      <c r="I24" s="30"/>
      <c r="J24" s="30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2">
        <v>1</v>
      </c>
      <c r="AU24" s="58" t="s">
        <v>646</v>
      </c>
      <c r="AV24" s="162"/>
      <c r="AW24" s="158"/>
      <c r="AX24" s="158">
        <v>80</v>
      </c>
      <c r="AY24" s="158"/>
      <c r="AZ24" s="158"/>
      <c r="BA24" s="158"/>
      <c r="BB24" s="158"/>
      <c r="BC24" s="69"/>
      <c r="BD24" s="69"/>
      <c r="BE24" s="69"/>
      <c r="BF24" s="271">
        <v>2017</v>
      </c>
      <c r="BG24" s="268"/>
      <c r="BH24" s="271"/>
      <c r="BI24" s="271" t="s">
        <v>2376</v>
      </c>
    </row>
    <row r="25" spans="1:61" s="204" customFormat="1" ht="15" customHeight="1">
      <c r="A25" s="160" t="s">
        <v>500</v>
      </c>
      <c r="B25" s="58" t="s">
        <v>4</v>
      </c>
      <c r="C25" s="124" t="s">
        <v>23</v>
      </c>
      <c r="D25" s="126" t="s">
        <v>16</v>
      </c>
      <c r="E25" s="126"/>
      <c r="F25" s="126"/>
      <c r="G25" s="126"/>
      <c r="H25" s="30" t="s">
        <v>650</v>
      </c>
      <c r="I25" s="30"/>
      <c r="J25" s="30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2">
        <v>1</v>
      </c>
      <c r="AU25" s="58" t="s">
        <v>646</v>
      </c>
      <c r="AV25" s="162"/>
      <c r="AW25" s="158"/>
      <c r="AX25" s="158">
        <v>36</v>
      </c>
      <c r="AY25" s="158"/>
      <c r="AZ25" s="158"/>
      <c r="BA25" s="158"/>
      <c r="BB25" s="158"/>
      <c r="BC25" s="69"/>
      <c r="BD25" s="69"/>
      <c r="BE25" s="69"/>
      <c r="BF25" s="271">
        <v>2017</v>
      </c>
      <c r="BG25" s="268"/>
      <c r="BH25" s="271"/>
      <c r="BI25" s="271" t="s">
        <v>2376</v>
      </c>
    </row>
    <row r="26" spans="1:61" s="204" customFormat="1" ht="15" customHeight="1">
      <c r="A26" s="160" t="s">
        <v>500</v>
      </c>
      <c r="B26" s="58" t="s">
        <v>522</v>
      </c>
      <c r="C26" s="124" t="s">
        <v>24</v>
      </c>
      <c r="D26" s="126" t="s">
        <v>569</v>
      </c>
      <c r="E26" s="126"/>
      <c r="F26" s="126"/>
      <c r="G26" s="126"/>
      <c r="H26" s="30" t="s">
        <v>650</v>
      </c>
      <c r="I26" s="30"/>
      <c r="J26" s="30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2">
        <v>1</v>
      </c>
      <c r="AU26" s="58" t="s">
        <v>646</v>
      </c>
      <c r="AV26" s="162"/>
      <c r="AW26" s="158"/>
      <c r="AX26" s="158"/>
      <c r="AY26" s="688">
        <v>45</v>
      </c>
      <c r="AZ26" s="158"/>
      <c r="BA26" s="158"/>
      <c r="BB26" s="158">
        <v>45</v>
      </c>
      <c r="BC26" s="69"/>
      <c r="BD26" s="69"/>
      <c r="BE26" s="69"/>
      <c r="BF26" s="271">
        <v>2018</v>
      </c>
      <c r="BG26" s="268"/>
      <c r="BH26" s="271"/>
      <c r="BI26" s="271" t="s">
        <v>2376</v>
      </c>
    </row>
    <row r="27" spans="1:61" s="204" customFormat="1" ht="15" customHeight="1">
      <c r="A27" s="160" t="s">
        <v>500</v>
      </c>
      <c r="B27" s="58" t="s">
        <v>4</v>
      </c>
      <c r="C27" s="124" t="s">
        <v>935</v>
      </c>
      <c r="D27" s="126" t="s">
        <v>16</v>
      </c>
      <c r="E27" s="126"/>
      <c r="F27" s="126"/>
      <c r="G27" s="126"/>
      <c r="H27" s="30" t="s">
        <v>630</v>
      </c>
      <c r="I27" s="30"/>
      <c r="J27" s="30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2">
        <v>1</v>
      </c>
      <c r="AU27" s="58" t="s">
        <v>646</v>
      </c>
      <c r="AV27" s="162"/>
      <c r="AW27" s="158"/>
      <c r="AX27" s="158"/>
      <c r="AY27" s="688">
        <v>56</v>
      </c>
      <c r="AZ27" s="158"/>
      <c r="BA27" s="158"/>
      <c r="BB27" s="158">
        <v>56</v>
      </c>
      <c r="BC27" s="69"/>
      <c r="BD27" s="69"/>
      <c r="BE27" s="69"/>
      <c r="BF27" s="271">
        <v>2018</v>
      </c>
      <c r="BG27" s="268"/>
      <c r="BH27" s="271"/>
      <c r="BI27" s="271" t="s">
        <v>2376</v>
      </c>
    </row>
    <row r="28" spans="1:61" s="204" customFormat="1" ht="15" customHeight="1">
      <c r="A28" s="160" t="s">
        <v>500</v>
      </c>
      <c r="B28" s="58" t="s">
        <v>4</v>
      </c>
      <c r="C28" s="124" t="s">
        <v>712</v>
      </c>
      <c r="D28" s="126" t="s">
        <v>16</v>
      </c>
      <c r="E28" s="126"/>
      <c r="F28" s="126"/>
      <c r="G28" s="126"/>
      <c r="H28" s="30" t="s">
        <v>713</v>
      </c>
      <c r="I28" s="30"/>
      <c r="J28" s="30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2">
        <v>1</v>
      </c>
      <c r="AU28" s="58" t="s">
        <v>646</v>
      </c>
      <c r="AV28" s="162"/>
      <c r="AW28" s="158"/>
      <c r="AX28" s="158"/>
      <c r="AY28" s="12">
        <v>38</v>
      </c>
      <c r="AZ28" s="158"/>
      <c r="BA28" s="158"/>
      <c r="BB28" s="158"/>
      <c r="BC28" s="69">
        <v>38</v>
      </c>
      <c r="BD28" s="69">
        <v>38</v>
      </c>
      <c r="BE28" s="69"/>
      <c r="BF28" s="271">
        <v>2018</v>
      </c>
      <c r="BG28" s="268"/>
      <c r="BH28" s="271"/>
      <c r="BI28" s="271" t="s">
        <v>2375</v>
      </c>
    </row>
    <row r="29" spans="1:61" s="204" customFormat="1" ht="24.75" customHeight="1">
      <c r="A29" s="230" t="s">
        <v>500</v>
      </c>
      <c r="B29" s="28" t="s">
        <v>522</v>
      </c>
      <c r="C29" s="231" t="s">
        <v>714</v>
      </c>
      <c r="D29" s="232" t="s">
        <v>16</v>
      </c>
      <c r="E29" s="232"/>
      <c r="F29" s="232"/>
      <c r="G29" s="232"/>
      <c r="H29" s="44" t="s">
        <v>715</v>
      </c>
      <c r="I29" s="115" t="s">
        <v>1506</v>
      </c>
      <c r="J29" s="215" t="s">
        <v>1505</v>
      </c>
      <c r="K29" s="158"/>
      <c r="L29" s="158"/>
      <c r="M29" s="158"/>
      <c r="N29" s="158"/>
      <c r="O29" s="158"/>
      <c r="P29" s="158">
        <f>6737805908-208385750</f>
        <v>6529420158</v>
      </c>
      <c r="Q29" s="158">
        <f>P29/BD29</f>
        <v>69461916.574468091</v>
      </c>
      <c r="R29" s="158"/>
      <c r="S29" s="158"/>
      <c r="T29" s="158"/>
      <c r="U29" s="158">
        <v>2841789016</v>
      </c>
      <c r="V29" s="158">
        <v>30</v>
      </c>
      <c r="W29" s="158"/>
      <c r="X29" s="158"/>
      <c r="Y29" s="158"/>
      <c r="Z29" s="158">
        <v>3687631142</v>
      </c>
      <c r="AA29" s="158">
        <v>10</v>
      </c>
      <c r="AB29" s="5"/>
      <c r="AC29" s="5"/>
      <c r="AD29" s="5"/>
      <c r="AE29" s="5"/>
      <c r="AF29" s="233">
        <f>P29-U29-Z29</f>
        <v>0</v>
      </c>
      <c r="AG29" s="233"/>
      <c r="AH29" s="233"/>
      <c r="AI29" s="233"/>
      <c r="AJ29" s="233"/>
      <c r="AK29" s="233"/>
      <c r="AL29" s="233">
        <v>877</v>
      </c>
      <c r="AM29" s="5">
        <v>10</v>
      </c>
      <c r="AN29" s="158"/>
      <c r="AO29" s="158"/>
      <c r="AP29" s="158"/>
      <c r="AQ29" s="158"/>
      <c r="AR29" s="158"/>
      <c r="AS29" s="158"/>
      <c r="AT29" s="2">
        <v>1</v>
      </c>
      <c r="AU29" s="58" t="s">
        <v>646</v>
      </c>
      <c r="AV29" s="162"/>
      <c r="AW29" s="158"/>
      <c r="AX29" s="158"/>
      <c r="AY29" s="12">
        <f>97-3</f>
        <v>94</v>
      </c>
      <c r="AZ29" s="158"/>
      <c r="BA29" s="158"/>
      <c r="BB29" s="158"/>
      <c r="BC29" s="69">
        <v>94</v>
      </c>
      <c r="BD29" s="69">
        <v>94</v>
      </c>
      <c r="BE29" s="69"/>
      <c r="BF29" s="271">
        <v>2018</v>
      </c>
      <c r="BG29" s="268"/>
      <c r="BH29" s="271"/>
      <c r="BI29" s="271" t="s">
        <v>2375</v>
      </c>
    </row>
    <row r="30" spans="1:61" s="204" customFormat="1" ht="31.5" customHeight="1">
      <c r="A30" s="160" t="s">
        <v>500</v>
      </c>
      <c r="B30" s="58" t="s">
        <v>522</v>
      </c>
      <c r="C30" s="124" t="s">
        <v>714</v>
      </c>
      <c r="D30" s="126" t="s">
        <v>16</v>
      </c>
      <c r="E30" s="126"/>
      <c r="F30" s="126"/>
      <c r="G30" s="126"/>
      <c r="H30" s="30" t="s">
        <v>715</v>
      </c>
      <c r="I30" s="115" t="s">
        <v>1506</v>
      </c>
      <c r="J30" s="215" t="s">
        <v>1505</v>
      </c>
      <c r="K30" s="158"/>
      <c r="L30" s="158"/>
      <c r="M30" s="158"/>
      <c r="N30" s="158"/>
      <c r="O30" s="158"/>
      <c r="P30" s="158">
        <v>208385750</v>
      </c>
      <c r="Q30" s="158">
        <f>P30/BD30</f>
        <v>69461916.666666672</v>
      </c>
      <c r="R30" s="158"/>
      <c r="S30" s="158"/>
      <c r="T30" s="158"/>
      <c r="U30" s="158">
        <v>90695395</v>
      </c>
      <c r="V30" s="158">
        <v>10</v>
      </c>
      <c r="W30" s="158"/>
      <c r="X30" s="158"/>
      <c r="Y30" s="158"/>
      <c r="Z30" s="158">
        <v>117690355</v>
      </c>
      <c r="AA30" s="69">
        <v>20</v>
      </c>
      <c r="AB30" s="311">
        <v>43770</v>
      </c>
      <c r="AC30" s="311"/>
      <c r="AD30" s="158"/>
      <c r="AE30" s="158"/>
      <c r="AF30" s="94">
        <f>P30-U30-Z30</f>
        <v>0</v>
      </c>
      <c r="AG30" s="94"/>
      <c r="AH30" s="94">
        <v>0</v>
      </c>
      <c r="AI30" s="94">
        <v>0</v>
      </c>
      <c r="AJ30" s="94"/>
      <c r="AK30" s="94">
        <f>AF30+AH30</f>
        <v>0</v>
      </c>
      <c r="AL30" s="94">
        <v>877</v>
      </c>
      <c r="AM30" s="158">
        <v>20</v>
      </c>
      <c r="AN30" s="61"/>
      <c r="AO30" s="158"/>
      <c r="AP30" s="158"/>
      <c r="AQ30" s="158"/>
      <c r="AR30" s="158"/>
      <c r="AS30" s="158"/>
      <c r="AT30" s="2">
        <v>1</v>
      </c>
      <c r="AU30" s="58" t="s">
        <v>646</v>
      </c>
      <c r="AV30" s="384" t="s">
        <v>1650</v>
      </c>
      <c r="AW30" s="158"/>
      <c r="AX30" s="158"/>
      <c r="AY30" s="12">
        <v>3</v>
      </c>
      <c r="AZ30" s="158"/>
      <c r="BA30" s="158"/>
      <c r="BB30" s="158"/>
      <c r="BC30" s="69">
        <v>3</v>
      </c>
      <c r="BD30" s="69">
        <v>3</v>
      </c>
      <c r="BE30" s="69"/>
      <c r="BF30" s="271">
        <v>2018</v>
      </c>
      <c r="BG30" s="431" t="s">
        <v>1652</v>
      </c>
      <c r="BH30" s="443"/>
      <c r="BI30" s="271" t="s">
        <v>2375</v>
      </c>
    </row>
    <row r="31" spans="1:61" s="204" customFormat="1" ht="35.25" customHeight="1">
      <c r="A31" s="243" t="s">
        <v>500</v>
      </c>
      <c r="B31" s="246" t="s">
        <v>11</v>
      </c>
      <c r="C31" s="724" t="s">
        <v>716</v>
      </c>
      <c r="D31" s="245" t="s">
        <v>16</v>
      </c>
      <c r="E31" s="245"/>
      <c r="F31" s="245"/>
      <c r="G31" s="245"/>
      <c r="H31" s="46" t="s">
        <v>715</v>
      </c>
      <c r="I31" s="30"/>
      <c r="J31" s="30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  <c r="AA31" s="158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158"/>
      <c r="AO31" s="158"/>
      <c r="AP31" s="158"/>
      <c r="AQ31" s="158"/>
      <c r="AR31" s="158"/>
      <c r="AS31" s="158"/>
      <c r="AT31" s="2">
        <v>1</v>
      </c>
      <c r="AU31" s="58" t="s">
        <v>646</v>
      </c>
      <c r="AV31" s="162"/>
      <c r="AW31" s="158"/>
      <c r="AX31" s="158"/>
      <c r="AY31" s="12">
        <v>36</v>
      </c>
      <c r="AZ31" s="158"/>
      <c r="BA31" s="158"/>
      <c r="BB31" s="158"/>
      <c r="BC31" s="69">
        <v>36</v>
      </c>
      <c r="BD31" s="69">
        <f>+AY31</f>
        <v>36</v>
      </c>
      <c r="BE31" s="69"/>
      <c r="BF31" s="271">
        <v>2018</v>
      </c>
      <c r="BG31" s="268"/>
      <c r="BH31" s="468"/>
      <c r="BI31" s="271" t="s">
        <v>2375</v>
      </c>
    </row>
    <row r="32" spans="1:61" s="468" customFormat="1" ht="30.75" customHeight="1">
      <c r="A32" s="160" t="s">
        <v>500</v>
      </c>
      <c r="B32" s="88" t="s">
        <v>936</v>
      </c>
      <c r="C32" s="124" t="s">
        <v>717</v>
      </c>
      <c r="D32" s="126" t="s">
        <v>69</v>
      </c>
      <c r="E32" s="126"/>
      <c r="F32" s="126"/>
      <c r="G32" s="126"/>
      <c r="H32" s="43" t="s">
        <v>715</v>
      </c>
      <c r="I32" s="115" t="s">
        <v>2417</v>
      </c>
      <c r="J32" s="215" t="s">
        <v>2418</v>
      </c>
      <c r="K32" s="158"/>
      <c r="L32" s="158"/>
      <c r="M32" s="158">
        <v>60</v>
      </c>
      <c r="N32" s="158"/>
      <c r="O32" s="158">
        <v>60</v>
      </c>
      <c r="P32" s="94">
        <v>4155811028</v>
      </c>
      <c r="Q32" s="158">
        <f>P32/AQ32</f>
        <v>69263517.13333334</v>
      </c>
      <c r="R32" s="158"/>
      <c r="S32" s="158"/>
      <c r="T32" s="158"/>
      <c r="U32" s="94">
        <v>1749815170</v>
      </c>
      <c r="V32" s="158">
        <v>30</v>
      </c>
      <c r="W32" s="158"/>
      <c r="X32" s="158"/>
      <c r="Y32" s="158"/>
      <c r="Z32" s="158"/>
      <c r="AA32" s="69"/>
      <c r="AB32" s="276"/>
      <c r="AC32" s="276"/>
      <c r="AD32" s="276"/>
      <c r="AE32" s="276"/>
      <c r="AF32" s="158">
        <f>P32-U32-Z32</f>
        <v>2405995858</v>
      </c>
      <c r="AG32" s="158"/>
      <c r="AH32" s="94">
        <v>0</v>
      </c>
      <c r="AI32" s="94">
        <v>2405995858</v>
      </c>
      <c r="AJ32" s="94"/>
      <c r="AK32" s="666">
        <f>P32-R32-U32-Z32</f>
        <v>2405995858</v>
      </c>
      <c r="AL32" s="665">
        <v>877</v>
      </c>
      <c r="AM32" s="666">
        <v>20</v>
      </c>
      <c r="AN32" s="224"/>
      <c r="AO32" s="158"/>
      <c r="AP32" s="158"/>
      <c r="AQ32" s="158">
        <v>60</v>
      </c>
      <c r="AR32" s="158"/>
      <c r="AS32" s="158"/>
      <c r="AT32" s="14">
        <v>1.7899999999999999E-2</v>
      </c>
      <c r="AU32" s="58" t="s">
        <v>942</v>
      </c>
      <c r="AV32" s="384" t="s">
        <v>1489</v>
      </c>
      <c r="AW32" s="158"/>
      <c r="AX32" s="158"/>
      <c r="AY32" s="158"/>
      <c r="AZ32" s="158"/>
      <c r="BA32" s="158"/>
      <c r="BB32" s="158"/>
      <c r="BC32" s="69"/>
      <c r="BD32" s="69"/>
      <c r="BE32" s="69"/>
      <c r="BF32" s="271"/>
      <c r="BG32" s="271">
        <v>2019</v>
      </c>
      <c r="BH32" s="271">
        <v>2020</v>
      </c>
      <c r="BI32" s="271" t="s">
        <v>2375</v>
      </c>
    </row>
    <row r="33" spans="1:61" s="468" customFormat="1" ht="18" customHeight="1">
      <c r="A33" s="248" t="s">
        <v>500</v>
      </c>
      <c r="B33" s="251" t="s">
        <v>719</v>
      </c>
      <c r="C33" s="249" t="s">
        <v>718</v>
      </c>
      <c r="D33" s="250" t="s">
        <v>54</v>
      </c>
      <c r="E33" s="250"/>
      <c r="F33" s="250"/>
      <c r="G33" s="250"/>
      <c r="H33" s="376" t="s">
        <v>720</v>
      </c>
      <c r="I33" s="115" t="s">
        <v>1540</v>
      </c>
      <c r="J33" s="215" t="s">
        <v>1475</v>
      </c>
      <c r="K33" s="158"/>
      <c r="L33" s="158"/>
      <c r="M33" s="158">
        <v>13</v>
      </c>
      <c r="N33" s="158"/>
      <c r="O33" s="158"/>
      <c r="P33" s="158">
        <v>901371088</v>
      </c>
      <c r="Q33" s="158">
        <f>P33/BD33</f>
        <v>69336237.538461536</v>
      </c>
      <c r="R33" s="158"/>
      <c r="S33" s="158"/>
      <c r="T33" s="158"/>
      <c r="U33" s="94">
        <v>387309957</v>
      </c>
      <c r="V33" s="158">
        <v>10</v>
      </c>
      <c r="W33" s="158"/>
      <c r="X33" s="158"/>
      <c r="Y33" s="158"/>
      <c r="Z33" s="158">
        <v>514061131</v>
      </c>
      <c r="AA33" s="158">
        <v>10</v>
      </c>
      <c r="AB33" s="311">
        <v>43678</v>
      </c>
      <c r="AC33" s="311"/>
      <c r="AD33" s="158"/>
      <c r="AE33" s="158"/>
      <c r="AF33" s="158">
        <f>P33-U33-Z33</f>
        <v>0</v>
      </c>
      <c r="AG33" s="158"/>
      <c r="AH33" s="94">
        <v>0</v>
      </c>
      <c r="AI33" s="94">
        <v>0</v>
      </c>
      <c r="AJ33" s="94"/>
      <c r="AK33" s="94">
        <f t="shared" ref="AK33:AK35" si="3">AF33+AH33</f>
        <v>0</v>
      </c>
      <c r="AL33" s="233">
        <v>877</v>
      </c>
      <c r="AM33" s="92">
        <v>10</v>
      </c>
      <c r="AN33" s="158"/>
      <c r="AO33" s="158"/>
      <c r="AP33" s="158"/>
      <c r="AQ33" s="158"/>
      <c r="AR33" s="158"/>
      <c r="AS33" s="158"/>
      <c r="AT33" s="2">
        <v>1</v>
      </c>
      <c r="AU33" s="58" t="s">
        <v>646</v>
      </c>
      <c r="AV33" s="384" t="s">
        <v>1839</v>
      </c>
      <c r="AW33" s="158"/>
      <c r="AX33" s="158"/>
      <c r="AY33" s="158"/>
      <c r="AZ33" s="158">
        <v>13</v>
      </c>
      <c r="BA33" s="158"/>
      <c r="BB33" s="158"/>
      <c r="BC33" s="69"/>
      <c r="BD33" s="69">
        <v>13</v>
      </c>
      <c r="BE33" s="69"/>
      <c r="BF33" s="271">
        <v>2019</v>
      </c>
      <c r="BG33" s="271">
        <v>2019</v>
      </c>
      <c r="BH33" s="271"/>
      <c r="BI33" s="271" t="s">
        <v>2375</v>
      </c>
    </row>
    <row r="34" spans="1:61" s="468" customFormat="1" ht="18" customHeight="1">
      <c r="A34" s="160" t="s">
        <v>500</v>
      </c>
      <c r="B34" s="58" t="s">
        <v>719</v>
      </c>
      <c r="C34" s="124" t="s">
        <v>1347</v>
      </c>
      <c r="D34" s="126" t="s">
        <v>54</v>
      </c>
      <c r="E34" s="126"/>
      <c r="F34" s="126"/>
      <c r="G34" s="126"/>
      <c r="H34" s="43" t="s">
        <v>720</v>
      </c>
      <c r="I34" s="115" t="s">
        <v>1745</v>
      </c>
      <c r="J34" s="215" t="s">
        <v>1746</v>
      </c>
      <c r="K34" s="158"/>
      <c r="L34" s="158">
        <v>55</v>
      </c>
      <c r="M34" s="158"/>
      <c r="N34" s="158"/>
      <c r="O34" s="158"/>
      <c r="P34" s="158">
        <v>3813493065</v>
      </c>
      <c r="Q34" s="158">
        <f>P34/BD34</f>
        <v>69336237.545454547</v>
      </c>
      <c r="R34" s="158"/>
      <c r="S34" s="158"/>
      <c r="T34" s="158"/>
      <c r="U34" s="94">
        <v>1614246510</v>
      </c>
      <c r="V34" s="158">
        <v>10</v>
      </c>
      <c r="W34" s="158"/>
      <c r="X34" s="158"/>
      <c r="Y34" s="158"/>
      <c r="Z34" s="158">
        <v>2199246555</v>
      </c>
      <c r="AA34" s="158">
        <v>20</v>
      </c>
      <c r="AB34" s="311">
        <v>43617</v>
      </c>
      <c r="AC34" s="311"/>
      <c r="AD34" s="158"/>
      <c r="AE34" s="158"/>
      <c r="AF34" s="158">
        <f>P34-U34-Z34</f>
        <v>0</v>
      </c>
      <c r="AG34" s="158"/>
      <c r="AH34" s="94">
        <v>0</v>
      </c>
      <c r="AI34" s="94">
        <v>0</v>
      </c>
      <c r="AJ34" s="94"/>
      <c r="AK34" s="94">
        <f t="shared" si="3"/>
        <v>0</v>
      </c>
      <c r="AL34" s="233">
        <v>877</v>
      </c>
      <c r="AM34" s="92">
        <v>20</v>
      </c>
      <c r="AN34" s="158"/>
      <c r="AO34" s="158"/>
      <c r="AP34" s="158"/>
      <c r="AQ34" s="158"/>
      <c r="AR34" s="158"/>
      <c r="AS34" s="158"/>
      <c r="AT34" s="2">
        <v>1</v>
      </c>
      <c r="AU34" s="58" t="s">
        <v>646</v>
      </c>
      <c r="AV34" s="384" t="s">
        <v>1839</v>
      </c>
      <c r="AW34" s="158"/>
      <c r="AX34" s="158"/>
      <c r="AY34" s="158"/>
      <c r="AZ34" s="158">
        <v>55</v>
      </c>
      <c r="BA34" s="158"/>
      <c r="BB34" s="158"/>
      <c r="BC34" s="69"/>
      <c r="BD34" s="69">
        <v>55</v>
      </c>
      <c r="BE34" s="69"/>
      <c r="BF34" s="271">
        <v>2019</v>
      </c>
      <c r="BG34" s="271">
        <v>2019</v>
      </c>
      <c r="BH34" s="271"/>
      <c r="BI34" s="271" t="s">
        <v>2375</v>
      </c>
    </row>
    <row r="35" spans="1:61" s="468" customFormat="1" ht="29.25" customHeight="1">
      <c r="A35" s="160" t="s">
        <v>500</v>
      </c>
      <c r="B35" s="58" t="s">
        <v>987</v>
      </c>
      <c r="C35" s="124" t="s">
        <v>1109</v>
      </c>
      <c r="D35" s="126" t="s">
        <v>16</v>
      </c>
      <c r="E35" s="126"/>
      <c r="F35" s="126"/>
      <c r="G35" s="126"/>
      <c r="H35" s="43" t="s">
        <v>968</v>
      </c>
      <c r="I35" s="30">
        <v>1098</v>
      </c>
      <c r="J35" s="212">
        <v>43609</v>
      </c>
      <c r="K35" s="94">
        <v>78</v>
      </c>
      <c r="L35" s="94">
        <v>78</v>
      </c>
      <c r="M35" s="94"/>
      <c r="N35" s="158"/>
      <c r="O35" s="158"/>
      <c r="P35" s="94">
        <v>5539593432</v>
      </c>
      <c r="Q35" s="158">
        <f>P35/BD35</f>
        <v>71020428.615384609</v>
      </c>
      <c r="R35" s="94"/>
      <c r="S35" s="94"/>
      <c r="T35" s="94"/>
      <c r="U35" s="94">
        <v>2420112894</v>
      </c>
      <c r="V35" s="94">
        <v>20</v>
      </c>
      <c r="W35" s="94"/>
      <c r="X35" s="94"/>
      <c r="Y35" s="94"/>
      <c r="Z35" s="158">
        <v>3119480538</v>
      </c>
      <c r="AA35" s="94">
        <v>10</v>
      </c>
      <c r="AB35" s="311">
        <v>43405</v>
      </c>
      <c r="AC35" s="94"/>
      <c r="AD35" s="94"/>
      <c r="AE35" s="94"/>
      <c r="AF35" s="158">
        <f>P35-U35-Z35</f>
        <v>0</v>
      </c>
      <c r="AG35" s="158"/>
      <c r="AH35" s="94">
        <v>0</v>
      </c>
      <c r="AI35" s="94">
        <v>0</v>
      </c>
      <c r="AJ35" s="94"/>
      <c r="AK35" s="94">
        <f t="shared" si="3"/>
        <v>0</v>
      </c>
      <c r="AL35" s="94">
        <v>877</v>
      </c>
      <c r="AM35" s="94">
        <v>10</v>
      </c>
      <c r="AN35" s="158"/>
      <c r="AO35" s="158"/>
      <c r="AP35" s="158"/>
      <c r="AQ35" s="158"/>
      <c r="AR35" s="158"/>
      <c r="AS35" s="158"/>
      <c r="AT35" s="2">
        <v>1</v>
      </c>
      <c r="AU35" s="58" t="s">
        <v>646</v>
      </c>
      <c r="AV35" s="384"/>
      <c r="AW35" s="158"/>
      <c r="AX35" s="158"/>
      <c r="AY35" s="158"/>
      <c r="AZ35" s="158">
        <v>78</v>
      </c>
      <c r="BA35" s="158"/>
      <c r="BB35" s="158"/>
      <c r="BC35" s="69"/>
      <c r="BD35" s="69">
        <v>78</v>
      </c>
      <c r="BE35" s="69"/>
      <c r="BF35" s="271">
        <v>2019</v>
      </c>
      <c r="BG35" s="445" t="s">
        <v>1652</v>
      </c>
      <c r="BH35" s="271"/>
      <c r="BI35" s="271" t="s">
        <v>2375</v>
      </c>
    </row>
    <row r="36" spans="1:61" s="468" customFormat="1" ht="18" customHeight="1">
      <c r="A36" s="160" t="s">
        <v>500</v>
      </c>
      <c r="B36" s="58" t="s">
        <v>11</v>
      </c>
      <c r="C36" s="124" t="s">
        <v>1057</v>
      </c>
      <c r="D36" s="126" t="s">
        <v>16</v>
      </c>
      <c r="E36" s="126"/>
      <c r="F36" s="126"/>
      <c r="G36" s="126"/>
      <c r="H36" s="43" t="s">
        <v>1058</v>
      </c>
      <c r="I36" s="30">
        <v>25</v>
      </c>
      <c r="J36" s="212">
        <v>43363</v>
      </c>
      <c r="K36" s="94">
        <v>197</v>
      </c>
      <c r="L36" s="94">
        <v>197</v>
      </c>
      <c r="M36" s="94"/>
      <c r="N36" s="158">
        <v>197</v>
      </c>
      <c r="O36" s="158"/>
      <c r="P36" s="94">
        <f>15417732281-77867335</f>
        <v>15339864946</v>
      </c>
      <c r="Q36" s="158">
        <f>P36/BD36</f>
        <v>77867334.751269042</v>
      </c>
      <c r="R36" s="94"/>
      <c r="S36" s="94"/>
      <c r="T36" s="94"/>
      <c r="U36" s="94">
        <v>6574808617</v>
      </c>
      <c r="V36" s="94">
        <v>20</v>
      </c>
      <c r="W36" s="311">
        <v>43344</v>
      </c>
      <c r="X36" s="94"/>
      <c r="Y36" s="94"/>
      <c r="Z36" s="158">
        <v>8765056329</v>
      </c>
      <c r="AA36" s="94">
        <v>20</v>
      </c>
      <c r="AB36" s="311">
        <v>43586</v>
      </c>
      <c r="AC36" s="311"/>
      <c r="AD36" s="1"/>
      <c r="AE36" s="94"/>
      <c r="AF36" s="158">
        <f t="shared" ref="AF36:AF45" si="4">P36-U36-Z36</f>
        <v>0</v>
      </c>
      <c r="AG36" s="158"/>
      <c r="AH36" s="94">
        <v>0</v>
      </c>
      <c r="AI36" s="94">
        <v>0</v>
      </c>
      <c r="AJ36" s="94"/>
      <c r="AK36" s="158">
        <f t="shared" ref="AK36:AK37" si="5">P36-R36-U36-Z36</f>
        <v>0</v>
      </c>
      <c r="AL36" s="233">
        <v>877</v>
      </c>
      <c r="AM36" s="94">
        <v>20</v>
      </c>
      <c r="AN36" s="158"/>
      <c r="AO36" s="158"/>
      <c r="AP36" s="158">
        <v>197</v>
      </c>
      <c r="AQ36" s="158"/>
      <c r="AR36" s="158"/>
      <c r="AS36" s="158"/>
      <c r="AT36" s="2">
        <v>1</v>
      </c>
      <c r="AU36" s="58" t="s">
        <v>646</v>
      </c>
      <c r="AV36" s="384"/>
      <c r="AW36" s="158"/>
      <c r="AX36" s="158"/>
      <c r="AY36" s="158"/>
      <c r="AZ36" s="158"/>
      <c r="BA36" s="158">
        <v>197</v>
      </c>
      <c r="BB36" s="158"/>
      <c r="BC36" s="69"/>
      <c r="BD36" s="69">
        <v>197</v>
      </c>
      <c r="BE36" s="69"/>
      <c r="BF36" s="271">
        <v>2020</v>
      </c>
      <c r="BG36" s="271">
        <v>2019</v>
      </c>
      <c r="BH36" s="430">
        <v>2020</v>
      </c>
      <c r="BI36" s="271" t="s">
        <v>2375</v>
      </c>
    </row>
    <row r="37" spans="1:61" s="468" customFormat="1" ht="18" customHeight="1">
      <c r="A37" s="160" t="s">
        <v>500</v>
      </c>
      <c r="B37" s="58" t="s">
        <v>11</v>
      </c>
      <c r="C37" s="124" t="s">
        <v>1057</v>
      </c>
      <c r="D37" s="126" t="s">
        <v>16</v>
      </c>
      <c r="E37" s="126"/>
      <c r="F37" s="126"/>
      <c r="G37" s="126"/>
      <c r="H37" s="43" t="s">
        <v>1058</v>
      </c>
      <c r="I37" s="30">
        <v>25</v>
      </c>
      <c r="J37" s="212">
        <v>43363</v>
      </c>
      <c r="K37" s="94">
        <v>1</v>
      </c>
      <c r="L37" s="94">
        <v>1</v>
      </c>
      <c r="M37" s="94"/>
      <c r="N37" s="158">
        <v>1</v>
      </c>
      <c r="O37" s="158"/>
      <c r="P37" s="94">
        <v>77867335</v>
      </c>
      <c r="Q37" s="158">
        <f>P37/AN37</f>
        <v>77867335</v>
      </c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158">
        <f t="shared" si="4"/>
        <v>77867335</v>
      </c>
      <c r="AG37" s="158"/>
      <c r="AH37" s="94">
        <v>0</v>
      </c>
      <c r="AI37" s="94">
        <v>77867335</v>
      </c>
      <c r="AJ37" s="94"/>
      <c r="AK37" s="664">
        <f t="shared" si="5"/>
        <v>77867335</v>
      </c>
      <c r="AL37" s="665">
        <v>877</v>
      </c>
      <c r="AM37" s="666">
        <v>20</v>
      </c>
      <c r="AN37" s="158">
        <v>1</v>
      </c>
      <c r="AO37" s="254"/>
      <c r="AP37" s="158"/>
      <c r="AQ37" s="158"/>
      <c r="AR37" s="158"/>
      <c r="AS37" s="158"/>
      <c r="AT37" s="2">
        <v>0</v>
      </c>
      <c r="AU37" s="58" t="s">
        <v>521</v>
      </c>
      <c r="AV37" s="384"/>
      <c r="AW37" s="158"/>
      <c r="AX37" s="158"/>
      <c r="AY37" s="158"/>
      <c r="AZ37" s="158"/>
      <c r="BA37" s="158"/>
      <c r="BB37" s="158"/>
      <c r="BC37" s="69"/>
      <c r="BD37" s="69"/>
      <c r="BE37" s="69"/>
      <c r="BF37" s="271"/>
      <c r="BG37" s="271">
        <v>2019</v>
      </c>
      <c r="BH37" s="271">
        <v>2020</v>
      </c>
      <c r="BI37" s="271" t="s">
        <v>2375</v>
      </c>
    </row>
    <row r="38" spans="1:61" s="468" customFormat="1" ht="18" customHeight="1">
      <c r="A38" s="230" t="s">
        <v>500</v>
      </c>
      <c r="B38" s="58" t="s">
        <v>719</v>
      </c>
      <c r="C38" s="231" t="s">
        <v>1130</v>
      </c>
      <c r="D38" s="126" t="s">
        <v>46</v>
      </c>
      <c r="E38" s="232"/>
      <c r="F38" s="232"/>
      <c r="G38" s="232"/>
      <c r="H38" s="377" t="s">
        <v>1113</v>
      </c>
      <c r="I38" s="30">
        <v>774</v>
      </c>
      <c r="J38" s="212">
        <v>43455</v>
      </c>
      <c r="K38" s="94">
        <v>32</v>
      </c>
      <c r="L38" s="94">
        <v>32</v>
      </c>
      <c r="M38" s="94"/>
      <c r="N38" s="158"/>
      <c r="O38" s="158"/>
      <c r="P38" s="158">
        <v>2105849040</v>
      </c>
      <c r="Q38" s="158">
        <f>P38/BD38</f>
        <v>65807782.5</v>
      </c>
      <c r="R38" s="158"/>
      <c r="S38" s="158"/>
      <c r="T38" s="158"/>
      <c r="U38" s="94">
        <v>1143425702</v>
      </c>
      <c r="V38" s="94">
        <v>10</v>
      </c>
      <c r="W38" s="311">
        <v>43435</v>
      </c>
      <c r="X38" s="94"/>
      <c r="Y38" s="94"/>
      <c r="Z38" s="158">
        <v>962423338</v>
      </c>
      <c r="AA38" s="94">
        <v>10</v>
      </c>
      <c r="AB38" s="311">
        <v>43617</v>
      </c>
      <c r="AC38" s="329"/>
      <c r="AD38" s="233"/>
      <c r="AE38" s="233"/>
      <c r="AF38" s="158">
        <f>P38-U38-Z38</f>
        <v>0</v>
      </c>
      <c r="AG38" s="158"/>
      <c r="AH38" s="94">
        <v>0</v>
      </c>
      <c r="AI38" s="94">
        <v>0</v>
      </c>
      <c r="AJ38" s="94"/>
      <c r="AK38" s="158">
        <f>AF38+AH38</f>
        <v>0</v>
      </c>
      <c r="AL38" s="94">
        <v>877</v>
      </c>
      <c r="AM38" s="94">
        <v>10</v>
      </c>
      <c r="AN38" s="94"/>
      <c r="AO38" s="254"/>
      <c r="AP38" s="94"/>
      <c r="AQ38" s="158"/>
      <c r="AR38" s="158"/>
      <c r="AS38" s="158"/>
      <c r="AT38" s="2">
        <v>1</v>
      </c>
      <c r="AU38" s="58" t="s">
        <v>646</v>
      </c>
      <c r="AV38" s="384" t="s">
        <v>1839</v>
      </c>
      <c r="AW38" s="158"/>
      <c r="AX38" s="158"/>
      <c r="AY38" s="158"/>
      <c r="AZ38" s="158">
        <v>32</v>
      </c>
      <c r="BA38" s="158"/>
      <c r="BB38" s="158"/>
      <c r="BC38" s="69"/>
      <c r="BD38" s="69">
        <v>32</v>
      </c>
      <c r="BE38" s="69"/>
      <c r="BF38" s="271">
        <v>2019</v>
      </c>
      <c r="BG38" s="271">
        <v>2019</v>
      </c>
      <c r="BH38" s="271"/>
      <c r="BI38" s="271" t="s">
        <v>2375</v>
      </c>
    </row>
    <row r="39" spans="1:61" s="468" customFormat="1" ht="36.75" customHeight="1">
      <c r="A39" s="160" t="s">
        <v>500</v>
      </c>
      <c r="B39" s="58" t="s">
        <v>1114</v>
      </c>
      <c r="C39" s="124" t="s">
        <v>1171</v>
      </c>
      <c r="D39" s="126" t="s">
        <v>524</v>
      </c>
      <c r="E39" s="126"/>
      <c r="F39" s="126"/>
      <c r="G39" s="126"/>
      <c r="H39" s="43" t="s">
        <v>1113</v>
      </c>
      <c r="I39" s="78">
        <v>775</v>
      </c>
      <c r="J39" s="212">
        <v>43455</v>
      </c>
      <c r="K39" s="94">
        <f>60-1</f>
        <v>59</v>
      </c>
      <c r="L39" s="94">
        <v>59</v>
      </c>
      <c r="M39" s="94"/>
      <c r="N39" s="158">
        <v>59</v>
      </c>
      <c r="O39" s="158"/>
      <c r="P39" s="94">
        <f>4567039500-74869500-74869500</f>
        <v>4417300500</v>
      </c>
      <c r="Q39" s="94">
        <f>P39/AO39</f>
        <v>74869500</v>
      </c>
      <c r="R39" s="94"/>
      <c r="S39" s="94"/>
      <c r="T39" s="94"/>
      <c r="U39" s="94">
        <f>2423845500-2177464950+2137067525</f>
        <v>2383448075</v>
      </c>
      <c r="V39" s="218">
        <v>10</v>
      </c>
      <c r="W39" s="312" t="s">
        <v>1718</v>
      </c>
      <c r="X39" s="312"/>
      <c r="Y39" s="312"/>
      <c r="Z39" s="158">
        <v>2033852425</v>
      </c>
      <c r="AA39" s="94">
        <v>20</v>
      </c>
      <c r="AB39" s="311">
        <v>43920</v>
      </c>
      <c r="AC39" s="577"/>
      <c r="AD39" s="218"/>
      <c r="AE39" s="218"/>
      <c r="AF39" s="158">
        <f>P39-U39</f>
        <v>2033852425</v>
      </c>
      <c r="AG39" s="158"/>
      <c r="AH39" s="94">
        <v>0</v>
      </c>
      <c r="AI39" s="158">
        <v>2033852425</v>
      </c>
      <c r="AJ39" s="94"/>
      <c r="AK39" s="666">
        <f>P39-R39-U39-Z39</f>
        <v>0</v>
      </c>
      <c r="AL39" s="665">
        <v>877</v>
      </c>
      <c r="AM39" s="664">
        <v>20</v>
      </c>
      <c r="AN39" s="225"/>
      <c r="AO39" s="254">
        <v>59</v>
      </c>
      <c r="AP39" s="158"/>
      <c r="AQ39" s="158"/>
      <c r="AR39" s="158"/>
      <c r="AS39" s="158"/>
      <c r="AT39" s="2">
        <v>0.58279999999999998</v>
      </c>
      <c r="AU39" s="58" t="s">
        <v>38</v>
      </c>
      <c r="AV39" s="384" t="s">
        <v>1348</v>
      </c>
      <c r="AW39" s="158"/>
      <c r="AX39" s="158"/>
      <c r="AY39" s="158"/>
      <c r="AZ39" s="158"/>
      <c r="BA39" s="158"/>
      <c r="BB39" s="158"/>
      <c r="BC39" s="69"/>
      <c r="BD39" s="69"/>
      <c r="BE39" s="69"/>
      <c r="BF39" s="271"/>
      <c r="BG39" s="271">
        <v>2019</v>
      </c>
      <c r="BH39" s="430">
        <v>2020</v>
      </c>
      <c r="BI39" s="271" t="s">
        <v>2375</v>
      </c>
    </row>
    <row r="40" spans="1:61" s="468" customFormat="1" ht="18" customHeight="1">
      <c r="A40" s="160" t="s">
        <v>500</v>
      </c>
      <c r="B40" s="58" t="s">
        <v>1114</v>
      </c>
      <c r="C40" s="124" t="s">
        <v>1171</v>
      </c>
      <c r="D40" s="126" t="s">
        <v>524</v>
      </c>
      <c r="E40" s="126"/>
      <c r="F40" s="126"/>
      <c r="G40" s="126"/>
      <c r="H40" s="43" t="s">
        <v>1113</v>
      </c>
      <c r="I40" s="78">
        <v>775</v>
      </c>
      <c r="J40" s="212">
        <v>43455</v>
      </c>
      <c r="K40" s="94">
        <v>1</v>
      </c>
      <c r="L40" s="94">
        <v>1</v>
      </c>
      <c r="M40" s="94"/>
      <c r="N40" s="158">
        <v>1</v>
      </c>
      <c r="O40" s="158"/>
      <c r="P40" s="94">
        <v>74869500</v>
      </c>
      <c r="Q40" s="94">
        <f>P40/AN40</f>
        <v>74869500</v>
      </c>
      <c r="R40" s="94"/>
      <c r="S40" s="94"/>
      <c r="T40" s="94"/>
      <c r="U40" s="94"/>
      <c r="V40" s="218"/>
      <c r="W40" s="218"/>
      <c r="X40" s="218"/>
      <c r="Y40" s="218"/>
      <c r="Z40" s="158"/>
      <c r="AA40" s="218"/>
      <c r="AB40" s="218"/>
      <c r="AC40" s="218"/>
      <c r="AD40" s="94"/>
      <c r="AE40" s="94"/>
      <c r="AF40" s="158">
        <f>P40-U40-Z40</f>
        <v>74869500</v>
      </c>
      <c r="AG40" s="158"/>
      <c r="AH40" s="94">
        <v>0</v>
      </c>
      <c r="AI40" s="94">
        <v>74869500</v>
      </c>
      <c r="AJ40" s="94"/>
      <c r="AK40" s="664">
        <f t="shared" ref="AK40:AK54" si="6">P40-R40-U40-Z40</f>
        <v>74869500</v>
      </c>
      <c r="AL40" s="665">
        <v>877</v>
      </c>
      <c r="AM40" s="664">
        <v>20</v>
      </c>
      <c r="AN40" s="225">
        <v>1</v>
      </c>
      <c r="AO40" s="254"/>
      <c r="AP40" s="158"/>
      <c r="AQ40" s="158"/>
      <c r="AR40" s="158"/>
      <c r="AS40" s="158"/>
      <c r="AT40" s="2">
        <v>0</v>
      </c>
      <c r="AU40" s="58" t="s">
        <v>521</v>
      </c>
      <c r="AV40" s="384"/>
      <c r="AW40" s="158"/>
      <c r="AX40" s="158"/>
      <c r="AY40" s="158"/>
      <c r="AZ40" s="158"/>
      <c r="BA40" s="158"/>
      <c r="BB40" s="158"/>
      <c r="BC40" s="69"/>
      <c r="BD40" s="69"/>
      <c r="BE40" s="69"/>
      <c r="BF40" s="271"/>
      <c r="BG40" s="271">
        <v>2019</v>
      </c>
      <c r="BH40" s="271">
        <v>2020</v>
      </c>
      <c r="BI40" s="271" t="s">
        <v>2375</v>
      </c>
    </row>
    <row r="41" spans="1:61" s="468" customFormat="1" ht="18" customHeight="1">
      <c r="A41" s="243" t="s">
        <v>500</v>
      </c>
      <c r="B41" s="246" t="s">
        <v>1114</v>
      </c>
      <c r="C41" s="244" t="s">
        <v>1171</v>
      </c>
      <c r="D41" s="245" t="s">
        <v>524</v>
      </c>
      <c r="E41" s="245"/>
      <c r="F41" s="245"/>
      <c r="G41" s="245"/>
      <c r="H41" s="378" t="s">
        <v>1113</v>
      </c>
      <c r="I41" s="30">
        <v>775</v>
      </c>
      <c r="J41" s="212">
        <v>43455</v>
      </c>
      <c r="K41" s="94"/>
      <c r="L41" s="94"/>
      <c r="M41" s="158">
        <v>1</v>
      </c>
      <c r="N41" s="158">
        <v>1</v>
      </c>
      <c r="O41" s="158"/>
      <c r="P41" s="94">
        <v>74869500</v>
      </c>
      <c r="Q41" s="94">
        <f>P41/AP41</f>
        <v>74869500</v>
      </c>
      <c r="R41" s="94"/>
      <c r="S41" s="94"/>
      <c r="T41" s="94"/>
      <c r="U41" s="94"/>
      <c r="V41" s="94"/>
      <c r="W41" s="94"/>
      <c r="X41" s="94"/>
      <c r="Y41" s="94"/>
      <c r="Z41" s="158"/>
      <c r="AA41" s="94"/>
      <c r="AB41" s="252"/>
      <c r="AC41" s="252"/>
      <c r="AD41" s="252"/>
      <c r="AE41" s="252"/>
      <c r="AF41" s="158">
        <f t="shared" si="4"/>
        <v>74869500</v>
      </c>
      <c r="AG41" s="158"/>
      <c r="AH41" s="94">
        <v>0</v>
      </c>
      <c r="AI41" s="94">
        <v>74869500</v>
      </c>
      <c r="AJ41" s="94"/>
      <c r="AK41" s="664">
        <f t="shared" si="6"/>
        <v>74869500</v>
      </c>
      <c r="AL41" s="665">
        <v>877</v>
      </c>
      <c r="AM41" s="664">
        <v>20</v>
      </c>
      <c r="AN41" s="94"/>
      <c r="AO41" s="94"/>
      <c r="AP41" s="94">
        <v>1</v>
      </c>
      <c r="AQ41" s="158"/>
      <c r="AR41" s="158"/>
      <c r="AS41" s="158"/>
      <c r="AT41" s="2">
        <v>1</v>
      </c>
      <c r="AU41" s="58" t="s">
        <v>646</v>
      </c>
      <c r="AV41" s="384" t="s">
        <v>1348</v>
      </c>
      <c r="AW41" s="158"/>
      <c r="AX41" s="158"/>
      <c r="AY41" s="158"/>
      <c r="AZ41" s="158"/>
      <c r="BA41" s="158">
        <v>1</v>
      </c>
      <c r="BB41" s="158"/>
      <c r="BC41" s="69"/>
      <c r="BD41" s="69">
        <v>1</v>
      </c>
      <c r="BE41" s="69"/>
      <c r="BF41" s="271">
        <v>2020</v>
      </c>
      <c r="BG41" s="271">
        <v>2019</v>
      </c>
      <c r="BH41" s="271">
        <v>2020</v>
      </c>
      <c r="BI41" s="271" t="s">
        <v>2375</v>
      </c>
    </row>
    <row r="42" spans="1:61" s="468" customFormat="1" ht="18" customHeight="1">
      <c r="A42" s="160" t="s">
        <v>500</v>
      </c>
      <c r="B42" s="58" t="s">
        <v>4</v>
      </c>
      <c r="C42" s="124" t="s">
        <v>1231</v>
      </c>
      <c r="D42" s="126" t="s">
        <v>16</v>
      </c>
      <c r="E42" s="126"/>
      <c r="F42" s="126"/>
      <c r="G42" s="126"/>
      <c r="H42" s="43" t="s">
        <v>1232</v>
      </c>
      <c r="I42" s="78">
        <v>498</v>
      </c>
      <c r="J42" s="212">
        <v>43539</v>
      </c>
      <c r="K42" s="94"/>
      <c r="L42" s="94"/>
      <c r="M42" s="158">
        <v>67</v>
      </c>
      <c r="N42" s="158">
        <v>67</v>
      </c>
      <c r="O42" s="158"/>
      <c r="P42" s="94">
        <v>5323805368</v>
      </c>
      <c r="Q42" s="94">
        <f t="shared" ref="Q42:Q43" si="7">P42/AP42</f>
        <v>79459781.611940295</v>
      </c>
      <c r="R42" s="94"/>
      <c r="S42" s="94"/>
      <c r="T42" s="94"/>
      <c r="U42" s="94">
        <v>2744358281</v>
      </c>
      <c r="V42" s="94">
        <v>10</v>
      </c>
      <c r="W42" s="311">
        <v>43556</v>
      </c>
      <c r="X42" s="311"/>
      <c r="Y42" s="311"/>
      <c r="Z42" s="158">
        <v>2579447087</v>
      </c>
      <c r="AA42" s="218">
        <v>20</v>
      </c>
      <c r="AB42" s="311">
        <v>43709</v>
      </c>
      <c r="AC42" s="311"/>
      <c r="AD42" s="311"/>
      <c r="AE42" s="218"/>
      <c r="AF42" s="158">
        <f t="shared" si="4"/>
        <v>0</v>
      </c>
      <c r="AG42" s="158"/>
      <c r="AH42" s="94">
        <v>0</v>
      </c>
      <c r="AI42" s="94">
        <v>0</v>
      </c>
      <c r="AJ42" s="94"/>
      <c r="AK42" s="158">
        <f t="shared" si="6"/>
        <v>0</v>
      </c>
      <c r="AL42" s="94">
        <v>877</v>
      </c>
      <c r="AM42" s="94">
        <v>20</v>
      </c>
      <c r="AN42" s="225"/>
      <c r="AO42" s="254"/>
      <c r="AP42" s="158">
        <v>67</v>
      </c>
      <c r="AQ42" s="158"/>
      <c r="AR42" s="158"/>
      <c r="AS42" s="158"/>
      <c r="AT42" s="2">
        <v>1</v>
      </c>
      <c r="AU42" s="58" t="s">
        <v>646</v>
      </c>
      <c r="AV42" s="384"/>
      <c r="AW42" s="158"/>
      <c r="AX42" s="158"/>
      <c r="AY42" s="158"/>
      <c r="AZ42" s="158"/>
      <c r="BA42" s="158">
        <v>67</v>
      </c>
      <c r="BB42" s="158"/>
      <c r="BC42" s="69"/>
      <c r="BD42" s="69">
        <v>67</v>
      </c>
      <c r="BE42" s="69"/>
      <c r="BF42" s="271">
        <v>2020</v>
      </c>
      <c r="BG42" s="271">
        <v>2019</v>
      </c>
      <c r="BH42" s="430">
        <v>2020</v>
      </c>
      <c r="BI42" s="271" t="s">
        <v>2375</v>
      </c>
    </row>
    <row r="43" spans="1:61" s="468" customFormat="1" ht="18" customHeight="1">
      <c r="A43" s="160" t="s">
        <v>500</v>
      </c>
      <c r="B43" s="58" t="s">
        <v>1235</v>
      </c>
      <c r="C43" s="124" t="s">
        <v>1350</v>
      </c>
      <c r="D43" s="126" t="s">
        <v>1234</v>
      </c>
      <c r="E43" s="126"/>
      <c r="F43" s="126"/>
      <c r="G43" s="126"/>
      <c r="H43" s="43" t="s">
        <v>1232</v>
      </c>
      <c r="I43" s="30">
        <v>495</v>
      </c>
      <c r="J43" s="212">
        <v>43539</v>
      </c>
      <c r="K43" s="212"/>
      <c r="L43" s="94"/>
      <c r="M43" s="158">
        <f>57-2</f>
        <v>55</v>
      </c>
      <c r="N43" s="158">
        <v>55</v>
      </c>
      <c r="O43" s="158"/>
      <c r="P43" s="94">
        <f>4509161472-158216192</f>
        <v>4350945280</v>
      </c>
      <c r="Q43" s="94">
        <f t="shared" si="7"/>
        <v>79108096</v>
      </c>
      <c r="R43" s="94"/>
      <c r="S43" s="94"/>
      <c r="T43" s="94"/>
      <c r="U43" s="94">
        <v>2345918885</v>
      </c>
      <c r="V43" s="94">
        <v>20</v>
      </c>
      <c r="W43" s="311">
        <v>43586</v>
      </c>
      <c r="X43" s="311"/>
      <c r="Y43" s="311"/>
      <c r="Z43" s="158">
        <v>2005026395</v>
      </c>
      <c r="AA43" s="218">
        <v>20</v>
      </c>
      <c r="AB43" s="311">
        <v>43739</v>
      </c>
      <c r="AC43" s="311"/>
      <c r="AD43" s="1"/>
      <c r="AE43" s="94"/>
      <c r="AF43" s="158">
        <f t="shared" si="4"/>
        <v>0</v>
      </c>
      <c r="AG43" s="158"/>
      <c r="AH43" s="94">
        <v>0</v>
      </c>
      <c r="AI43" s="94">
        <v>0</v>
      </c>
      <c r="AJ43" s="94"/>
      <c r="AK43" s="158">
        <f t="shared" si="6"/>
        <v>0</v>
      </c>
      <c r="AL43" s="233">
        <v>877</v>
      </c>
      <c r="AM43" s="94">
        <v>20</v>
      </c>
      <c r="AN43" s="94"/>
      <c r="AO43" s="254"/>
      <c r="AP43" s="254">
        <f>57-2</f>
        <v>55</v>
      </c>
      <c r="AQ43" s="158"/>
      <c r="AR43" s="158"/>
      <c r="AS43" s="158"/>
      <c r="AT43" s="2">
        <v>1</v>
      </c>
      <c r="AU43" s="58" t="s">
        <v>646</v>
      </c>
      <c r="AV43" s="384"/>
      <c r="AW43" s="158"/>
      <c r="AX43" s="158"/>
      <c r="AY43" s="158"/>
      <c r="AZ43" s="158"/>
      <c r="BA43" s="158">
        <v>55</v>
      </c>
      <c r="BB43" s="158"/>
      <c r="BC43" s="69"/>
      <c r="BD43" s="69">
        <v>55</v>
      </c>
      <c r="BE43" s="69"/>
      <c r="BF43" s="271">
        <v>2020</v>
      </c>
      <c r="BG43" s="271">
        <v>2019</v>
      </c>
      <c r="BH43" s="430">
        <v>2020</v>
      </c>
      <c r="BI43" s="271" t="s">
        <v>2375</v>
      </c>
    </row>
    <row r="44" spans="1:61" s="468" customFormat="1" ht="18" customHeight="1">
      <c r="A44" s="160" t="s">
        <v>500</v>
      </c>
      <c r="B44" s="58" t="s">
        <v>1235</v>
      </c>
      <c r="C44" s="124" t="s">
        <v>1350</v>
      </c>
      <c r="D44" s="126" t="s">
        <v>1234</v>
      </c>
      <c r="E44" s="126"/>
      <c r="F44" s="126"/>
      <c r="G44" s="126"/>
      <c r="H44" s="43" t="s">
        <v>1232</v>
      </c>
      <c r="I44" s="30">
        <v>495</v>
      </c>
      <c r="J44" s="212">
        <v>43539</v>
      </c>
      <c r="K44" s="212"/>
      <c r="L44" s="94"/>
      <c r="M44" s="158">
        <v>2</v>
      </c>
      <c r="N44" s="158">
        <v>2</v>
      </c>
      <c r="O44" s="158"/>
      <c r="P44" s="94">
        <v>158216192</v>
      </c>
      <c r="Q44" s="94">
        <f t="shared" ref="Q44:Q54" si="8">P44/AN44</f>
        <v>79108096</v>
      </c>
      <c r="R44" s="94"/>
      <c r="S44" s="94"/>
      <c r="T44" s="94"/>
      <c r="U44" s="94"/>
      <c r="V44" s="94"/>
      <c r="W44" s="94"/>
      <c r="X44" s="94"/>
      <c r="Y44" s="94"/>
      <c r="Z44" s="158"/>
      <c r="AA44" s="218"/>
      <c r="AB44" s="281"/>
      <c r="AC44" s="281"/>
      <c r="AD44" s="281"/>
      <c r="AE44" s="281"/>
      <c r="AF44" s="158">
        <f t="shared" si="4"/>
        <v>158216192</v>
      </c>
      <c r="AG44" s="158"/>
      <c r="AH44" s="94">
        <v>0</v>
      </c>
      <c r="AI44" s="94">
        <v>158216192</v>
      </c>
      <c r="AJ44" s="94"/>
      <c r="AK44" s="664">
        <f t="shared" si="6"/>
        <v>158216192</v>
      </c>
      <c r="AL44" s="665">
        <v>877</v>
      </c>
      <c r="AM44" s="664">
        <v>20</v>
      </c>
      <c r="AN44" s="225">
        <v>2</v>
      </c>
      <c r="AO44" s="254"/>
      <c r="AP44" s="158"/>
      <c r="AQ44" s="158"/>
      <c r="AR44" s="158"/>
      <c r="AS44" s="158"/>
      <c r="AT44" s="2">
        <v>0</v>
      </c>
      <c r="AU44" s="58" t="s">
        <v>521</v>
      </c>
      <c r="AV44" s="384"/>
      <c r="AW44" s="158"/>
      <c r="AX44" s="158"/>
      <c r="AY44" s="158"/>
      <c r="AZ44" s="158"/>
      <c r="BA44" s="158"/>
      <c r="BB44" s="158"/>
      <c r="BC44" s="69"/>
      <c r="BD44" s="69"/>
      <c r="BE44" s="69"/>
      <c r="BF44" s="271"/>
      <c r="BG44" s="271">
        <v>2019</v>
      </c>
      <c r="BH44" s="430">
        <v>2020</v>
      </c>
      <c r="BI44" s="271" t="s">
        <v>2375</v>
      </c>
    </row>
    <row r="45" spans="1:61" s="468" customFormat="1" ht="18" customHeight="1">
      <c r="A45" s="160" t="s">
        <v>500</v>
      </c>
      <c r="B45" s="58" t="s">
        <v>4</v>
      </c>
      <c r="C45" s="124" t="s">
        <v>1236</v>
      </c>
      <c r="D45" s="126" t="s">
        <v>1237</v>
      </c>
      <c r="E45" s="126"/>
      <c r="F45" s="126"/>
      <c r="G45" s="126"/>
      <c r="H45" s="43" t="s">
        <v>1232</v>
      </c>
      <c r="I45" s="30">
        <v>530</v>
      </c>
      <c r="J45" s="212">
        <v>43546</v>
      </c>
      <c r="K45" s="212"/>
      <c r="L45" s="94"/>
      <c r="M45" s="158">
        <v>63</v>
      </c>
      <c r="N45" s="158">
        <v>63</v>
      </c>
      <c r="O45" s="158"/>
      <c r="P45" s="94">
        <v>5055918525</v>
      </c>
      <c r="Q45" s="94">
        <f>P45/AP45</f>
        <v>80252675</v>
      </c>
      <c r="R45" s="94"/>
      <c r="S45" s="94"/>
      <c r="T45" s="94"/>
      <c r="U45" s="94">
        <v>2725946480</v>
      </c>
      <c r="V45" s="94">
        <v>10</v>
      </c>
      <c r="W45" s="311">
        <v>43586</v>
      </c>
      <c r="X45" s="311"/>
      <c r="Y45" s="311"/>
      <c r="Z45" s="158">
        <v>2329972045</v>
      </c>
      <c r="AA45" s="158">
        <v>20</v>
      </c>
      <c r="AB45" s="311">
        <v>43739</v>
      </c>
      <c r="AC45" s="577"/>
      <c r="AD45" s="218"/>
      <c r="AE45" s="218"/>
      <c r="AF45" s="158">
        <f t="shared" si="4"/>
        <v>0</v>
      </c>
      <c r="AG45" s="158"/>
      <c r="AH45" s="94">
        <v>0</v>
      </c>
      <c r="AI45" s="94">
        <v>0</v>
      </c>
      <c r="AJ45" s="94"/>
      <c r="AK45" s="158">
        <f t="shared" si="6"/>
        <v>0</v>
      </c>
      <c r="AL45" s="94">
        <v>877</v>
      </c>
      <c r="AM45" s="94">
        <v>20</v>
      </c>
      <c r="AN45" s="225"/>
      <c r="AO45" s="254"/>
      <c r="AP45" s="158">
        <v>63</v>
      </c>
      <c r="AQ45" s="158"/>
      <c r="AR45" s="158"/>
      <c r="AS45" s="158"/>
      <c r="AT45" s="2">
        <v>1</v>
      </c>
      <c r="AU45" s="58" t="s">
        <v>646</v>
      </c>
      <c r="AV45" s="384"/>
      <c r="AW45" s="158"/>
      <c r="AX45" s="158"/>
      <c r="AY45" s="158"/>
      <c r="AZ45" s="158"/>
      <c r="BA45" s="158">
        <v>63</v>
      </c>
      <c r="BB45" s="158"/>
      <c r="BC45" s="69"/>
      <c r="BD45" s="69">
        <v>63</v>
      </c>
      <c r="BE45" s="69"/>
      <c r="BF45" s="271">
        <v>2020</v>
      </c>
      <c r="BG45" s="271">
        <v>2019</v>
      </c>
      <c r="BH45" s="430">
        <v>2020</v>
      </c>
      <c r="BI45" s="271" t="s">
        <v>2375</v>
      </c>
    </row>
    <row r="46" spans="1:61" s="468" customFormat="1" ht="18" customHeight="1">
      <c r="A46" s="160" t="s">
        <v>500</v>
      </c>
      <c r="B46" s="251" t="s">
        <v>987</v>
      </c>
      <c r="C46" s="124" t="s">
        <v>1585</v>
      </c>
      <c r="D46" s="126" t="s">
        <v>1586</v>
      </c>
      <c r="E46" s="126"/>
      <c r="F46" s="126"/>
      <c r="G46" s="126"/>
      <c r="H46" s="43" t="s">
        <v>1553</v>
      </c>
      <c r="I46" s="30">
        <v>1661</v>
      </c>
      <c r="J46" s="212">
        <v>43731</v>
      </c>
      <c r="K46" s="212"/>
      <c r="L46" s="94"/>
      <c r="M46" s="158">
        <v>39</v>
      </c>
      <c r="N46" s="158">
        <v>39</v>
      </c>
      <c r="O46" s="158"/>
      <c r="P46" s="254">
        <v>2843230552</v>
      </c>
      <c r="Q46" s="94">
        <f>P46/AO46</f>
        <v>72903347.487179488</v>
      </c>
      <c r="R46" s="94"/>
      <c r="S46" s="94"/>
      <c r="T46" s="94"/>
      <c r="U46" s="94">
        <v>1563541975</v>
      </c>
      <c r="V46" s="94">
        <v>20</v>
      </c>
      <c r="W46" s="311">
        <v>43739</v>
      </c>
      <c r="X46" s="311"/>
      <c r="Y46" s="311"/>
      <c r="Z46" s="158">
        <v>1279688577</v>
      </c>
      <c r="AA46" s="158">
        <v>20</v>
      </c>
      <c r="AB46" s="311">
        <v>43900</v>
      </c>
      <c r="AC46" s="582"/>
      <c r="AD46" s="283"/>
      <c r="AE46" s="283"/>
      <c r="AF46" s="158">
        <f t="shared" ref="AF46:AF51" si="9">P46-U46</f>
        <v>1279688577</v>
      </c>
      <c r="AG46" s="158"/>
      <c r="AH46" s="94">
        <v>0</v>
      </c>
      <c r="AI46" s="94">
        <v>1279688577</v>
      </c>
      <c r="AJ46" s="94"/>
      <c r="AK46" s="666">
        <f t="shared" si="6"/>
        <v>0</v>
      </c>
      <c r="AL46" s="665">
        <v>877</v>
      </c>
      <c r="AM46" s="666">
        <v>20</v>
      </c>
      <c r="AN46" s="225"/>
      <c r="AO46" s="254">
        <v>39</v>
      </c>
      <c r="AP46" s="158"/>
      <c r="AQ46" s="158"/>
      <c r="AR46" s="158"/>
      <c r="AS46" s="158"/>
      <c r="AT46" s="2">
        <v>0.55220000000000002</v>
      </c>
      <c r="AU46" s="58" t="s">
        <v>38</v>
      </c>
      <c r="AV46" s="384"/>
      <c r="AW46" s="158"/>
      <c r="AX46" s="158"/>
      <c r="AY46" s="158"/>
      <c r="AZ46" s="158"/>
      <c r="BA46" s="158"/>
      <c r="BB46" s="158"/>
      <c r="BC46" s="69"/>
      <c r="BD46" s="69"/>
      <c r="BE46" s="69"/>
      <c r="BF46" s="271"/>
      <c r="BG46" s="271">
        <v>2019</v>
      </c>
      <c r="BH46" s="430">
        <v>2020</v>
      </c>
      <c r="BI46" s="271" t="s">
        <v>2375</v>
      </c>
    </row>
    <row r="47" spans="1:61" s="468" customFormat="1" ht="18" customHeight="1">
      <c r="A47" s="160" t="s">
        <v>500</v>
      </c>
      <c r="B47" s="251" t="s">
        <v>936</v>
      </c>
      <c r="C47" s="249" t="s">
        <v>1766</v>
      </c>
      <c r="D47" s="250" t="s">
        <v>287</v>
      </c>
      <c r="E47" s="250"/>
      <c r="F47" s="250"/>
      <c r="G47" s="250"/>
      <c r="H47" s="43" t="s">
        <v>1763</v>
      </c>
      <c r="I47" s="30">
        <v>1864</v>
      </c>
      <c r="J47" s="212">
        <v>43766</v>
      </c>
      <c r="K47" s="212"/>
      <c r="L47" s="94"/>
      <c r="M47" s="158">
        <v>50</v>
      </c>
      <c r="N47" s="158">
        <v>50</v>
      </c>
      <c r="O47" s="158"/>
      <c r="P47" s="254">
        <v>3981425320</v>
      </c>
      <c r="Q47" s="94">
        <f t="shared" ref="Q47:Q53" si="10">P47/AO47</f>
        <v>79628506.400000006</v>
      </c>
      <c r="R47" s="94"/>
      <c r="S47" s="94"/>
      <c r="T47" s="94"/>
      <c r="U47" s="94">
        <f>2169624979+19583991</f>
        <v>2189208970</v>
      </c>
      <c r="V47" s="94">
        <v>20</v>
      </c>
      <c r="W47" s="311">
        <v>43770</v>
      </c>
      <c r="X47" s="311"/>
      <c r="Y47" s="311"/>
      <c r="Z47" s="158">
        <v>1792216350</v>
      </c>
      <c r="AA47" s="158">
        <v>20</v>
      </c>
      <c r="AB47" s="311">
        <v>43921</v>
      </c>
      <c r="AC47" s="582"/>
      <c r="AD47" s="283"/>
      <c r="AE47" s="283"/>
      <c r="AF47" s="158">
        <f t="shared" si="9"/>
        <v>1792216350</v>
      </c>
      <c r="AG47" s="158"/>
      <c r="AH47" s="94">
        <v>0</v>
      </c>
      <c r="AI47" s="94">
        <v>1792216350</v>
      </c>
      <c r="AJ47" s="94"/>
      <c r="AK47" s="666">
        <f t="shared" si="6"/>
        <v>0</v>
      </c>
      <c r="AL47" s="665">
        <v>877</v>
      </c>
      <c r="AM47" s="664">
        <v>20</v>
      </c>
      <c r="AN47" s="225"/>
      <c r="AO47" s="254">
        <v>50</v>
      </c>
      <c r="AP47" s="158"/>
      <c r="AQ47" s="158"/>
      <c r="AR47" s="158"/>
      <c r="AS47" s="158"/>
      <c r="AT47" s="2">
        <v>0.76670000000000005</v>
      </c>
      <c r="AU47" s="58" t="s">
        <v>38</v>
      </c>
      <c r="AV47" s="384" t="s">
        <v>1767</v>
      </c>
      <c r="AW47" s="158"/>
      <c r="AX47" s="158"/>
      <c r="AY47" s="158"/>
      <c r="AZ47" s="158"/>
      <c r="BA47" s="158"/>
      <c r="BB47" s="158"/>
      <c r="BC47" s="69"/>
      <c r="BD47" s="69"/>
      <c r="BE47" s="69"/>
      <c r="BF47" s="271"/>
      <c r="BG47" s="271">
        <v>2019</v>
      </c>
      <c r="BH47" s="430">
        <v>2020</v>
      </c>
      <c r="BI47" s="271" t="s">
        <v>2375</v>
      </c>
    </row>
    <row r="48" spans="1:61" s="468" customFormat="1" ht="18" customHeight="1">
      <c r="A48" s="160" t="s">
        <v>500</v>
      </c>
      <c r="B48" s="251" t="s">
        <v>987</v>
      </c>
      <c r="C48" s="249" t="s">
        <v>1787</v>
      </c>
      <c r="D48" s="250" t="s">
        <v>1006</v>
      </c>
      <c r="E48" s="250"/>
      <c r="F48" s="250"/>
      <c r="G48" s="250"/>
      <c r="H48" s="43" t="s">
        <v>1763</v>
      </c>
      <c r="I48" s="30">
        <v>1862</v>
      </c>
      <c r="J48" s="212">
        <v>43766</v>
      </c>
      <c r="K48" s="212"/>
      <c r="L48" s="94"/>
      <c r="M48" s="158">
        <v>42</v>
      </c>
      <c r="N48" s="158">
        <v>42</v>
      </c>
      <c r="O48" s="158"/>
      <c r="P48" s="254">
        <v>3060970770</v>
      </c>
      <c r="Q48" s="94">
        <f t="shared" si="10"/>
        <v>72880256.428571433</v>
      </c>
      <c r="R48" s="94"/>
      <c r="S48" s="94"/>
      <c r="T48" s="94"/>
      <c r="U48" s="94">
        <f>1448641734+14497523</f>
        <v>1463139257</v>
      </c>
      <c r="V48" s="94">
        <v>20</v>
      </c>
      <c r="W48" s="311">
        <v>43770</v>
      </c>
      <c r="X48" s="311"/>
      <c r="Y48" s="311"/>
      <c r="Z48" s="158">
        <v>1597831513</v>
      </c>
      <c r="AA48" s="158">
        <v>20</v>
      </c>
      <c r="AB48" s="311">
        <v>43980</v>
      </c>
      <c r="AC48" s="582"/>
      <c r="AD48" s="283"/>
      <c r="AE48" s="283"/>
      <c r="AF48" s="158">
        <f t="shared" si="9"/>
        <v>1597831513</v>
      </c>
      <c r="AG48" s="158"/>
      <c r="AH48" s="94">
        <v>0</v>
      </c>
      <c r="AI48" s="94">
        <v>1597831513</v>
      </c>
      <c r="AJ48" s="94"/>
      <c r="AK48" s="666">
        <f t="shared" si="6"/>
        <v>0</v>
      </c>
      <c r="AL48" s="665">
        <v>877</v>
      </c>
      <c r="AM48" s="664">
        <v>20</v>
      </c>
      <c r="AN48" s="225"/>
      <c r="AO48" s="225">
        <v>42</v>
      </c>
      <c r="AP48" s="158"/>
      <c r="AQ48" s="158"/>
      <c r="AR48" s="158"/>
      <c r="AS48" s="158"/>
      <c r="AT48" s="2">
        <v>0.48899999999999999</v>
      </c>
      <c r="AU48" s="58" t="s">
        <v>38</v>
      </c>
      <c r="AV48" s="384" t="s">
        <v>1223</v>
      </c>
      <c r="AW48" s="158"/>
      <c r="AX48" s="158"/>
      <c r="AY48" s="158"/>
      <c r="AZ48" s="158"/>
      <c r="BA48" s="158"/>
      <c r="BB48" s="158"/>
      <c r="BC48" s="69"/>
      <c r="BD48" s="69"/>
      <c r="BE48" s="69"/>
      <c r="BF48" s="271"/>
      <c r="BG48" s="271">
        <v>2019</v>
      </c>
      <c r="BH48" s="430">
        <v>2020</v>
      </c>
      <c r="BI48" s="271" t="s">
        <v>2375</v>
      </c>
    </row>
    <row r="49" spans="1:16296" s="468" customFormat="1" ht="18" customHeight="1">
      <c r="A49" s="160" t="s">
        <v>500</v>
      </c>
      <c r="B49" s="251" t="s">
        <v>6</v>
      </c>
      <c r="C49" s="249" t="s">
        <v>1826</v>
      </c>
      <c r="D49" s="250" t="s">
        <v>1827</v>
      </c>
      <c r="E49" s="250"/>
      <c r="F49" s="250"/>
      <c r="G49" s="250"/>
      <c r="H49" s="43" t="s">
        <v>1763</v>
      </c>
      <c r="I49" s="30">
        <v>1758</v>
      </c>
      <c r="J49" s="212">
        <v>43748</v>
      </c>
      <c r="K49" s="212"/>
      <c r="L49" s="94"/>
      <c r="M49" s="158">
        <v>17</v>
      </c>
      <c r="N49" s="158">
        <v>17</v>
      </c>
      <c r="O49" s="158"/>
      <c r="P49" s="254">
        <v>1352934427</v>
      </c>
      <c r="Q49" s="94">
        <f t="shared" si="10"/>
        <v>79584378.058823526</v>
      </c>
      <c r="R49" s="94"/>
      <c r="S49" s="94"/>
      <c r="T49" s="94"/>
      <c r="U49" s="94">
        <v>727612785</v>
      </c>
      <c r="V49" s="94">
        <v>20</v>
      </c>
      <c r="W49" s="311">
        <v>43739</v>
      </c>
      <c r="X49" s="311"/>
      <c r="Y49" s="311"/>
      <c r="Z49" s="158">
        <v>625321642</v>
      </c>
      <c r="AA49" s="158">
        <v>20</v>
      </c>
      <c r="AB49" s="311">
        <v>43900</v>
      </c>
      <c r="AC49" s="582"/>
      <c r="AD49" s="283"/>
      <c r="AE49" s="283"/>
      <c r="AF49" s="158">
        <f t="shared" si="9"/>
        <v>625321642</v>
      </c>
      <c r="AG49" s="158"/>
      <c r="AH49" s="94">
        <v>0</v>
      </c>
      <c r="AI49" s="94">
        <v>625321642</v>
      </c>
      <c r="AJ49" s="94"/>
      <c r="AK49" s="672">
        <f t="shared" si="6"/>
        <v>0</v>
      </c>
      <c r="AL49" s="665">
        <v>877</v>
      </c>
      <c r="AM49" s="664">
        <v>20</v>
      </c>
      <c r="AN49" s="225"/>
      <c r="AO49" s="254">
        <v>17</v>
      </c>
      <c r="AP49" s="158"/>
      <c r="AQ49" s="158"/>
      <c r="AR49" s="158"/>
      <c r="AS49" s="158"/>
      <c r="AT49" s="2">
        <v>0.80500000000000005</v>
      </c>
      <c r="AU49" s="58" t="s">
        <v>38</v>
      </c>
      <c r="AV49" s="384"/>
      <c r="AW49" s="158"/>
      <c r="AX49" s="158"/>
      <c r="AY49" s="158"/>
      <c r="AZ49" s="158"/>
      <c r="BA49" s="158"/>
      <c r="BB49" s="158"/>
      <c r="BC49" s="69"/>
      <c r="BD49" s="69"/>
      <c r="BE49" s="69"/>
      <c r="BF49" s="271"/>
      <c r="BG49" s="271">
        <v>2019</v>
      </c>
      <c r="BH49" s="430">
        <v>2020</v>
      </c>
      <c r="BI49" s="271" t="s">
        <v>2375</v>
      </c>
    </row>
    <row r="50" spans="1:16296" s="468" customFormat="1" ht="18" customHeight="1">
      <c r="A50" s="160" t="s">
        <v>500</v>
      </c>
      <c r="B50" s="251" t="s">
        <v>6</v>
      </c>
      <c r="C50" s="249" t="s">
        <v>1828</v>
      </c>
      <c r="D50" s="250" t="s">
        <v>1827</v>
      </c>
      <c r="E50" s="250"/>
      <c r="F50" s="250"/>
      <c r="G50" s="250"/>
      <c r="H50" s="43" t="s">
        <v>1763</v>
      </c>
      <c r="I50" s="30">
        <v>1757</v>
      </c>
      <c r="J50" s="212">
        <v>43748</v>
      </c>
      <c r="K50" s="212"/>
      <c r="L50" s="94"/>
      <c r="M50" s="158">
        <v>26</v>
      </c>
      <c r="N50" s="158">
        <v>26</v>
      </c>
      <c r="O50" s="158"/>
      <c r="P50" s="254">
        <v>2069193831</v>
      </c>
      <c r="Q50" s="94">
        <f t="shared" si="10"/>
        <v>79584378.115384609</v>
      </c>
      <c r="R50" s="94"/>
      <c r="S50" s="94"/>
      <c r="T50" s="94"/>
      <c r="U50" s="94">
        <v>1130544260</v>
      </c>
      <c r="V50" s="94">
        <v>20</v>
      </c>
      <c r="W50" s="311">
        <v>43739</v>
      </c>
      <c r="X50" s="311"/>
      <c r="Y50" s="311"/>
      <c r="Z50" s="158">
        <v>938649571</v>
      </c>
      <c r="AA50" s="158">
        <v>20</v>
      </c>
      <c r="AB50" s="311">
        <v>43889</v>
      </c>
      <c r="AC50" s="582"/>
      <c r="AD50" s="283"/>
      <c r="AE50" s="283"/>
      <c r="AF50" s="158">
        <f t="shared" si="9"/>
        <v>938649571</v>
      </c>
      <c r="AG50" s="158"/>
      <c r="AH50" s="94">
        <v>0</v>
      </c>
      <c r="AI50" s="94">
        <v>938649571</v>
      </c>
      <c r="AJ50" s="94"/>
      <c r="AK50" s="672">
        <f t="shared" si="6"/>
        <v>0</v>
      </c>
      <c r="AL50" s="664">
        <v>877</v>
      </c>
      <c r="AM50" s="664">
        <v>20</v>
      </c>
      <c r="AN50" s="225"/>
      <c r="AO50" s="254">
        <v>26</v>
      </c>
      <c r="AP50" s="158"/>
      <c r="AQ50" s="158"/>
      <c r="AR50" s="158"/>
      <c r="AS50" s="158"/>
      <c r="AT50" s="2">
        <v>0.54369999999999996</v>
      </c>
      <c r="AU50" s="58" t="s">
        <v>38</v>
      </c>
      <c r="AV50" s="384"/>
      <c r="AW50" s="158"/>
      <c r="AX50" s="158"/>
      <c r="AY50" s="158"/>
      <c r="AZ50" s="158"/>
      <c r="BA50" s="158"/>
      <c r="BB50" s="158"/>
      <c r="BC50" s="69"/>
      <c r="BD50" s="69"/>
      <c r="BE50" s="69"/>
      <c r="BF50" s="271"/>
      <c r="BG50" s="271">
        <v>2019</v>
      </c>
      <c r="BH50" s="430">
        <v>2020</v>
      </c>
      <c r="BI50" s="271" t="s">
        <v>2375</v>
      </c>
    </row>
    <row r="51" spans="1:16296" s="468" customFormat="1" ht="18" customHeight="1">
      <c r="A51" s="160" t="s">
        <v>500</v>
      </c>
      <c r="B51" s="251" t="s">
        <v>4</v>
      </c>
      <c r="C51" s="249" t="s">
        <v>1829</v>
      </c>
      <c r="D51" s="250" t="s">
        <v>16</v>
      </c>
      <c r="E51" s="250"/>
      <c r="F51" s="250"/>
      <c r="G51" s="250"/>
      <c r="H51" s="43" t="s">
        <v>1763</v>
      </c>
      <c r="I51" s="30">
        <v>1848</v>
      </c>
      <c r="J51" s="212">
        <v>43763</v>
      </c>
      <c r="K51" s="212"/>
      <c r="L51" s="94"/>
      <c r="M51" s="158">
        <v>50</v>
      </c>
      <c r="N51" s="158">
        <v>50</v>
      </c>
      <c r="O51" s="158"/>
      <c r="P51" s="254">
        <v>3645233548</v>
      </c>
      <c r="Q51" s="94">
        <f t="shared" si="10"/>
        <v>72904670.959999993</v>
      </c>
      <c r="R51" s="94"/>
      <c r="S51" s="94"/>
      <c r="T51" s="94"/>
      <c r="U51" s="94">
        <v>2004707288</v>
      </c>
      <c r="V51" s="94">
        <v>20</v>
      </c>
      <c r="W51" s="311">
        <v>43739</v>
      </c>
      <c r="X51" s="311"/>
      <c r="Y51" s="311"/>
      <c r="Z51" s="158">
        <v>1640526260</v>
      </c>
      <c r="AA51" s="158">
        <v>20</v>
      </c>
      <c r="AB51" s="311">
        <v>43900</v>
      </c>
      <c r="AC51" s="582"/>
      <c r="AD51" s="283"/>
      <c r="AE51" s="283"/>
      <c r="AF51" s="158">
        <f t="shared" si="9"/>
        <v>1640526260</v>
      </c>
      <c r="AG51" s="158"/>
      <c r="AH51" s="94">
        <v>0</v>
      </c>
      <c r="AI51" s="94">
        <v>1640526260</v>
      </c>
      <c r="AJ51" s="94"/>
      <c r="AK51" s="666">
        <f t="shared" si="6"/>
        <v>0</v>
      </c>
      <c r="AL51" s="664">
        <v>877</v>
      </c>
      <c r="AM51" s="664">
        <v>20</v>
      </c>
      <c r="AN51" s="225"/>
      <c r="AO51" s="254">
        <v>50</v>
      </c>
      <c r="AP51" s="158"/>
      <c r="AQ51" s="158"/>
      <c r="AR51" s="158"/>
      <c r="AS51" s="158"/>
      <c r="AT51" s="2">
        <v>0.54730000000000001</v>
      </c>
      <c r="AU51" s="58" t="s">
        <v>38</v>
      </c>
      <c r="AV51" s="384"/>
      <c r="AW51" s="158"/>
      <c r="AX51" s="158"/>
      <c r="AY51" s="158"/>
      <c r="AZ51" s="158"/>
      <c r="BA51" s="158"/>
      <c r="BB51" s="158"/>
      <c r="BC51" s="69"/>
      <c r="BD51" s="69"/>
      <c r="BE51" s="69"/>
      <c r="BF51" s="271"/>
      <c r="BG51" s="271">
        <v>2019</v>
      </c>
      <c r="BH51" s="430">
        <v>2020</v>
      </c>
      <c r="BI51" s="271" t="s">
        <v>2375</v>
      </c>
    </row>
    <row r="52" spans="1:16296" s="468" customFormat="1" ht="18" customHeight="1">
      <c r="A52" s="160" t="s">
        <v>500</v>
      </c>
      <c r="B52" s="251" t="s">
        <v>719</v>
      </c>
      <c r="C52" s="124" t="s">
        <v>1840</v>
      </c>
      <c r="D52" s="250" t="s">
        <v>1827</v>
      </c>
      <c r="E52" s="250"/>
      <c r="F52" s="250"/>
      <c r="G52" s="250"/>
      <c r="H52" s="43" t="s">
        <v>1763</v>
      </c>
      <c r="I52" s="30">
        <v>1847</v>
      </c>
      <c r="J52" s="212">
        <v>43763</v>
      </c>
      <c r="K52" s="212"/>
      <c r="L52" s="94"/>
      <c r="M52" s="158">
        <v>40</v>
      </c>
      <c r="N52" s="158">
        <v>40</v>
      </c>
      <c r="O52" s="158"/>
      <c r="P52" s="254">
        <v>2822654503</v>
      </c>
      <c r="Q52" s="94">
        <f t="shared" si="10"/>
        <v>70566362.575000003</v>
      </c>
      <c r="R52" s="94"/>
      <c r="S52" s="94"/>
      <c r="T52" s="94"/>
      <c r="U52" s="94">
        <v>1540269267</v>
      </c>
      <c r="V52" s="158">
        <v>20</v>
      </c>
      <c r="W52" s="311">
        <v>43800</v>
      </c>
      <c r="X52" s="311"/>
      <c r="Y52" s="311"/>
      <c r="Z52" s="158">
        <v>1282385236</v>
      </c>
      <c r="AA52" s="158">
        <v>20</v>
      </c>
      <c r="AB52" s="311">
        <v>43980</v>
      </c>
      <c r="AC52" s="582"/>
      <c r="AD52" s="283"/>
      <c r="AE52" s="283"/>
      <c r="AF52" s="158">
        <f>P52-U52-AH52</f>
        <v>0</v>
      </c>
      <c r="AG52" s="158"/>
      <c r="AH52" s="158">
        <v>1282385236</v>
      </c>
      <c r="AI52" s="94">
        <v>1282385236</v>
      </c>
      <c r="AJ52" s="158"/>
      <c r="AK52" s="666">
        <f t="shared" si="6"/>
        <v>0</v>
      </c>
      <c r="AL52" s="665">
        <v>877</v>
      </c>
      <c r="AM52" s="669">
        <v>20</v>
      </c>
      <c r="AN52" s="469"/>
      <c r="AO52" s="225">
        <v>40</v>
      </c>
      <c r="AP52" s="158"/>
      <c r="AQ52" s="158"/>
      <c r="AR52" s="158"/>
      <c r="AS52" s="158"/>
      <c r="AT52" s="2">
        <v>0.54190000000000005</v>
      </c>
      <c r="AU52" s="58" t="s">
        <v>38</v>
      </c>
      <c r="AV52" s="384"/>
      <c r="AW52" s="158"/>
      <c r="AX52" s="158"/>
      <c r="AY52" s="158"/>
      <c r="AZ52" s="158"/>
      <c r="BA52" s="158"/>
      <c r="BB52" s="158"/>
      <c r="BC52" s="69"/>
      <c r="BD52" s="69"/>
      <c r="BE52" s="69"/>
      <c r="BF52" s="271"/>
      <c r="BG52" s="271">
        <v>2019</v>
      </c>
      <c r="BH52" s="430">
        <v>2020</v>
      </c>
      <c r="BI52" s="271" t="s">
        <v>2375</v>
      </c>
    </row>
    <row r="53" spans="1:16296" s="468" customFormat="1" ht="18" customHeight="1">
      <c r="A53" s="160" t="s">
        <v>500</v>
      </c>
      <c r="B53" s="542" t="s">
        <v>2247</v>
      </c>
      <c r="C53" s="95" t="s">
        <v>2248</v>
      </c>
      <c r="D53" s="700" t="s">
        <v>2249</v>
      </c>
      <c r="E53" s="700"/>
      <c r="F53" s="78">
        <v>4</v>
      </c>
      <c r="G53" s="78"/>
      <c r="H53" s="547" t="s">
        <v>2236</v>
      </c>
      <c r="I53" s="78">
        <v>298</v>
      </c>
      <c r="J53" s="459" t="s">
        <v>2250</v>
      </c>
      <c r="K53" s="459"/>
      <c r="L53" s="225"/>
      <c r="M53" s="61"/>
      <c r="N53" s="61">
        <v>60</v>
      </c>
      <c r="O53" s="61"/>
      <c r="P53" s="701">
        <f>(2395831899+1978881865)</f>
        <v>4374713764</v>
      </c>
      <c r="Q53" s="94">
        <f t="shared" si="10"/>
        <v>72911896.066666663</v>
      </c>
      <c r="R53" s="225"/>
      <c r="S53" s="225"/>
      <c r="T53" s="225"/>
      <c r="U53" s="94">
        <v>2395831899</v>
      </c>
      <c r="V53" s="61">
        <v>20</v>
      </c>
      <c r="W53" s="460">
        <v>43921</v>
      </c>
      <c r="X53" s="460"/>
      <c r="Y53" s="460"/>
      <c r="Z53" s="61"/>
      <c r="AA53" s="461">
        <v>20</v>
      </c>
      <c r="AB53" s="311"/>
      <c r="AC53" s="311"/>
      <c r="AD53" s="94"/>
      <c r="AE53" s="94"/>
      <c r="AF53" s="94">
        <f>P53</f>
        <v>4374713764</v>
      </c>
      <c r="AG53" s="61"/>
      <c r="AH53" s="61"/>
      <c r="AI53" s="94">
        <v>4374713764</v>
      </c>
      <c r="AJ53" s="61"/>
      <c r="AK53" s="664">
        <f t="shared" si="6"/>
        <v>1978881865</v>
      </c>
      <c r="AL53" s="665">
        <v>877</v>
      </c>
      <c r="AM53" s="664">
        <v>20</v>
      </c>
      <c r="AN53" s="469"/>
      <c r="AO53" s="61">
        <v>60</v>
      </c>
      <c r="AP53" s="61"/>
      <c r="AQ53" s="61"/>
      <c r="AR53" s="61"/>
      <c r="AS53" s="61"/>
      <c r="AT53" s="2">
        <v>0.28179999999999999</v>
      </c>
      <c r="AU53" s="58" t="s">
        <v>38</v>
      </c>
      <c r="AV53" s="546"/>
      <c r="AW53" s="61"/>
      <c r="AX53" s="61"/>
      <c r="AY53" s="61"/>
      <c r="AZ53" s="61"/>
      <c r="BA53" s="61"/>
      <c r="BB53" s="61"/>
      <c r="BC53" s="158"/>
      <c r="BD53" s="158"/>
      <c r="BE53" s="61"/>
      <c r="BF53" s="464"/>
      <c r="BG53" s="464"/>
      <c r="BH53" s="712">
        <v>2020</v>
      </c>
      <c r="BI53" s="271" t="s">
        <v>2375</v>
      </c>
      <c r="XBF53" s="652"/>
      <c r="XBG53" s="652"/>
      <c r="XBH53" s="652"/>
      <c r="XBI53" s="652"/>
      <c r="XBJ53" s="652"/>
      <c r="XBK53" s="652"/>
      <c r="XBL53" s="652"/>
      <c r="XBM53" s="652"/>
      <c r="XBN53" s="652"/>
      <c r="XBO53" s="652"/>
      <c r="XBP53" s="652"/>
      <c r="XBQ53" s="652"/>
      <c r="XBR53" s="652"/>
      <c r="XBS53" s="652"/>
      <c r="XBT53" s="652"/>
    </row>
    <row r="54" spans="1:16296" s="468" customFormat="1" ht="18" customHeight="1">
      <c r="A54" s="160" t="s">
        <v>500</v>
      </c>
      <c r="B54" s="251" t="s">
        <v>4</v>
      </c>
      <c r="C54" s="251" t="s">
        <v>2394</v>
      </c>
      <c r="D54" s="700" t="s">
        <v>2395</v>
      </c>
      <c r="E54" s="700"/>
      <c r="F54" s="78">
        <v>4</v>
      </c>
      <c r="G54" s="78"/>
      <c r="H54" s="547" t="s">
        <v>2393</v>
      </c>
      <c r="I54" s="78">
        <v>706</v>
      </c>
      <c r="J54" s="459" t="s">
        <v>2396</v>
      </c>
      <c r="K54" s="459"/>
      <c r="L54" s="225"/>
      <c r="M54" s="61"/>
      <c r="N54" s="61">
        <v>31</v>
      </c>
      <c r="O54" s="61"/>
      <c r="P54" s="701">
        <f>1242502632+1016593064</f>
        <v>2259095696</v>
      </c>
      <c r="Q54" s="94">
        <f t="shared" si="8"/>
        <v>72874054.709677413</v>
      </c>
      <c r="R54" s="225"/>
      <c r="S54" s="225"/>
      <c r="T54" s="225"/>
      <c r="U54" s="225">
        <v>1242502632</v>
      </c>
      <c r="V54" s="61">
        <v>20</v>
      </c>
      <c r="W54" s="460">
        <v>44012</v>
      </c>
      <c r="X54" s="460"/>
      <c r="Y54" s="460"/>
      <c r="Z54" s="61"/>
      <c r="AA54" s="461"/>
      <c r="AB54" s="460"/>
      <c r="AC54" s="460"/>
      <c r="AD54" s="225"/>
      <c r="AE54" s="225"/>
      <c r="AF54" s="225">
        <f>P54</f>
        <v>2259095696</v>
      </c>
      <c r="AG54" s="61">
        <v>20</v>
      </c>
      <c r="AH54" s="61"/>
      <c r="AI54" s="225">
        <v>2259095696</v>
      </c>
      <c r="AJ54" s="61">
        <v>20</v>
      </c>
      <c r="AK54" s="668">
        <f t="shared" si="6"/>
        <v>1016593064</v>
      </c>
      <c r="AL54" s="685"/>
      <c r="AM54" s="668"/>
      <c r="AN54" s="61">
        <v>31</v>
      </c>
      <c r="AO54" s="61"/>
      <c r="AP54" s="61"/>
      <c r="AQ54" s="61"/>
      <c r="AR54" s="61"/>
      <c r="AS54" s="61"/>
      <c r="AT54" s="2">
        <v>0</v>
      </c>
      <c r="AU54" s="58" t="s">
        <v>521</v>
      </c>
      <c r="AV54" s="546"/>
      <c r="AW54" s="61"/>
      <c r="AX54" s="61"/>
      <c r="AY54" s="61"/>
      <c r="AZ54" s="61"/>
      <c r="BA54" s="61"/>
      <c r="BB54" s="61"/>
      <c r="BC54" s="158"/>
      <c r="BD54" s="158"/>
      <c r="BE54" s="61"/>
      <c r="BF54" s="464"/>
      <c r="BG54" s="464"/>
      <c r="BH54" s="712">
        <v>2020</v>
      </c>
      <c r="BI54" s="271" t="s">
        <v>2375</v>
      </c>
      <c r="XBF54" s="652"/>
      <c r="XBG54" s="652"/>
      <c r="XBH54" s="652"/>
      <c r="XBI54" s="652"/>
      <c r="XBJ54" s="652"/>
      <c r="XBK54" s="652"/>
      <c r="XBL54" s="652"/>
      <c r="XBM54" s="652"/>
      <c r="XBN54" s="652"/>
      <c r="XBO54" s="652"/>
      <c r="XBP54" s="652"/>
      <c r="XBQ54" s="652"/>
      <c r="XBR54" s="652"/>
      <c r="XBS54" s="652"/>
      <c r="XBT54" s="652"/>
    </row>
    <row r="55" spans="1:16296" ht="15" customHeight="1">
      <c r="A55" s="371" t="s">
        <v>501</v>
      </c>
      <c r="B55" s="371"/>
      <c r="C55" s="371"/>
      <c r="D55" s="371"/>
      <c r="E55" s="371"/>
      <c r="F55" s="371"/>
      <c r="G55" s="371"/>
      <c r="H55" s="371"/>
      <c r="I55" s="370"/>
      <c r="J55" s="370"/>
      <c r="K55" s="370">
        <f>SUM(K56:K102)</f>
        <v>597</v>
      </c>
      <c r="L55" s="370">
        <f>SUM(L56:L102)</f>
        <v>680</v>
      </c>
      <c r="M55" s="370">
        <f>SUM(M56:M102)</f>
        <v>318</v>
      </c>
      <c r="N55" s="424">
        <f>SUM(N56:N106)</f>
        <v>577</v>
      </c>
      <c r="O55" s="424">
        <f>SUM(O56:O106)</f>
        <v>8</v>
      </c>
      <c r="P55" s="370"/>
      <c r="Q55" s="370"/>
      <c r="R55" s="370"/>
      <c r="S55" s="370"/>
      <c r="T55" s="370"/>
      <c r="U55" s="370"/>
      <c r="V55" s="371"/>
      <c r="W55" s="371"/>
      <c r="X55" s="371"/>
      <c r="Y55" s="371"/>
      <c r="Z55" s="371"/>
      <c r="AA55" s="371"/>
      <c r="AB55" s="371"/>
      <c r="AC55" s="371"/>
      <c r="AD55" s="370"/>
      <c r="AE55" s="370"/>
      <c r="AF55" s="370"/>
      <c r="AG55" s="370"/>
      <c r="AH55" s="370"/>
      <c r="AI55" s="370"/>
      <c r="AJ55" s="370"/>
      <c r="AK55" s="704"/>
      <c r="AL55" s="370"/>
      <c r="AM55" s="370"/>
      <c r="AN55" s="424">
        <f t="shared" ref="AN55:AS55" si="11">SUM(AN56:AN106)</f>
        <v>15</v>
      </c>
      <c r="AO55" s="424">
        <f t="shared" si="11"/>
        <v>470</v>
      </c>
      <c r="AP55" s="424">
        <f t="shared" si="11"/>
        <v>98</v>
      </c>
      <c r="AQ55" s="424">
        <f t="shared" si="11"/>
        <v>0</v>
      </c>
      <c r="AR55" s="424">
        <f t="shared" si="11"/>
        <v>0</v>
      </c>
      <c r="AS55" s="424">
        <f t="shared" si="11"/>
        <v>2</v>
      </c>
      <c r="AT55" s="371"/>
      <c r="AU55" s="371"/>
      <c r="AV55" s="385"/>
      <c r="AW55" s="370">
        <f>SUM(AW56:AW102)</f>
        <v>197</v>
      </c>
      <c r="AX55" s="370">
        <f>SUM(AX56:AX102)</f>
        <v>277</v>
      </c>
      <c r="AY55" s="370">
        <f>SUM(AY56:AY102)</f>
        <v>436</v>
      </c>
      <c r="AZ55" s="370">
        <f>SUM(AZ56:AZ102)</f>
        <v>632</v>
      </c>
      <c r="BA55" s="424">
        <f>SUM(BA56:BA106)</f>
        <v>98</v>
      </c>
      <c r="BB55" s="424">
        <f>SUM(BB56:BB106)</f>
        <v>94</v>
      </c>
      <c r="BC55" s="424">
        <f>SUM(BC56:BC106)</f>
        <v>342</v>
      </c>
      <c r="BD55" s="424">
        <f>SUM(BD56:BD106)</f>
        <v>1072</v>
      </c>
      <c r="BE55" s="424">
        <f>SUM(BE56:BE106)</f>
        <v>2</v>
      </c>
      <c r="BF55" s="424"/>
      <c r="BG55" s="370">
        <v>2019</v>
      </c>
      <c r="BH55" s="371">
        <v>2020</v>
      </c>
      <c r="BI55" s="434" t="s">
        <v>2419</v>
      </c>
      <c r="XBF55" s="650"/>
      <c r="XBG55" s="650"/>
      <c r="XBH55" s="650"/>
      <c r="XBI55" s="650"/>
      <c r="XBJ55" s="650"/>
      <c r="XBK55" s="651"/>
      <c r="XBL55" s="651"/>
      <c r="XBM55" s="651"/>
      <c r="XBN55" s="651"/>
      <c r="XBO55" s="651"/>
      <c r="XBP55" s="651"/>
      <c r="XBQ55" s="651"/>
      <c r="XBR55" s="651"/>
      <c r="XBS55" s="651"/>
      <c r="XBT55" s="651"/>
    </row>
    <row r="56" spans="1:16296" s="204" customFormat="1" ht="15" customHeight="1">
      <c r="A56" s="160" t="s">
        <v>501</v>
      </c>
      <c r="B56" s="58" t="s">
        <v>28</v>
      </c>
      <c r="C56" s="58" t="s">
        <v>26</v>
      </c>
      <c r="D56" s="58" t="s">
        <v>913</v>
      </c>
      <c r="E56" s="58"/>
      <c r="F56" s="58"/>
      <c r="G56" s="58"/>
      <c r="H56" s="58"/>
      <c r="I56" s="58"/>
      <c r="J56" s="212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94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>
        <f t="shared" ref="AK56:AK58" si="12">AF56+AH56</f>
        <v>0</v>
      </c>
      <c r="AL56" s="158"/>
      <c r="AM56" s="158"/>
      <c r="AN56" s="158"/>
      <c r="AO56" s="158"/>
      <c r="AP56" s="158"/>
      <c r="AQ56" s="158"/>
      <c r="AR56" s="158"/>
      <c r="AS56" s="158"/>
      <c r="AT56" s="2"/>
      <c r="AU56" s="58"/>
      <c r="AV56" s="185"/>
      <c r="AW56" s="158">
        <v>23</v>
      </c>
      <c r="AX56" s="158"/>
      <c r="AY56" s="158"/>
      <c r="AZ56" s="158"/>
      <c r="BA56" s="158"/>
      <c r="BB56" s="158"/>
      <c r="BC56" s="69"/>
      <c r="BD56" s="69"/>
      <c r="BE56" s="69"/>
      <c r="BF56" s="271">
        <v>2016</v>
      </c>
      <c r="BG56" s="271"/>
      <c r="BH56" s="271"/>
      <c r="BI56" s="271" t="s">
        <v>2376</v>
      </c>
    </row>
    <row r="57" spans="1:16296" s="204" customFormat="1" ht="15" customHeight="1">
      <c r="A57" s="160" t="s">
        <v>501</v>
      </c>
      <c r="B57" s="58" t="s">
        <v>31</v>
      </c>
      <c r="C57" s="122" t="s">
        <v>29</v>
      </c>
      <c r="D57" s="58" t="s">
        <v>30</v>
      </c>
      <c r="E57" s="58"/>
      <c r="F57" s="58"/>
      <c r="G57" s="58"/>
      <c r="H57" s="58"/>
      <c r="I57" s="58"/>
      <c r="J57" s="212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94">
        <v>1156256</v>
      </c>
      <c r="AA57" s="158">
        <v>20</v>
      </c>
      <c r="AB57" s="311">
        <v>43313</v>
      </c>
      <c r="AC57" s="158"/>
      <c r="AD57" s="158"/>
      <c r="AE57" s="158"/>
      <c r="AF57" s="158"/>
      <c r="AG57" s="158"/>
      <c r="AH57" s="158"/>
      <c r="AI57" s="158"/>
      <c r="AJ57" s="158"/>
      <c r="AK57" s="158">
        <f t="shared" si="12"/>
        <v>0</v>
      </c>
      <c r="AL57" s="158">
        <v>877</v>
      </c>
      <c r="AM57" s="158">
        <v>20</v>
      </c>
      <c r="AN57" s="158"/>
      <c r="AO57" s="158"/>
      <c r="AP57" s="158"/>
      <c r="AQ57" s="158"/>
      <c r="AR57" s="158"/>
      <c r="AS57" s="158"/>
      <c r="AT57" s="2"/>
      <c r="AU57" s="58"/>
      <c r="AV57" s="104"/>
      <c r="AW57" s="158">
        <v>47</v>
      </c>
      <c r="AX57" s="158"/>
      <c r="AY57" s="158"/>
      <c r="AZ57" s="158"/>
      <c r="BA57" s="158"/>
      <c r="BB57" s="158"/>
      <c r="BC57" s="69"/>
      <c r="BD57" s="69"/>
      <c r="BE57" s="69"/>
      <c r="BF57" s="271">
        <v>2016</v>
      </c>
      <c r="BG57" s="271"/>
      <c r="BH57" s="271"/>
      <c r="BI57" s="271" t="s">
        <v>2376</v>
      </c>
    </row>
    <row r="58" spans="1:16296" s="204" customFormat="1" ht="15" customHeight="1">
      <c r="A58" s="160" t="s">
        <v>501</v>
      </c>
      <c r="B58" s="1" t="s">
        <v>32</v>
      </c>
      <c r="C58" s="123" t="s">
        <v>722</v>
      </c>
      <c r="D58" s="141" t="s">
        <v>170</v>
      </c>
      <c r="E58" s="141"/>
      <c r="F58" s="141"/>
      <c r="G58" s="141"/>
      <c r="H58" s="30" t="s">
        <v>648</v>
      </c>
      <c r="I58" s="30"/>
      <c r="J58" s="212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94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>
        <f t="shared" si="12"/>
        <v>0</v>
      </c>
      <c r="AL58" s="158"/>
      <c r="AM58" s="158"/>
      <c r="AN58" s="158"/>
      <c r="AO58" s="158"/>
      <c r="AP58" s="158"/>
      <c r="AQ58" s="158"/>
      <c r="AR58" s="158"/>
      <c r="AS58" s="158"/>
      <c r="AT58" s="2">
        <v>1</v>
      </c>
      <c r="AU58" s="58" t="s">
        <v>646</v>
      </c>
      <c r="AV58" s="104"/>
      <c r="AW58" s="158" t="s">
        <v>0</v>
      </c>
      <c r="AX58" s="158"/>
      <c r="AY58" s="12">
        <v>105</v>
      </c>
      <c r="AZ58" s="158"/>
      <c r="BA58" s="158"/>
      <c r="BB58" s="158"/>
      <c r="BC58" s="69">
        <v>105</v>
      </c>
      <c r="BD58" s="69">
        <f>+AY58</f>
        <v>105</v>
      </c>
      <c r="BE58" s="69"/>
      <c r="BF58" s="271">
        <v>2018</v>
      </c>
      <c r="BG58" s="268"/>
      <c r="BH58" s="271"/>
      <c r="BI58" s="271" t="s">
        <v>2375</v>
      </c>
    </row>
    <row r="59" spans="1:16296" s="204" customFormat="1" ht="18" customHeight="1">
      <c r="A59" s="160" t="s">
        <v>501</v>
      </c>
      <c r="B59" s="58" t="s">
        <v>32</v>
      </c>
      <c r="C59" s="124" t="s">
        <v>722</v>
      </c>
      <c r="D59" s="126" t="s">
        <v>170</v>
      </c>
      <c r="E59" s="126"/>
      <c r="F59" s="126"/>
      <c r="G59" s="126"/>
      <c r="H59" s="43" t="s">
        <v>648</v>
      </c>
      <c r="I59" s="158">
        <v>434</v>
      </c>
      <c r="J59" s="212">
        <v>42088</v>
      </c>
      <c r="K59" s="224"/>
      <c r="L59" s="158"/>
      <c r="M59" s="158">
        <v>2</v>
      </c>
      <c r="N59" s="158"/>
      <c r="O59" s="158">
        <v>2</v>
      </c>
      <c r="P59" s="158">
        <v>137848983</v>
      </c>
      <c r="Q59" s="94">
        <f t="shared" ref="Q59" si="13">P59/AN59</f>
        <v>68924491.5</v>
      </c>
      <c r="R59" s="158"/>
      <c r="S59" s="158"/>
      <c r="T59" s="14"/>
      <c r="U59" s="58"/>
      <c r="V59" s="469"/>
      <c r="W59" s="469"/>
      <c r="X59" s="469"/>
      <c r="Y59" s="469"/>
      <c r="Z59" s="469"/>
      <c r="AA59" s="469"/>
      <c r="AB59" s="469"/>
      <c r="AC59" s="469"/>
      <c r="AD59" s="469"/>
      <c r="AE59" s="468"/>
      <c r="AF59" s="94">
        <f>P59-U59-Z59-137848983</f>
        <v>0</v>
      </c>
      <c r="AG59" s="94"/>
      <c r="AH59" s="94">
        <v>137848983</v>
      </c>
      <c r="AI59" s="94">
        <v>137848983</v>
      </c>
      <c r="AJ59" s="94"/>
      <c r="AK59" s="602">
        <f>P59-R59-U59-Z59</f>
        <v>137848983</v>
      </c>
      <c r="AL59" s="175">
        <v>877</v>
      </c>
      <c r="AM59" s="175">
        <v>10</v>
      </c>
      <c r="AN59" s="158">
        <v>2</v>
      </c>
      <c r="AO59" s="158"/>
      <c r="AP59" s="158"/>
      <c r="AQ59" s="158"/>
      <c r="AR59" s="158"/>
      <c r="AS59" s="158"/>
      <c r="AT59" s="2">
        <v>0</v>
      </c>
      <c r="AU59" s="58" t="s">
        <v>521</v>
      </c>
      <c r="AV59" s="104" t="s">
        <v>1349</v>
      </c>
      <c r="AW59" s="469"/>
      <c r="AX59" s="469"/>
      <c r="AY59" s="469"/>
      <c r="AZ59" s="469"/>
      <c r="BA59" s="469"/>
      <c r="BB59" s="469"/>
      <c r="BC59" s="469"/>
      <c r="BD59" s="469"/>
      <c r="BE59" s="469"/>
      <c r="BF59" s="469"/>
      <c r="BG59" s="271">
        <v>2019</v>
      </c>
      <c r="BH59" s="271">
        <v>2020</v>
      </c>
      <c r="BI59" s="271" t="s">
        <v>2375</v>
      </c>
      <c r="BJ59" s="468"/>
      <c r="BK59" s="468"/>
      <c r="BL59" s="468"/>
      <c r="BM59" s="468"/>
      <c r="BN59" s="468"/>
      <c r="BO59" s="468"/>
      <c r="BP59" s="468"/>
      <c r="BQ59" s="468"/>
      <c r="BR59" s="468"/>
      <c r="BS59" s="468"/>
      <c r="BT59" s="468"/>
      <c r="BU59" s="468"/>
      <c r="BV59" s="468"/>
      <c r="BW59" s="468"/>
      <c r="BX59" s="468"/>
      <c r="BY59" s="468"/>
      <c r="BZ59" s="468"/>
      <c r="CA59" s="468"/>
      <c r="CB59" s="468"/>
      <c r="CC59" s="468"/>
      <c r="CD59" s="468"/>
      <c r="CE59" s="468"/>
      <c r="CF59" s="468"/>
      <c r="CG59" s="468"/>
      <c r="CH59" s="468"/>
      <c r="CI59" s="468"/>
      <c r="CJ59" s="468"/>
      <c r="CK59" s="468"/>
      <c r="CL59" s="468"/>
      <c r="CM59" s="468"/>
      <c r="CN59" s="468"/>
      <c r="CO59" s="468"/>
      <c r="CP59" s="468"/>
      <c r="CQ59" s="468"/>
      <c r="CR59" s="468"/>
      <c r="CS59" s="468"/>
      <c r="CT59" s="468"/>
      <c r="CU59" s="468"/>
      <c r="CV59" s="468"/>
      <c r="CW59" s="468"/>
      <c r="CX59" s="468"/>
      <c r="CY59" s="468"/>
      <c r="CZ59" s="468"/>
      <c r="DA59" s="468"/>
      <c r="DB59" s="468"/>
      <c r="DC59" s="468"/>
      <c r="DD59" s="468"/>
      <c r="DE59" s="468"/>
      <c r="DF59" s="468"/>
      <c r="DG59" s="468"/>
      <c r="DH59" s="468"/>
      <c r="DI59" s="468"/>
      <c r="DJ59" s="468"/>
      <c r="DK59" s="468"/>
      <c r="DL59" s="468"/>
      <c r="DM59" s="468"/>
      <c r="DN59" s="468"/>
      <c r="DO59" s="468"/>
      <c r="DP59" s="468"/>
      <c r="DQ59" s="468"/>
      <c r="DR59" s="468"/>
      <c r="DS59" s="468"/>
      <c r="DT59" s="468"/>
      <c r="DU59" s="468"/>
      <c r="DV59" s="468"/>
      <c r="DW59" s="468"/>
      <c r="DX59" s="468"/>
      <c r="DY59" s="468"/>
      <c r="DZ59" s="468"/>
      <c r="EA59" s="468"/>
      <c r="EB59" s="468"/>
      <c r="EC59" s="468"/>
      <c r="ED59" s="468"/>
      <c r="EE59" s="468"/>
      <c r="EF59" s="468"/>
      <c r="EG59" s="468"/>
      <c r="EH59" s="468"/>
      <c r="EI59" s="468"/>
      <c r="EJ59" s="468"/>
      <c r="EK59" s="468"/>
      <c r="EL59" s="468"/>
      <c r="EM59" s="468"/>
      <c r="EN59" s="468"/>
      <c r="EO59" s="468"/>
      <c r="EP59" s="468"/>
      <c r="EQ59" s="468"/>
      <c r="ER59" s="468"/>
      <c r="ES59" s="468"/>
      <c r="ET59" s="468"/>
      <c r="EU59" s="468"/>
      <c r="EV59" s="468"/>
      <c r="EW59" s="468"/>
      <c r="EX59" s="468"/>
      <c r="EY59" s="468"/>
      <c r="EZ59" s="468"/>
      <c r="FA59" s="468"/>
      <c r="FB59" s="468"/>
      <c r="FC59" s="468"/>
      <c r="FD59" s="468"/>
      <c r="FE59" s="468"/>
      <c r="FF59" s="468"/>
      <c r="FG59" s="468"/>
      <c r="FH59" s="468"/>
      <c r="FI59" s="468"/>
      <c r="FJ59" s="468"/>
      <c r="FK59" s="468"/>
      <c r="FL59" s="468"/>
      <c r="FM59" s="468"/>
      <c r="FN59" s="468"/>
      <c r="FO59" s="468"/>
      <c r="FP59" s="468"/>
      <c r="FQ59" s="468"/>
      <c r="FR59" s="468"/>
      <c r="FS59" s="468"/>
      <c r="FT59" s="468"/>
      <c r="FU59" s="468"/>
      <c r="FV59" s="468"/>
      <c r="FW59" s="468"/>
      <c r="FX59" s="468"/>
      <c r="FY59" s="468"/>
      <c r="FZ59" s="468"/>
      <c r="GA59" s="468"/>
      <c r="GB59" s="468"/>
      <c r="GC59" s="468"/>
      <c r="GD59" s="468"/>
      <c r="GE59" s="468"/>
      <c r="GF59" s="468"/>
      <c r="GG59" s="468"/>
      <c r="GH59" s="468"/>
      <c r="GI59" s="468"/>
      <c r="GJ59" s="468"/>
      <c r="GK59" s="468"/>
      <c r="GL59" s="468"/>
      <c r="GM59" s="468"/>
      <c r="GN59" s="468"/>
      <c r="GO59" s="468"/>
      <c r="GP59" s="468"/>
      <c r="GQ59" s="468"/>
      <c r="GR59" s="468"/>
      <c r="GS59" s="468"/>
      <c r="GT59" s="468"/>
      <c r="GU59" s="468"/>
      <c r="GV59" s="468"/>
      <c r="GW59" s="468"/>
      <c r="GX59" s="468"/>
      <c r="GY59" s="468"/>
      <c r="GZ59" s="468"/>
      <c r="HA59" s="468"/>
      <c r="HB59" s="468"/>
      <c r="HC59" s="468"/>
      <c r="HD59" s="468"/>
      <c r="HE59" s="468"/>
      <c r="HF59" s="468"/>
      <c r="HG59" s="468"/>
      <c r="HH59" s="468"/>
      <c r="HI59" s="468"/>
      <c r="HJ59" s="468"/>
      <c r="HK59" s="468"/>
      <c r="HL59" s="468"/>
      <c r="HM59" s="468"/>
      <c r="HN59" s="468"/>
      <c r="HO59" s="468"/>
      <c r="HP59" s="468"/>
      <c r="HQ59" s="468"/>
      <c r="HR59" s="468"/>
      <c r="HS59" s="468"/>
      <c r="HT59" s="468"/>
      <c r="HU59" s="468"/>
      <c r="HV59" s="468"/>
      <c r="HW59" s="468"/>
      <c r="HX59" s="468"/>
      <c r="HY59" s="468"/>
      <c r="HZ59" s="468"/>
      <c r="IA59" s="468"/>
      <c r="IB59" s="468"/>
      <c r="IC59" s="468"/>
      <c r="ID59" s="468"/>
      <c r="IE59" s="468"/>
      <c r="IF59" s="468"/>
      <c r="IG59" s="468"/>
      <c r="IH59" s="468"/>
      <c r="II59" s="468"/>
      <c r="IJ59" s="468"/>
      <c r="IK59" s="468"/>
      <c r="IL59" s="468"/>
      <c r="IM59" s="468"/>
      <c r="IN59" s="468"/>
      <c r="IO59" s="468"/>
      <c r="IP59" s="468"/>
      <c r="IQ59" s="468"/>
      <c r="IR59" s="468"/>
      <c r="IS59" s="468"/>
      <c r="IT59" s="468"/>
      <c r="IU59" s="468"/>
      <c r="IV59" s="468"/>
      <c r="IW59" s="468"/>
      <c r="IX59" s="468"/>
      <c r="IY59" s="468"/>
      <c r="IZ59" s="468"/>
      <c r="JA59" s="468"/>
      <c r="JB59" s="468"/>
      <c r="JC59" s="468"/>
      <c r="JD59" s="468"/>
      <c r="JE59" s="468"/>
      <c r="JF59" s="468"/>
      <c r="JG59" s="468"/>
      <c r="JH59" s="468"/>
      <c r="JI59" s="468"/>
      <c r="JJ59" s="468"/>
      <c r="JK59" s="468"/>
      <c r="JL59" s="468"/>
      <c r="JM59" s="468"/>
      <c r="JN59" s="468"/>
      <c r="JO59" s="468"/>
      <c r="JP59" s="468"/>
      <c r="JQ59" s="468"/>
      <c r="JR59" s="468"/>
      <c r="JS59" s="468"/>
      <c r="JT59" s="468"/>
      <c r="JU59" s="468"/>
      <c r="JV59" s="468"/>
      <c r="JW59" s="468"/>
      <c r="JX59" s="468"/>
      <c r="JY59" s="468"/>
      <c r="JZ59" s="468"/>
      <c r="KA59" s="468"/>
      <c r="KB59" s="468"/>
      <c r="KC59" s="468"/>
      <c r="KD59" s="468"/>
      <c r="KE59" s="468"/>
      <c r="KF59" s="468"/>
      <c r="KG59" s="468"/>
      <c r="KH59" s="468"/>
      <c r="KI59" s="468"/>
      <c r="KJ59" s="468"/>
      <c r="KK59" s="468"/>
      <c r="KL59" s="468"/>
      <c r="KM59" s="468"/>
      <c r="KN59" s="468"/>
      <c r="KO59" s="468"/>
      <c r="KP59" s="468"/>
      <c r="KQ59" s="468"/>
      <c r="KR59" s="468"/>
      <c r="KS59" s="468"/>
      <c r="KT59" s="468"/>
      <c r="KU59" s="468"/>
      <c r="KV59" s="468"/>
      <c r="KW59" s="468"/>
      <c r="KX59" s="468"/>
      <c r="KY59" s="468"/>
      <c r="KZ59" s="468"/>
      <c r="LA59" s="468"/>
      <c r="LB59" s="468"/>
      <c r="LC59" s="468"/>
      <c r="LD59" s="468"/>
      <c r="LE59" s="468"/>
      <c r="LF59" s="468"/>
      <c r="LG59" s="468"/>
      <c r="LH59" s="468"/>
      <c r="LI59" s="468"/>
      <c r="LJ59" s="468"/>
      <c r="LK59" s="468"/>
      <c r="LL59" s="468"/>
      <c r="LM59" s="468"/>
      <c r="LN59" s="468"/>
      <c r="LO59" s="468"/>
      <c r="LP59" s="468"/>
      <c r="LQ59" s="468"/>
      <c r="LR59" s="468"/>
      <c r="LS59" s="468"/>
      <c r="LT59" s="468"/>
      <c r="LU59" s="468"/>
      <c r="LV59" s="468"/>
      <c r="LW59" s="468"/>
      <c r="LX59" s="468"/>
      <c r="LY59" s="468"/>
      <c r="LZ59" s="468"/>
      <c r="MA59" s="468"/>
      <c r="MB59" s="468"/>
      <c r="MC59" s="468"/>
      <c r="MD59" s="468"/>
      <c r="ME59" s="468"/>
      <c r="MF59" s="468"/>
      <c r="MG59" s="468"/>
      <c r="MH59" s="468"/>
      <c r="MI59" s="468"/>
      <c r="MJ59" s="468"/>
      <c r="MK59" s="468"/>
      <c r="ML59" s="468"/>
      <c r="MM59" s="468"/>
      <c r="MN59" s="468"/>
      <c r="MO59" s="468"/>
      <c r="MP59" s="468"/>
      <c r="MQ59" s="468"/>
      <c r="MR59" s="468"/>
      <c r="MS59" s="468"/>
      <c r="MT59" s="468"/>
      <c r="MU59" s="468"/>
      <c r="MV59" s="468"/>
      <c r="MW59" s="468"/>
      <c r="MX59" s="468"/>
      <c r="MY59" s="468"/>
      <c r="MZ59" s="468"/>
      <c r="NA59" s="468"/>
      <c r="NB59" s="468"/>
      <c r="NC59" s="468"/>
      <c r="ND59" s="468"/>
      <c r="NE59" s="468"/>
      <c r="NF59" s="468"/>
      <c r="NG59" s="468"/>
      <c r="NH59" s="468"/>
      <c r="NI59" s="468"/>
      <c r="NJ59" s="468"/>
      <c r="NK59" s="468"/>
      <c r="NL59" s="468"/>
      <c r="NM59" s="468"/>
      <c r="NN59" s="468"/>
      <c r="NO59" s="468"/>
      <c r="NP59" s="468"/>
      <c r="NQ59" s="468"/>
      <c r="NR59" s="468"/>
      <c r="NS59" s="468"/>
      <c r="NT59" s="468"/>
      <c r="NU59" s="468"/>
      <c r="NV59" s="468"/>
      <c r="NW59" s="468"/>
      <c r="NX59" s="468"/>
      <c r="NY59" s="468"/>
      <c r="NZ59" s="468"/>
      <c r="OA59" s="468"/>
      <c r="OB59" s="468"/>
      <c r="OC59" s="468"/>
      <c r="OD59" s="468"/>
      <c r="OE59" s="468"/>
      <c r="OF59" s="468"/>
      <c r="OG59" s="468"/>
      <c r="OH59" s="468"/>
      <c r="OI59" s="468"/>
      <c r="OJ59" s="468"/>
      <c r="OK59" s="468"/>
      <c r="OL59" s="468"/>
      <c r="OM59" s="468"/>
      <c r="ON59" s="468"/>
      <c r="OO59" s="468"/>
      <c r="OP59" s="468"/>
      <c r="OQ59" s="468"/>
      <c r="OR59" s="468"/>
      <c r="OS59" s="468"/>
      <c r="OT59" s="468"/>
      <c r="OU59" s="468"/>
      <c r="OV59" s="468"/>
      <c r="OW59" s="468"/>
      <c r="OX59" s="468"/>
      <c r="OY59" s="468"/>
      <c r="OZ59" s="468"/>
      <c r="PA59" s="468"/>
      <c r="PB59" s="468"/>
      <c r="PC59" s="468"/>
      <c r="PD59" s="468"/>
      <c r="PE59" s="468"/>
      <c r="PF59" s="468"/>
      <c r="PG59" s="468"/>
      <c r="PH59" s="468"/>
      <c r="PI59" s="468"/>
      <c r="PJ59" s="468"/>
      <c r="PK59" s="468"/>
      <c r="PL59" s="468"/>
      <c r="PM59" s="468"/>
      <c r="PN59" s="468"/>
      <c r="PO59" s="468"/>
      <c r="PP59" s="468"/>
      <c r="PQ59" s="468"/>
      <c r="PR59" s="468"/>
      <c r="PS59" s="468"/>
      <c r="PT59" s="468"/>
      <c r="PU59" s="468"/>
      <c r="PV59" s="468"/>
      <c r="PW59" s="468"/>
      <c r="PX59" s="468"/>
      <c r="PY59" s="468"/>
      <c r="PZ59" s="468"/>
      <c r="QA59" s="468"/>
      <c r="QB59" s="468"/>
      <c r="QC59" s="468"/>
      <c r="QD59" s="468"/>
      <c r="QE59" s="468"/>
      <c r="QF59" s="468"/>
      <c r="QG59" s="468"/>
      <c r="QH59" s="468"/>
      <c r="QI59" s="468"/>
      <c r="QJ59" s="468"/>
      <c r="QK59" s="468"/>
      <c r="QL59" s="468"/>
      <c r="QM59" s="468"/>
      <c r="QN59" s="468"/>
      <c r="QO59" s="468"/>
      <c r="QP59" s="468"/>
      <c r="QQ59" s="468"/>
      <c r="QR59" s="468"/>
      <c r="QS59" s="468"/>
      <c r="QT59" s="468"/>
      <c r="QU59" s="468"/>
      <c r="QV59" s="468"/>
      <c r="QW59" s="468"/>
      <c r="QX59" s="468"/>
      <c r="QY59" s="468"/>
      <c r="QZ59" s="468"/>
      <c r="RA59" s="468"/>
      <c r="RB59" s="468"/>
      <c r="RC59" s="468"/>
      <c r="RD59" s="468"/>
      <c r="RE59" s="468"/>
      <c r="RF59" s="468"/>
      <c r="RG59" s="468"/>
      <c r="RH59" s="468"/>
      <c r="RI59" s="468"/>
      <c r="RJ59" s="468"/>
      <c r="RK59" s="468"/>
      <c r="RL59" s="468"/>
      <c r="RM59" s="468"/>
      <c r="RN59" s="468"/>
      <c r="RO59" s="468"/>
      <c r="RP59" s="468"/>
      <c r="RQ59" s="468"/>
      <c r="RR59" s="468"/>
      <c r="RS59" s="468"/>
      <c r="RT59" s="468"/>
      <c r="RU59" s="468"/>
      <c r="RV59" s="468"/>
      <c r="RW59" s="468"/>
      <c r="RX59" s="468"/>
      <c r="RY59" s="468"/>
      <c r="RZ59" s="468"/>
      <c r="SA59" s="468"/>
      <c r="SB59" s="468"/>
      <c r="SC59" s="468"/>
      <c r="SD59" s="468"/>
      <c r="SE59" s="468"/>
      <c r="SF59" s="468"/>
      <c r="SG59" s="468"/>
      <c r="SH59" s="468"/>
      <c r="SI59" s="468"/>
      <c r="SJ59" s="468"/>
      <c r="SK59" s="468"/>
      <c r="SL59" s="468"/>
      <c r="SM59" s="468"/>
      <c r="SN59" s="468"/>
      <c r="SO59" s="468"/>
      <c r="SP59" s="468"/>
      <c r="SQ59" s="468"/>
      <c r="SR59" s="468"/>
      <c r="SS59" s="468"/>
      <c r="ST59" s="468"/>
      <c r="SU59" s="468"/>
      <c r="SV59" s="468"/>
      <c r="SW59" s="468"/>
      <c r="SX59" s="468"/>
      <c r="SY59" s="468"/>
      <c r="SZ59" s="468"/>
      <c r="TA59" s="468"/>
      <c r="TB59" s="468"/>
      <c r="TC59" s="468"/>
      <c r="TD59" s="468"/>
      <c r="TE59" s="468"/>
      <c r="TF59" s="468"/>
      <c r="TG59" s="468"/>
      <c r="TH59" s="468"/>
      <c r="TI59" s="468"/>
      <c r="TJ59" s="468"/>
      <c r="TK59" s="468"/>
      <c r="TL59" s="468"/>
      <c r="TM59" s="468"/>
      <c r="TN59" s="468"/>
      <c r="TO59" s="468"/>
      <c r="TP59" s="468"/>
      <c r="TQ59" s="468"/>
      <c r="TR59" s="468"/>
      <c r="TS59" s="468"/>
      <c r="TT59" s="468"/>
      <c r="TU59" s="468"/>
      <c r="TV59" s="468"/>
      <c r="TW59" s="468"/>
      <c r="TX59" s="468"/>
      <c r="TY59" s="468"/>
      <c r="TZ59" s="468"/>
      <c r="UA59" s="468"/>
      <c r="UB59" s="468"/>
      <c r="UC59" s="468"/>
      <c r="UD59" s="468"/>
      <c r="UE59" s="468"/>
      <c r="UF59" s="468"/>
      <c r="UG59" s="468"/>
      <c r="UH59" s="468"/>
      <c r="UI59" s="468"/>
      <c r="UJ59" s="468"/>
      <c r="UK59" s="468"/>
      <c r="UL59" s="468"/>
      <c r="UM59" s="468"/>
      <c r="UN59" s="468"/>
      <c r="UO59" s="468"/>
      <c r="UP59" s="468"/>
      <c r="UQ59" s="468"/>
      <c r="UR59" s="468"/>
      <c r="US59" s="468"/>
      <c r="UT59" s="468"/>
      <c r="UU59" s="468"/>
      <c r="UV59" s="468"/>
      <c r="UW59" s="468"/>
      <c r="UX59" s="468"/>
      <c r="UY59" s="468"/>
      <c r="UZ59" s="468"/>
      <c r="VA59" s="468"/>
      <c r="VB59" s="468"/>
      <c r="VC59" s="468"/>
      <c r="VD59" s="468"/>
      <c r="VE59" s="468"/>
      <c r="VF59" s="468"/>
      <c r="VG59" s="468"/>
      <c r="VH59" s="468"/>
      <c r="VI59" s="468"/>
      <c r="VJ59" s="468"/>
      <c r="VK59" s="468"/>
      <c r="VL59" s="468"/>
      <c r="VM59" s="468"/>
      <c r="VN59" s="468"/>
      <c r="VO59" s="468"/>
      <c r="VP59" s="468"/>
      <c r="VQ59" s="468"/>
      <c r="VR59" s="468"/>
      <c r="VS59" s="468"/>
      <c r="VT59" s="468"/>
      <c r="VU59" s="468"/>
      <c r="VV59" s="468"/>
      <c r="VW59" s="468"/>
      <c r="VX59" s="468"/>
      <c r="VY59" s="468"/>
      <c r="VZ59" s="468"/>
      <c r="WA59" s="468"/>
      <c r="WB59" s="468"/>
      <c r="WC59" s="468"/>
      <c r="WD59" s="468"/>
      <c r="WE59" s="468"/>
      <c r="WF59" s="468"/>
      <c r="WG59" s="468"/>
      <c r="WH59" s="468"/>
      <c r="WI59" s="468"/>
      <c r="WJ59" s="468"/>
      <c r="WK59" s="468"/>
      <c r="WL59" s="468"/>
      <c r="WM59" s="468"/>
      <c r="WN59" s="468"/>
      <c r="WO59" s="468"/>
      <c r="WP59" s="468"/>
      <c r="WQ59" s="468"/>
      <c r="WR59" s="468"/>
      <c r="WS59" s="468"/>
      <c r="WT59" s="468"/>
      <c r="WU59" s="468"/>
      <c r="WV59" s="468"/>
      <c r="WW59" s="468"/>
      <c r="WX59" s="468"/>
      <c r="WY59" s="468"/>
      <c r="WZ59" s="468"/>
      <c r="XA59" s="468"/>
      <c r="XB59" s="468"/>
      <c r="XC59" s="468"/>
      <c r="XD59" s="468"/>
      <c r="XE59" s="468"/>
      <c r="XF59" s="468"/>
      <c r="XG59" s="468"/>
      <c r="XH59" s="468"/>
      <c r="XI59" s="468"/>
      <c r="XJ59" s="468"/>
      <c r="XK59" s="468"/>
      <c r="XL59" s="468"/>
      <c r="XM59" s="468"/>
      <c r="XN59" s="468"/>
      <c r="XO59" s="468"/>
      <c r="XP59" s="468"/>
      <c r="XQ59" s="468"/>
      <c r="XR59" s="468"/>
      <c r="XS59" s="468"/>
      <c r="XT59" s="468"/>
      <c r="XU59" s="468"/>
      <c r="XV59" s="468"/>
      <c r="XW59" s="468"/>
      <c r="XX59" s="468"/>
      <c r="XY59" s="468"/>
      <c r="XZ59" s="468"/>
      <c r="YA59" s="468"/>
      <c r="YB59" s="468"/>
      <c r="YC59" s="468"/>
      <c r="YD59" s="468"/>
      <c r="YE59" s="468"/>
      <c r="YF59" s="468"/>
      <c r="YG59" s="468"/>
      <c r="YH59" s="468"/>
      <c r="YI59" s="468"/>
      <c r="YJ59" s="468"/>
      <c r="YK59" s="468"/>
      <c r="YL59" s="468"/>
      <c r="YM59" s="468"/>
      <c r="YN59" s="468"/>
      <c r="YO59" s="468"/>
      <c r="YP59" s="468"/>
      <c r="YQ59" s="468"/>
      <c r="YR59" s="468"/>
      <c r="YS59" s="468"/>
      <c r="YT59" s="468"/>
      <c r="YU59" s="468"/>
      <c r="YV59" s="468"/>
      <c r="YW59" s="468"/>
      <c r="YX59" s="468"/>
      <c r="YY59" s="468"/>
      <c r="YZ59" s="468"/>
      <c r="ZA59" s="468"/>
      <c r="ZB59" s="468"/>
      <c r="ZC59" s="468"/>
      <c r="ZD59" s="468"/>
      <c r="ZE59" s="468"/>
      <c r="ZF59" s="468"/>
      <c r="ZG59" s="468"/>
      <c r="ZH59" s="468"/>
      <c r="ZI59" s="468"/>
      <c r="ZJ59" s="468"/>
      <c r="ZK59" s="468"/>
      <c r="ZL59" s="468"/>
      <c r="ZM59" s="468"/>
      <c r="ZN59" s="468"/>
      <c r="ZO59" s="468"/>
      <c r="ZP59" s="468"/>
      <c r="ZQ59" s="468"/>
      <c r="ZR59" s="468"/>
      <c r="ZS59" s="468"/>
      <c r="ZT59" s="468"/>
      <c r="ZU59" s="468"/>
      <c r="ZV59" s="468"/>
      <c r="ZW59" s="468"/>
      <c r="ZX59" s="468"/>
      <c r="ZY59" s="468"/>
      <c r="ZZ59" s="468"/>
      <c r="AAA59" s="468"/>
      <c r="AAB59" s="468"/>
      <c r="AAC59" s="468"/>
      <c r="AAD59" s="468"/>
      <c r="AAE59" s="468"/>
      <c r="AAF59" s="468"/>
      <c r="AAG59" s="468"/>
      <c r="AAH59" s="468"/>
      <c r="AAI59" s="468"/>
      <c r="AAJ59" s="468"/>
      <c r="AAK59" s="468"/>
      <c r="AAL59" s="468"/>
      <c r="AAM59" s="468"/>
      <c r="AAN59" s="468"/>
      <c r="AAO59" s="468"/>
      <c r="AAP59" s="468"/>
      <c r="AAQ59" s="468"/>
      <c r="AAR59" s="468"/>
      <c r="AAS59" s="468"/>
      <c r="AAT59" s="468"/>
      <c r="AAU59" s="468"/>
      <c r="AAV59" s="468"/>
      <c r="AAW59" s="468"/>
      <c r="AAX59" s="468"/>
      <c r="AAY59" s="468"/>
      <c r="AAZ59" s="468"/>
      <c r="ABA59" s="468"/>
      <c r="ABB59" s="468"/>
      <c r="ABC59" s="468"/>
      <c r="ABD59" s="468"/>
      <c r="ABE59" s="468"/>
      <c r="ABF59" s="468"/>
      <c r="ABG59" s="468"/>
      <c r="ABH59" s="468"/>
      <c r="ABI59" s="468"/>
      <c r="ABJ59" s="468"/>
      <c r="ABK59" s="468"/>
      <c r="ABL59" s="468"/>
      <c r="ABM59" s="468"/>
      <c r="ABN59" s="468"/>
      <c r="ABO59" s="468"/>
      <c r="ABP59" s="468"/>
      <c r="ABQ59" s="468"/>
      <c r="ABR59" s="468"/>
      <c r="ABS59" s="468"/>
      <c r="ABT59" s="468"/>
      <c r="ABU59" s="468"/>
      <c r="ABV59" s="468"/>
      <c r="ABW59" s="468"/>
      <c r="ABX59" s="468"/>
      <c r="ABY59" s="468"/>
      <c r="ABZ59" s="468"/>
      <c r="ACA59" s="468"/>
      <c r="ACB59" s="468"/>
      <c r="ACC59" s="468"/>
      <c r="ACD59" s="468"/>
      <c r="ACE59" s="468"/>
      <c r="ACF59" s="468"/>
      <c r="ACG59" s="468"/>
      <c r="ACH59" s="468"/>
      <c r="ACI59" s="468"/>
      <c r="ACJ59" s="468"/>
      <c r="ACK59" s="468"/>
      <c r="ACL59" s="468"/>
      <c r="ACM59" s="468"/>
      <c r="ACN59" s="468"/>
      <c r="ACO59" s="468"/>
      <c r="ACP59" s="468"/>
      <c r="ACQ59" s="468"/>
      <c r="ACR59" s="468"/>
      <c r="ACS59" s="468"/>
      <c r="ACT59" s="468"/>
      <c r="ACU59" s="468"/>
      <c r="ACV59" s="468"/>
      <c r="ACW59" s="468"/>
      <c r="ACX59" s="468"/>
      <c r="ACY59" s="468"/>
      <c r="ACZ59" s="468"/>
      <c r="ADA59" s="468"/>
      <c r="ADB59" s="468"/>
      <c r="ADC59" s="468"/>
      <c r="ADD59" s="468"/>
      <c r="ADE59" s="468"/>
      <c r="ADF59" s="468"/>
      <c r="ADG59" s="468"/>
      <c r="ADH59" s="468"/>
      <c r="ADI59" s="468"/>
      <c r="ADJ59" s="468"/>
      <c r="ADK59" s="468"/>
      <c r="ADL59" s="468"/>
      <c r="ADM59" s="468"/>
      <c r="ADN59" s="468"/>
      <c r="ADO59" s="468"/>
      <c r="ADP59" s="468"/>
      <c r="ADQ59" s="468"/>
      <c r="ADR59" s="468"/>
      <c r="ADS59" s="468"/>
      <c r="ADT59" s="468"/>
      <c r="ADU59" s="468"/>
      <c r="ADV59" s="468"/>
      <c r="ADW59" s="468"/>
      <c r="ADX59" s="468"/>
      <c r="ADY59" s="468"/>
      <c r="ADZ59" s="468"/>
      <c r="AEA59" s="468"/>
      <c r="AEB59" s="468"/>
      <c r="AEC59" s="468"/>
      <c r="AED59" s="468"/>
      <c r="AEE59" s="468"/>
      <c r="AEF59" s="468"/>
      <c r="AEG59" s="468"/>
      <c r="AEH59" s="468"/>
      <c r="AEI59" s="468"/>
      <c r="AEJ59" s="468"/>
      <c r="AEK59" s="468"/>
      <c r="AEL59" s="468"/>
      <c r="AEM59" s="468"/>
      <c r="AEN59" s="468"/>
      <c r="AEO59" s="468"/>
      <c r="AEP59" s="468"/>
      <c r="AEQ59" s="468"/>
      <c r="AER59" s="468"/>
      <c r="AES59" s="468"/>
      <c r="AET59" s="468"/>
      <c r="AEU59" s="468"/>
      <c r="AEV59" s="468"/>
      <c r="AEW59" s="468"/>
      <c r="AEX59" s="468"/>
      <c r="AEY59" s="468"/>
      <c r="AEZ59" s="468"/>
      <c r="AFA59" s="468"/>
      <c r="AFB59" s="468"/>
      <c r="AFC59" s="468"/>
      <c r="AFD59" s="468"/>
      <c r="AFE59" s="468"/>
      <c r="AFF59" s="468"/>
      <c r="AFG59" s="468"/>
      <c r="AFH59" s="468"/>
      <c r="AFI59" s="468"/>
      <c r="AFJ59" s="468"/>
      <c r="AFK59" s="468"/>
      <c r="AFL59" s="468"/>
      <c r="AFM59" s="468"/>
      <c r="AFN59" s="468"/>
      <c r="AFO59" s="468"/>
      <c r="AFP59" s="468"/>
      <c r="AFQ59" s="468"/>
      <c r="AFR59" s="468"/>
      <c r="AFS59" s="468"/>
      <c r="AFT59" s="468"/>
      <c r="AFU59" s="468"/>
      <c r="AFV59" s="468"/>
      <c r="AFW59" s="468"/>
      <c r="AFX59" s="468"/>
      <c r="AFY59" s="468"/>
      <c r="AFZ59" s="468"/>
      <c r="AGA59" s="468"/>
      <c r="AGB59" s="468"/>
      <c r="AGC59" s="468"/>
      <c r="AGD59" s="468"/>
      <c r="AGE59" s="468"/>
      <c r="AGF59" s="468"/>
      <c r="AGG59" s="468"/>
      <c r="AGH59" s="468"/>
      <c r="AGI59" s="468"/>
      <c r="AGJ59" s="468"/>
      <c r="AGK59" s="468"/>
      <c r="AGL59" s="468"/>
      <c r="AGM59" s="468"/>
      <c r="AGN59" s="468"/>
      <c r="AGO59" s="468"/>
      <c r="AGP59" s="468"/>
      <c r="AGQ59" s="468"/>
      <c r="AGR59" s="468"/>
      <c r="AGS59" s="468"/>
      <c r="AGT59" s="468"/>
      <c r="AGU59" s="468"/>
      <c r="AGV59" s="468"/>
      <c r="AGW59" s="468"/>
      <c r="AGX59" s="468"/>
      <c r="AGY59" s="468"/>
      <c r="AGZ59" s="468"/>
      <c r="AHA59" s="468"/>
      <c r="AHB59" s="468"/>
      <c r="AHC59" s="468"/>
      <c r="AHD59" s="468"/>
      <c r="AHE59" s="468"/>
      <c r="AHF59" s="468"/>
      <c r="AHG59" s="468"/>
      <c r="AHH59" s="468"/>
      <c r="AHI59" s="468"/>
      <c r="AHJ59" s="468"/>
      <c r="AHK59" s="468"/>
      <c r="AHL59" s="468"/>
      <c r="AHM59" s="468"/>
      <c r="AHN59" s="468"/>
      <c r="AHO59" s="468"/>
      <c r="AHP59" s="468"/>
      <c r="AHQ59" s="468"/>
      <c r="AHR59" s="468"/>
      <c r="AHS59" s="468"/>
      <c r="AHT59" s="468"/>
      <c r="AHU59" s="468"/>
      <c r="AHV59" s="468"/>
      <c r="AHW59" s="468"/>
      <c r="AHX59" s="468"/>
      <c r="AHY59" s="468"/>
      <c r="AHZ59" s="468"/>
      <c r="AIA59" s="468"/>
      <c r="AIB59" s="468"/>
      <c r="AIC59" s="468"/>
      <c r="AID59" s="468"/>
      <c r="AIE59" s="468"/>
      <c r="AIF59" s="468"/>
      <c r="AIG59" s="468"/>
      <c r="AIH59" s="468"/>
      <c r="AII59" s="468"/>
      <c r="AIJ59" s="468"/>
      <c r="AIK59" s="468"/>
      <c r="AIL59" s="468"/>
      <c r="AIM59" s="468"/>
      <c r="AIN59" s="468"/>
      <c r="AIO59" s="468"/>
      <c r="AIP59" s="468"/>
      <c r="AIQ59" s="468"/>
      <c r="AIR59" s="468"/>
      <c r="AIS59" s="468"/>
      <c r="AIT59" s="468"/>
      <c r="AIU59" s="468"/>
      <c r="AIV59" s="468"/>
      <c r="AIW59" s="468"/>
      <c r="AIX59" s="468"/>
      <c r="AIY59" s="468"/>
      <c r="AIZ59" s="468"/>
      <c r="AJA59" s="468"/>
      <c r="AJB59" s="468"/>
      <c r="AJC59" s="468"/>
      <c r="AJD59" s="468"/>
      <c r="AJE59" s="468"/>
      <c r="AJF59" s="468"/>
      <c r="AJG59" s="468"/>
      <c r="AJH59" s="468"/>
      <c r="AJI59" s="468"/>
      <c r="AJJ59" s="468"/>
      <c r="AJK59" s="468"/>
      <c r="AJL59" s="468"/>
      <c r="AJM59" s="468"/>
      <c r="AJN59" s="468"/>
      <c r="AJO59" s="468"/>
      <c r="AJP59" s="468"/>
      <c r="AJQ59" s="468"/>
      <c r="AJR59" s="468"/>
      <c r="AJS59" s="468"/>
      <c r="AJT59" s="468"/>
      <c r="AJU59" s="468"/>
      <c r="AJV59" s="468"/>
      <c r="AJW59" s="468"/>
      <c r="AJX59" s="468"/>
      <c r="AJY59" s="468"/>
      <c r="AJZ59" s="468"/>
      <c r="AKA59" s="468"/>
      <c r="AKB59" s="468"/>
      <c r="AKC59" s="468"/>
      <c r="AKD59" s="468"/>
      <c r="AKE59" s="468"/>
      <c r="AKF59" s="468"/>
      <c r="AKG59" s="468"/>
      <c r="AKH59" s="468"/>
      <c r="AKI59" s="468"/>
      <c r="AKJ59" s="468"/>
      <c r="AKK59" s="468"/>
      <c r="AKL59" s="468"/>
      <c r="AKM59" s="468"/>
      <c r="AKN59" s="468"/>
      <c r="AKO59" s="468"/>
      <c r="AKP59" s="468"/>
      <c r="AKQ59" s="468"/>
      <c r="AKR59" s="468"/>
      <c r="AKS59" s="468"/>
      <c r="AKT59" s="468"/>
      <c r="AKU59" s="468"/>
      <c r="AKV59" s="468"/>
      <c r="AKW59" s="468"/>
      <c r="AKX59" s="468"/>
      <c r="AKY59" s="468"/>
      <c r="AKZ59" s="468"/>
      <c r="ALA59" s="468"/>
      <c r="ALB59" s="468"/>
      <c r="ALC59" s="468"/>
      <c r="ALD59" s="468"/>
      <c r="ALE59" s="468"/>
      <c r="ALF59" s="468"/>
      <c r="ALG59" s="468"/>
      <c r="ALH59" s="468"/>
      <c r="ALI59" s="468"/>
      <c r="ALJ59" s="468"/>
      <c r="ALK59" s="468"/>
      <c r="ALL59" s="468"/>
      <c r="ALM59" s="468"/>
      <c r="ALN59" s="468"/>
      <c r="ALO59" s="468"/>
      <c r="ALP59" s="468"/>
      <c r="ALQ59" s="468"/>
      <c r="ALR59" s="468"/>
      <c r="ALS59" s="468"/>
      <c r="ALT59" s="468"/>
      <c r="ALU59" s="468"/>
      <c r="ALV59" s="468"/>
      <c r="ALW59" s="468"/>
      <c r="ALX59" s="468"/>
      <c r="ALY59" s="468"/>
      <c r="ALZ59" s="468"/>
      <c r="AMA59" s="468"/>
      <c r="AMB59" s="468"/>
      <c r="AMC59" s="468"/>
      <c r="AMD59" s="468"/>
      <c r="AME59" s="468"/>
      <c r="AMF59" s="468"/>
      <c r="AMG59" s="468"/>
      <c r="AMH59" s="468"/>
      <c r="AMI59" s="468"/>
      <c r="AMJ59" s="468"/>
      <c r="AMK59" s="468"/>
      <c r="AML59" s="468"/>
      <c r="AMM59" s="468"/>
      <c r="AMN59" s="468"/>
      <c r="AMO59" s="468"/>
      <c r="AMP59" s="468"/>
      <c r="AMQ59" s="468"/>
      <c r="AMR59" s="468"/>
      <c r="AMS59" s="468"/>
      <c r="AMT59" s="468"/>
      <c r="AMU59" s="468"/>
      <c r="AMV59" s="468"/>
      <c r="AMW59" s="468"/>
      <c r="AMX59" s="468"/>
      <c r="AMY59" s="468"/>
      <c r="AMZ59" s="468"/>
      <c r="ANA59" s="468"/>
      <c r="ANB59" s="468"/>
      <c r="ANC59" s="468"/>
      <c r="AND59" s="468"/>
      <c r="ANE59" s="468"/>
      <c r="ANF59" s="468"/>
      <c r="ANG59" s="468"/>
      <c r="ANH59" s="468"/>
      <c r="ANI59" s="468"/>
      <c r="ANJ59" s="468"/>
      <c r="ANK59" s="468"/>
      <c r="ANL59" s="468"/>
      <c r="ANM59" s="468"/>
      <c r="ANN59" s="468"/>
      <c r="ANO59" s="468"/>
      <c r="ANP59" s="468"/>
      <c r="ANQ59" s="468"/>
      <c r="ANR59" s="468"/>
      <c r="ANS59" s="468"/>
      <c r="ANT59" s="468"/>
      <c r="ANU59" s="468"/>
      <c r="ANV59" s="468"/>
      <c r="ANW59" s="468"/>
      <c r="ANX59" s="468"/>
      <c r="ANY59" s="468"/>
      <c r="ANZ59" s="468"/>
      <c r="AOA59" s="468"/>
      <c r="AOB59" s="468"/>
      <c r="AOC59" s="468"/>
      <c r="AOD59" s="468"/>
      <c r="AOE59" s="468"/>
      <c r="AOF59" s="468"/>
      <c r="AOG59" s="468"/>
      <c r="AOH59" s="468"/>
      <c r="AOI59" s="468"/>
      <c r="AOJ59" s="468"/>
      <c r="AOK59" s="468"/>
      <c r="AOL59" s="468"/>
      <c r="AOM59" s="468"/>
      <c r="AON59" s="468"/>
      <c r="AOO59" s="468"/>
      <c r="AOP59" s="468"/>
      <c r="AOQ59" s="468"/>
      <c r="AOR59" s="468"/>
      <c r="AOS59" s="468"/>
      <c r="AOT59" s="468"/>
      <c r="AOU59" s="468"/>
      <c r="AOV59" s="468"/>
      <c r="AOW59" s="468"/>
      <c r="AOX59" s="468"/>
      <c r="AOY59" s="468"/>
      <c r="AOZ59" s="468"/>
      <c r="APA59" s="468"/>
      <c r="APB59" s="468"/>
      <c r="APC59" s="468"/>
      <c r="APD59" s="468"/>
      <c r="APE59" s="468"/>
      <c r="APF59" s="468"/>
      <c r="APG59" s="468"/>
      <c r="APH59" s="468"/>
      <c r="API59" s="468"/>
      <c r="APJ59" s="468"/>
      <c r="APK59" s="468"/>
      <c r="APL59" s="468"/>
      <c r="APM59" s="468"/>
      <c r="APN59" s="468"/>
      <c r="APO59" s="468"/>
      <c r="APP59" s="468"/>
      <c r="APQ59" s="468"/>
      <c r="APR59" s="468"/>
      <c r="APS59" s="468"/>
      <c r="APT59" s="468"/>
      <c r="APU59" s="468"/>
      <c r="APV59" s="468"/>
      <c r="APW59" s="468"/>
      <c r="APX59" s="468"/>
      <c r="APY59" s="468"/>
      <c r="APZ59" s="468"/>
      <c r="AQA59" s="468"/>
      <c r="AQB59" s="468"/>
      <c r="AQC59" s="468"/>
      <c r="AQD59" s="468"/>
      <c r="AQE59" s="468"/>
      <c r="AQF59" s="468"/>
      <c r="AQG59" s="468"/>
      <c r="AQH59" s="468"/>
      <c r="AQI59" s="468"/>
      <c r="AQJ59" s="468"/>
      <c r="AQK59" s="468"/>
      <c r="AQL59" s="468"/>
      <c r="AQM59" s="468"/>
      <c r="AQN59" s="468"/>
      <c r="AQO59" s="468"/>
      <c r="AQP59" s="468"/>
      <c r="AQQ59" s="468"/>
      <c r="AQR59" s="468"/>
      <c r="AQS59" s="468"/>
      <c r="AQT59" s="468"/>
      <c r="AQU59" s="468"/>
      <c r="AQV59" s="468"/>
      <c r="AQW59" s="468"/>
      <c r="AQX59" s="468"/>
      <c r="AQY59" s="468"/>
      <c r="AQZ59" s="468"/>
      <c r="ARA59" s="468"/>
      <c r="ARB59" s="468"/>
      <c r="ARC59" s="468"/>
      <c r="ARD59" s="468"/>
      <c r="ARE59" s="468"/>
      <c r="ARF59" s="468"/>
      <c r="ARG59" s="468"/>
      <c r="ARH59" s="468"/>
      <c r="ARI59" s="468"/>
      <c r="ARJ59" s="468"/>
      <c r="ARK59" s="468"/>
      <c r="ARL59" s="468"/>
      <c r="ARM59" s="468"/>
      <c r="ARN59" s="468"/>
      <c r="ARO59" s="468"/>
      <c r="ARP59" s="468"/>
      <c r="ARQ59" s="468"/>
      <c r="ARR59" s="468"/>
      <c r="ARS59" s="468"/>
      <c r="ART59" s="468"/>
      <c r="ARU59" s="468"/>
      <c r="ARV59" s="468"/>
      <c r="ARW59" s="468"/>
      <c r="ARX59" s="468"/>
      <c r="ARY59" s="468"/>
      <c r="ARZ59" s="468"/>
      <c r="ASA59" s="468"/>
      <c r="ASB59" s="468"/>
      <c r="ASC59" s="468"/>
      <c r="ASD59" s="468"/>
      <c r="ASE59" s="468"/>
      <c r="ASF59" s="468"/>
      <c r="ASG59" s="468"/>
      <c r="ASH59" s="468"/>
      <c r="ASI59" s="468"/>
      <c r="ASJ59" s="468"/>
      <c r="ASK59" s="468"/>
      <c r="ASL59" s="468"/>
      <c r="ASM59" s="468"/>
      <c r="ASN59" s="468"/>
      <c r="ASO59" s="468"/>
      <c r="ASP59" s="468"/>
      <c r="ASQ59" s="468"/>
      <c r="ASR59" s="468"/>
      <c r="ASS59" s="468"/>
      <c r="AST59" s="468"/>
      <c r="ASU59" s="468"/>
      <c r="ASV59" s="468"/>
      <c r="ASW59" s="468"/>
      <c r="ASX59" s="468"/>
      <c r="ASY59" s="468"/>
      <c r="ASZ59" s="468"/>
      <c r="ATA59" s="468"/>
      <c r="ATB59" s="468"/>
      <c r="ATC59" s="468"/>
      <c r="ATD59" s="468"/>
      <c r="ATE59" s="468"/>
      <c r="ATF59" s="468"/>
      <c r="ATG59" s="468"/>
      <c r="ATH59" s="468"/>
      <c r="ATI59" s="468"/>
      <c r="ATJ59" s="468"/>
      <c r="ATK59" s="468"/>
      <c r="ATL59" s="468"/>
      <c r="ATM59" s="468"/>
      <c r="ATN59" s="468"/>
      <c r="ATO59" s="468"/>
      <c r="ATP59" s="468"/>
      <c r="ATQ59" s="468"/>
      <c r="ATR59" s="468"/>
      <c r="ATS59" s="468"/>
      <c r="ATT59" s="468"/>
      <c r="ATU59" s="468"/>
      <c r="ATV59" s="468"/>
      <c r="ATW59" s="468"/>
      <c r="ATX59" s="468"/>
      <c r="ATY59" s="468"/>
      <c r="ATZ59" s="468"/>
      <c r="AUA59" s="468"/>
      <c r="AUB59" s="468"/>
      <c r="AUC59" s="468"/>
      <c r="AUD59" s="468"/>
      <c r="AUE59" s="468"/>
      <c r="AUF59" s="468"/>
      <c r="AUG59" s="468"/>
      <c r="AUH59" s="468"/>
      <c r="AUI59" s="468"/>
      <c r="AUJ59" s="468"/>
      <c r="AUK59" s="468"/>
      <c r="AUL59" s="468"/>
      <c r="AUM59" s="468"/>
      <c r="AUN59" s="468"/>
      <c r="AUO59" s="468"/>
      <c r="AUP59" s="468"/>
      <c r="AUQ59" s="468"/>
      <c r="AUR59" s="468"/>
      <c r="AUS59" s="468"/>
      <c r="AUT59" s="468"/>
      <c r="AUU59" s="468"/>
      <c r="AUV59" s="468"/>
      <c r="AUW59" s="468"/>
      <c r="AUX59" s="468"/>
      <c r="AUY59" s="468"/>
      <c r="AUZ59" s="468"/>
      <c r="AVA59" s="468"/>
      <c r="AVB59" s="468"/>
      <c r="AVC59" s="468"/>
      <c r="AVD59" s="468"/>
      <c r="AVE59" s="468"/>
      <c r="AVF59" s="468"/>
      <c r="AVG59" s="468"/>
      <c r="AVH59" s="468"/>
      <c r="AVI59" s="468"/>
      <c r="AVJ59" s="468"/>
      <c r="AVK59" s="468"/>
      <c r="AVL59" s="468"/>
      <c r="AVM59" s="468"/>
      <c r="AVN59" s="468"/>
      <c r="AVO59" s="468"/>
      <c r="AVP59" s="468"/>
      <c r="AVQ59" s="468"/>
      <c r="AVR59" s="468"/>
      <c r="AVS59" s="468"/>
      <c r="AVT59" s="468"/>
      <c r="AVU59" s="468"/>
      <c r="AVV59" s="468"/>
      <c r="AVW59" s="468"/>
      <c r="AVX59" s="468"/>
      <c r="AVY59" s="468"/>
      <c r="AVZ59" s="468"/>
      <c r="AWA59" s="468"/>
      <c r="AWB59" s="468"/>
      <c r="AWC59" s="468"/>
      <c r="AWD59" s="468"/>
      <c r="AWE59" s="468"/>
      <c r="AWF59" s="468"/>
      <c r="AWG59" s="468"/>
      <c r="AWH59" s="468"/>
      <c r="AWI59" s="468"/>
      <c r="AWJ59" s="468"/>
      <c r="AWK59" s="468"/>
      <c r="AWL59" s="468"/>
      <c r="AWM59" s="468"/>
      <c r="AWN59" s="468"/>
      <c r="AWO59" s="468"/>
      <c r="AWP59" s="468"/>
      <c r="AWQ59" s="468"/>
      <c r="AWR59" s="468"/>
      <c r="AWS59" s="468"/>
      <c r="AWT59" s="468"/>
      <c r="AWU59" s="468"/>
      <c r="AWV59" s="468"/>
      <c r="AWW59" s="468"/>
      <c r="AWX59" s="468"/>
      <c r="AWY59" s="468"/>
      <c r="AWZ59" s="468"/>
      <c r="AXA59" s="468"/>
      <c r="AXB59" s="468"/>
      <c r="AXC59" s="468"/>
      <c r="AXD59" s="468"/>
      <c r="AXE59" s="468"/>
      <c r="AXF59" s="468"/>
      <c r="AXG59" s="468"/>
      <c r="AXH59" s="468"/>
      <c r="AXI59" s="468"/>
      <c r="AXJ59" s="468"/>
      <c r="AXK59" s="468"/>
      <c r="AXL59" s="468"/>
      <c r="AXM59" s="468"/>
      <c r="AXN59" s="468"/>
      <c r="AXO59" s="468"/>
      <c r="AXP59" s="468"/>
      <c r="AXQ59" s="468"/>
      <c r="AXR59" s="468"/>
      <c r="AXS59" s="468"/>
      <c r="AXT59" s="468"/>
      <c r="AXU59" s="468"/>
      <c r="AXV59" s="468"/>
      <c r="AXW59" s="468"/>
      <c r="AXX59" s="468"/>
      <c r="AXY59" s="468"/>
      <c r="AXZ59" s="468"/>
      <c r="AYA59" s="468"/>
      <c r="AYB59" s="468"/>
      <c r="AYC59" s="468"/>
      <c r="AYD59" s="468"/>
      <c r="AYE59" s="468"/>
      <c r="AYF59" s="468"/>
      <c r="AYG59" s="468"/>
      <c r="AYH59" s="468"/>
      <c r="AYI59" s="468"/>
      <c r="AYJ59" s="468"/>
      <c r="AYK59" s="468"/>
      <c r="AYL59" s="468"/>
      <c r="AYM59" s="468"/>
      <c r="AYN59" s="468"/>
      <c r="AYO59" s="468"/>
      <c r="AYP59" s="468"/>
      <c r="AYQ59" s="468"/>
      <c r="AYR59" s="468"/>
      <c r="AYS59" s="468"/>
      <c r="AYT59" s="468"/>
      <c r="AYU59" s="468"/>
      <c r="AYV59" s="468"/>
      <c r="AYW59" s="468"/>
      <c r="AYX59" s="468"/>
      <c r="AYY59" s="468"/>
      <c r="AYZ59" s="468"/>
      <c r="AZA59" s="468"/>
      <c r="AZB59" s="468"/>
      <c r="AZC59" s="468"/>
      <c r="AZD59" s="468"/>
      <c r="AZE59" s="468"/>
      <c r="AZF59" s="468"/>
      <c r="AZG59" s="468"/>
      <c r="AZH59" s="468"/>
      <c r="AZI59" s="468"/>
      <c r="AZJ59" s="468"/>
      <c r="AZK59" s="468"/>
      <c r="AZL59" s="468"/>
      <c r="AZM59" s="468"/>
      <c r="AZN59" s="468"/>
      <c r="AZO59" s="468"/>
      <c r="AZP59" s="468"/>
      <c r="AZQ59" s="468"/>
      <c r="AZR59" s="468"/>
      <c r="AZS59" s="468"/>
      <c r="AZT59" s="468"/>
      <c r="AZU59" s="468"/>
      <c r="AZV59" s="468"/>
      <c r="AZW59" s="468"/>
      <c r="AZX59" s="468"/>
      <c r="AZY59" s="468"/>
      <c r="AZZ59" s="468"/>
      <c r="BAA59" s="468"/>
      <c r="BAB59" s="468"/>
      <c r="BAC59" s="468"/>
      <c r="BAD59" s="468"/>
      <c r="BAE59" s="468"/>
      <c r="BAF59" s="468"/>
      <c r="BAG59" s="468"/>
      <c r="BAH59" s="468"/>
      <c r="BAI59" s="468"/>
      <c r="BAJ59" s="468"/>
      <c r="BAK59" s="468"/>
      <c r="BAL59" s="468"/>
      <c r="BAM59" s="468"/>
      <c r="BAN59" s="468"/>
      <c r="BAO59" s="468"/>
      <c r="BAP59" s="468"/>
      <c r="BAQ59" s="468"/>
      <c r="BAR59" s="468"/>
      <c r="BAS59" s="468"/>
      <c r="BAT59" s="468"/>
      <c r="BAU59" s="468"/>
      <c r="BAV59" s="468"/>
      <c r="BAW59" s="468"/>
      <c r="BAX59" s="468"/>
      <c r="BAY59" s="468"/>
      <c r="BAZ59" s="468"/>
      <c r="BBA59" s="468"/>
      <c r="BBB59" s="468"/>
      <c r="BBC59" s="468"/>
      <c r="BBD59" s="468"/>
      <c r="BBE59" s="468"/>
      <c r="BBF59" s="468"/>
      <c r="BBG59" s="468"/>
      <c r="BBH59" s="468"/>
      <c r="BBI59" s="468"/>
      <c r="BBJ59" s="468"/>
      <c r="BBK59" s="468"/>
      <c r="BBL59" s="468"/>
      <c r="BBM59" s="468"/>
      <c r="BBN59" s="468"/>
      <c r="BBO59" s="468"/>
      <c r="BBP59" s="468"/>
      <c r="BBQ59" s="468"/>
      <c r="BBR59" s="468"/>
      <c r="BBS59" s="468"/>
      <c r="BBT59" s="468"/>
      <c r="BBU59" s="468"/>
      <c r="BBV59" s="468"/>
      <c r="BBW59" s="468"/>
      <c r="BBX59" s="468"/>
      <c r="BBY59" s="468"/>
      <c r="BBZ59" s="468"/>
      <c r="BCA59" s="468"/>
      <c r="BCB59" s="468"/>
      <c r="BCC59" s="468"/>
      <c r="BCD59" s="468"/>
      <c r="BCE59" s="468"/>
      <c r="BCF59" s="468"/>
      <c r="BCG59" s="468"/>
      <c r="BCH59" s="468"/>
      <c r="BCI59" s="468"/>
      <c r="BCJ59" s="468"/>
      <c r="BCK59" s="468"/>
      <c r="BCL59" s="468"/>
      <c r="BCM59" s="468"/>
      <c r="BCN59" s="468"/>
      <c r="BCO59" s="468"/>
      <c r="BCP59" s="468"/>
      <c r="BCQ59" s="468"/>
      <c r="BCR59" s="468"/>
      <c r="BCS59" s="468"/>
      <c r="BCT59" s="468"/>
      <c r="BCU59" s="468"/>
      <c r="BCV59" s="468"/>
      <c r="BCW59" s="468"/>
      <c r="BCX59" s="468"/>
      <c r="BCY59" s="468"/>
      <c r="BCZ59" s="468"/>
      <c r="BDA59" s="468"/>
      <c r="BDB59" s="468"/>
      <c r="BDC59" s="468"/>
      <c r="BDD59" s="468"/>
      <c r="BDE59" s="468"/>
      <c r="BDF59" s="468"/>
      <c r="BDG59" s="468"/>
      <c r="BDH59" s="468"/>
      <c r="BDI59" s="468"/>
      <c r="BDJ59" s="468"/>
      <c r="BDK59" s="468"/>
      <c r="BDL59" s="468"/>
      <c r="BDM59" s="468"/>
      <c r="BDN59" s="468"/>
      <c r="BDO59" s="468"/>
      <c r="BDP59" s="468"/>
      <c r="BDQ59" s="468"/>
      <c r="BDR59" s="468"/>
      <c r="BDS59" s="468"/>
      <c r="BDT59" s="468"/>
      <c r="BDU59" s="468"/>
      <c r="BDV59" s="468"/>
      <c r="BDW59" s="468"/>
      <c r="BDX59" s="468"/>
      <c r="BDY59" s="468"/>
      <c r="BDZ59" s="468"/>
      <c r="BEA59" s="468"/>
      <c r="BEB59" s="468"/>
      <c r="BEC59" s="468"/>
      <c r="BED59" s="468"/>
      <c r="BEE59" s="468"/>
      <c r="BEF59" s="468"/>
      <c r="BEG59" s="468"/>
      <c r="BEH59" s="468"/>
      <c r="BEI59" s="468"/>
      <c r="BEJ59" s="468"/>
      <c r="BEK59" s="468"/>
      <c r="BEL59" s="468"/>
      <c r="BEM59" s="468"/>
      <c r="BEN59" s="468"/>
      <c r="BEO59" s="468"/>
      <c r="BEP59" s="468"/>
      <c r="BEQ59" s="468"/>
      <c r="BER59" s="468"/>
      <c r="BES59" s="468"/>
      <c r="BET59" s="468"/>
      <c r="BEU59" s="468"/>
      <c r="BEV59" s="468"/>
      <c r="BEW59" s="468"/>
      <c r="BEX59" s="468"/>
      <c r="BEY59" s="468"/>
      <c r="BEZ59" s="468"/>
      <c r="BFA59" s="468"/>
      <c r="BFB59" s="468"/>
      <c r="BFC59" s="468"/>
      <c r="BFD59" s="468"/>
      <c r="BFE59" s="468"/>
      <c r="BFF59" s="468"/>
      <c r="BFG59" s="468"/>
      <c r="BFH59" s="468"/>
      <c r="BFI59" s="468"/>
      <c r="BFJ59" s="468"/>
      <c r="BFK59" s="468"/>
      <c r="BFL59" s="468"/>
      <c r="BFM59" s="468"/>
      <c r="BFN59" s="468"/>
      <c r="BFO59" s="468"/>
      <c r="BFP59" s="468"/>
      <c r="BFQ59" s="468"/>
      <c r="BFR59" s="468"/>
      <c r="BFS59" s="468"/>
      <c r="BFT59" s="468"/>
      <c r="BFU59" s="468"/>
      <c r="BFV59" s="468"/>
      <c r="BFW59" s="468"/>
      <c r="BFX59" s="468"/>
      <c r="BFY59" s="468"/>
      <c r="BFZ59" s="468"/>
      <c r="BGA59" s="468"/>
      <c r="BGB59" s="468"/>
      <c r="BGC59" s="468"/>
      <c r="BGD59" s="468"/>
      <c r="BGE59" s="468"/>
      <c r="BGF59" s="468"/>
      <c r="BGG59" s="468"/>
      <c r="BGH59" s="468"/>
      <c r="BGI59" s="468"/>
      <c r="BGJ59" s="468"/>
      <c r="BGK59" s="468"/>
      <c r="BGL59" s="468"/>
      <c r="BGM59" s="468"/>
      <c r="BGN59" s="468"/>
      <c r="BGO59" s="468"/>
      <c r="BGP59" s="468"/>
      <c r="BGQ59" s="468"/>
      <c r="BGR59" s="468"/>
      <c r="BGS59" s="468"/>
      <c r="BGT59" s="468"/>
      <c r="BGU59" s="468"/>
      <c r="BGV59" s="468"/>
      <c r="BGW59" s="468"/>
      <c r="BGX59" s="468"/>
      <c r="BGY59" s="468"/>
      <c r="BGZ59" s="468"/>
      <c r="BHA59" s="468"/>
      <c r="BHB59" s="468"/>
      <c r="BHC59" s="468"/>
      <c r="BHD59" s="468"/>
      <c r="BHE59" s="468"/>
      <c r="BHF59" s="468"/>
      <c r="BHG59" s="468"/>
      <c r="BHH59" s="468"/>
      <c r="BHI59" s="468"/>
      <c r="BHJ59" s="468"/>
      <c r="BHK59" s="468"/>
      <c r="BHL59" s="468"/>
      <c r="BHM59" s="468"/>
      <c r="BHN59" s="468"/>
      <c r="BHO59" s="468"/>
      <c r="BHP59" s="468"/>
      <c r="BHQ59" s="468"/>
      <c r="BHR59" s="468"/>
      <c r="BHS59" s="468"/>
      <c r="BHT59" s="468"/>
      <c r="BHU59" s="468"/>
      <c r="BHV59" s="468"/>
      <c r="BHW59" s="468"/>
      <c r="BHX59" s="468"/>
      <c r="BHY59" s="468"/>
      <c r="BHZ59" s="468"/>
      <c r="BIA59" s="468"/>
      <c r="BIB59" s="468"/>
      <c r="BIC59" s="468"/>
      <c r="BID59" s="468"/>
      <c r="BIE59" s="468"/>
      <c r="BIF59" s="468"/>
      <c r="BIG59" s="468"/>
      <c r="BIH59" s="468"/>
      <c r="BII59" s="468"/>
      <c r="BIJ59" s="468"/>
      <c r="BIK59" s="468"/>
      <c r="BIL59" s="468"/>
      <c r="BIM59" s="468"/>
      <c r="BIN59" s="468"/>
      <c r="BIO59" s="468"/>
      <c r="BIP59" s="468"/>
      <c r="BIQ59" s="468"/>
      <c r="BIR59" s="468"/>
      <c r="BIS59" s="468"/>
      <c r="BIT59" s="468"/>
      <c r="BIU59" s="468"/>
      <c r="BIV59" s="468"/>
      <c r="BIW59" s="468"/>
      <c r="BIX59" s="468"/>
      <c r="BIY59" s="468"/>
      <c r="BIZ59" s="468"/>
      <c r="BJA59" s="468"/>
      <c r="BJB59" s="468"/>
      <c r="BJC59" s="468"/>
      <c r="BJD59" s="468"/>
      <c r="BJE59" s="468"/>
      <c r="BJF59" s="468"/>
      <c r="BJG59" s="468"/>
      <c r="BJH59" s="468"/>
      <c r="BJI59" s="468"/>
      <c r="BJJ59" s="468"/>
      <c r="BJK59" s="468"/>
      <c r="BJL59" s="468"/>
      <c r="BJM59" s="468"/>
      <c r="BJN59" s="468"/>
      <c r="BJO59" s="468"/>
      <c r="BJP59" s="468"/>
      <c r="BJQ59" s="468"/>
      <c r="BJR59" s="468"/>
      <c r="BJS59" s="468"/>
      <c r="BJT59" s="468"/>
      <c r="BJU59" s="468"/>
      <c r="BJV59" s="468"/>
      <c r="BJW59" s="468"/>
      <c r="BJX59" s="468"/>
      <c r="BJY59" s="468"/>
      <c r="BJZ59" s="468"/>
      <c r="BKA59" s="468"/>
      <c r="BKB59" s="468"/>
      <c r="BKC59" s="468"/>
      <c r="BKD59" s="468"/>
      <c r="BKE59" s="468"/>
      <c r="BKF59" s="468"/>
      <c r="BKG59" s="468"/>
      <c r="BKH59" s="468"/>
      <c r="BKI59" s="468"/>
      <c r="BKJ59" s="468"/>
      <c r="BKK59" s="468"/>
      <c r="BKL59" s="468"/>
      <c r="BKM59" s="468"/>
      <c r="BKN59" s="468"/>
      <c r="BKO59" s="468"/>
      <c r="BKP59" s="468"/>
      <c r="BKQ59" s="468"/>
      <c r="BKR59" s="468"/>
      <c r="BKS59" s="468"/>
      <c r="BKT59" s="468"/>
      <c r="BKU59" s="468"/>
      <c r="BKV59" s="468"/>
      <c r="BKW59" s="468"/>
      <c r="BKX59" s="468"/>
      <c r="BKY59" s="468"/>
      <c r="BKZ59" s="468"/>
      <c r="BLA59" s="468"/>
      <c r="BLB59" s="468"/>
      <c r="BLC59" s="468"/>
      <c r="BLD59" s="468"/>
      <c r="BLE59" s="468"/>
      <c r="BLF59" s="468"/>
      <c r="BLG59" s="468"/>
      <c r="BLH59" s="468"/>
      <c r="BLI59" s="468"/>
      <c r="BLJ59" s="468"/>
      <c r="BLK59" s="468"/>
      <c r="BLL59" s="468"/>
      <c r="BLM59" s="468"/>
      <c r="BLN59" s="468"/>
      <c r="BLO59" s="468"/>
      <c r="BLP59" s="468"/>
      <c r="BLQ59" s="468"/>
      <c r="BLR59" s="468"/>
      <c r="BLS59" s="468"/>
      <c r="BLT59" s="468"/>
      <c r="BLU59" s="468"/>
      <c r="BLV59" s="468"/>
      <c r="BLW59" s="468"/>
      <c r="BLX59" s="468"/>
      <c r="BLY59" s="468"/>
      <c r="BLZ59" s="468"/>
      <c r="BMA59" s="468"/>
      <c r="BMB59" s="468"/>
      <c r="BMC59" s="468"/>
      <c r="BMD59" s="468"/>
      <c r="BME59" s="468"/>
      <c r="BMF59" s="468"/>
      <c r="BMG59" s="468"/>
      <c r="BMH59" s="468"/>
      <c r="BMI59" s="468"/>
      <c r="BMJ59" s="468"/>
      <c r="BMK59" s="468"/>
      <c r="BML59" s="468"/>
      <c r="BMM59" s="468"/>
      <c r="BMN59" s="468"/>
      <c r="BMO59" s="468"/>
      <c r="BMP59" s="468"/>
      <c r="BMQ59" s="468"/>
      <c r="BMR59" s="468"/>
      <c r="BMS59" s="468"/>
      <c r="BMT59" s="468"/>
      <c r="BMU59" s="468"/>
      <c r="BMV59" s="468"/>
      <c r="BMW59" s="468"/>
      <c r="BMX59" s="468"/>
      <c r="BMY59" s="468"/>
      <c r="BMZ59" s="468"/>
      <c r="BNA59" s="468"/>
      <c r="BNB59" s="468"/>
      <c r="BNC59" s="468"/>
      <c r="BND59" s="468"/>
      <c r="BNE59" s="468"/>
      <c r="BNF59" s="468"/>
      <c r="BNG59" s="468"/>
      <c r="BNH59" s="468"/>
      <c r="BNI59" s="468"/>
      <c r="BNJ59" s="468"/>
      <c r="BNK59" s="468"/>
      <c r="BNL59" s="468"/>
      <c r="BNM59" s="468"/>
      <c r="BNN59" s="468"/>
      <c r="BNO59" s="468"/>
      <c r="BNP59" s="468"/>
      <c r="BNQ59" s="468"/>
      <c r="BNR59" s="468"/>
      <c r="BNS59" s="468"/>
      <c r="BNT59" s="468"/>
      <c r="BNU59" s="468"/>
      <c r="BNV59" s="468"/>
      <c r="BNW59" s="468"/>
      <c r="BNX59" s="468"/>
      <c r="BNY59" s="468"/>
      <c r="BNZ59" s="468"/>
      <c r="BOA59" s="468"/>
      <c r="BOB59" s="468"/>
      <c r="BOC59" s="468"/>
      <c r="BOD59" s="468"/>
      <c r="BOE59" s="468"/>
      <c r="BOF59" s="468"/>
      <c r="BOG59" s="468"/>
      <c r="BOH59" s="468"/>
      <c r="BOI59" s="468"/>
      <c r="BOJ59" s="468"/>
      <c r="BOK59" s="468"/>
      <c r="BOL59" s="468"/>
      <c r="BOM59" s="468"/>
      <c r="BON59" s="468"/>
      <c r="BOO59" s="468"/>
      <c r="BOP59" s="468"/>
      <c r="BOQ59" s="468"/>
      <c r="BOR59" s="468"/>
      <c r="BOS59" s="468"/>
      <c r="BOT59" s="468"/>
      <c r="BOU59" s="468"/>
      <c r="BOV59" s="468"/>
      <c r="BOW59" s="468"/>
      <c r="BOX59" s="468"/>
      <c r="BOY59" s="468"/>
      <c r="BOZ59" s="468"/>
      <c r="BPA59" s="468"/>
      <c r="BPB59" s="468"/>
      <c r="BPC59" s="468"/>
      <c r="BPD59" s="468"/>
      <c r="BPE59" s="468"/>
      <c r="BPF59" s="468"/>
      <c r="BPG59" s="468"/>
      <c r="BPH59" s="468"/>
      <c r="BPI59" s="468"/>
      <c r="BPJ59" s="468"/>
      <c r="BPK59" s="468"/>
      <c r="BPL59" s="468"/>
      <c r="BPM59" s="468"/>
      <c r="BPN59" s="468"/>
      <c r="BPO59" s="468"/>
      <c r="BPP59" s="468"/>
      <c r="BPQ59" s="468"/>
      <c r="BPR59" s="468"/>
      <c r="BPS59" s="468"/>
      <c r="BPT59" s="468"/>
      <c r="BPU59" s="468"/>
      <c r="BPV59" s="468"/>
      <c r="BPW59" s="468"/>
      <c r="BPX59" s="468"/>
      <c r="BPY59" s="468"/>
      <c r="BPZ59" s="468"/>
      <c r="BQA59" s="468"/>
      <c r="BQB59" s="468"/>
      <c r="BQC59" s="468"/>
      <c r="BQD59" s="468"/>
      <c r="BQE59" s="468"/>
      <c r="BQF59" s="468"/>
      <c r="BQG59" s="468"/>
      <c r="BQH59" s="468"/>
      <c r="BQI59" s="468"/>
      <c r="BQJ59" s="468"/>
      <c r="BQK59" s="468"/>
      <c r="BQL59" s="468"/>
      <c r="BQM59" s="468"/>
      <c r="BQN59" s="468"/>
      <c r="BQO59" s="468"/>
      <c r="BQP59" s="468"/>
      <c r="BQQ59" s="468"/>
      <c r="BQR59" s="468"/>
      <c r="BQS59" s="468"/>
      <c r="BQT59" s="468"/>
      <c r="BQU59" s="468"/>
      <c r="BQV59" s="468"/>
      <c r="BQW59" s="468"/>
      <c r="BQX59" s="468"/>
      <c r="BQY59" s="468"/>
      <c r="BQZ59" s="468"/>
      <c r="BRA59" s="468"/>
      <c r="BRB59" s="468"/>
      <c r="BRC59" s="468"/>
      <c r="BRD59" s="468"/>
      <c r="BRE59" s="468"/>
      <c r="BRF59" s="468"/>
      <c r="BRG59" s="468"/>
      <c r="BRH59" s="468"/>
      <c r="BRI59" s="468"/>
      <c r="BRJ59" s="468"/>
      <c r="BRK59" s="468"/>
      <c r="BRL59" s="468"/>
      <c r="BRM59" s="468"/>
      <c r="BRN59" s="468"/>
      <c r="BRO59" s="468"/>
      <c r="BRP59" s="468"/>
      <c r="BRQ59" s="468"/>
      <c r="BRR59" s="468"/>
      <c r="BRS59" s="468"/>
      <c r="BRT59" s="468"/>
      <c r="BRU59" s="468"/>
      <c r="BRV59" s="468"/>
      <c r="BRW59" s="468"/>
      <c r="BRX59" s="468"/>
      <c r="BRY59" s="468"/>
      <c r="BRZ59" s="468"/>
      <c r="BSA59" s="468"/>
      <c r="BSB59" s="468"/>
      <c r="BSC59" s="468"/>
      <c r="BSD59" s="468"/>
      <c r="BSE59" s="468"/>
      <c r="BSF59" s="468"/>
      <c r="BSG59" s="468"/>
      <c r="BSH59" s="468"/>
      <c r="BSI59" s="468"/>
      <c r="BSJ59" s="468"/>
      <c r="BSK59" s="468"/>
      <c r="BSL59" s="468"/>
      <c r="BSM59" s="468"/>
      <c r="BSN59" s="468"/>
      <c r="BSO59" s="468"/>
      <c r="BSP59" s="468"/>
      <c r="BSQ59" s="468"/>
      <c r="BSR59" s="468"/>
      <c r="BSS59" s="468"/>
      <c r="BST59" s="468"/>
      <c r="BSU59" s="468"/>
      <c r="BSV59" s="468"/>
      <c r="BSW59" s="468"/>
      <c r="BSX59" s="468"/>
      <c r="BSY59" s="468"/>
      <c r="BSZ59" s="468"/>
      <c r="BTA59" s="468"/>
      <c r="BTB59" s="468"/>
      <c r="BTC59" s="468"/>
      <c r="BTD59" s="468"/>
      <c r="BTE59" s="468"/>
      <c r="BTF59" s="468"/>
      <c r="BTG59" s="468"/>
      <c r="BTH59" s="468"/>
      <c r="BTI59" s="468"/>
      <c r="BTJ59" s="468"/>
      <c r="BTK59" s="468"/>
      <c r="BTL59" s="468"/>
      <c r="BTM59" s="468"/>
      <c r="BTN59" s="468"/>
      <c r="BTO59" s="468"/>
      <c r="BTP59" s="468"/>
      <c r="BTQ59" s="468"/>
      <c r="BTR59" s="468"/>
      <c r="BTS59" s="468"/>
      <c r="BTT59" s="468"/>
      <c r="BTU59" s="468"/>
      <c r="BTV59" s="468"/>
      <c r="BTW59" s="468"/>
      <c r="BTX59" s="468"/>
      <c r="BTY59" s="468"/>
      <c r="BTZ59" s="468"/>
      <c r="BUA59" s="468"/>
      <c r="BUB59" s="468"/>
      <c r="BUC59" s="468"/>
      <c r="BUD59" s="468"/>
      <c r="BUE59" s="468"/>
      <c r="BUF59" s="468"/>
      <c r="BUG59" s="468"/>
      <c r="BUH59" s="468"/>
      <c r="BUI59" s="468"/>
      <c r="BUJ59" s="468"/>
      <c r="BUK59" s="468"/>
      <c r="BUL59" s="468"/>
      <c r="BUM59" s="468"/>
      <c r="BUN59" s="468"/>
      <c r="BUO59" s="468"/>
      <c r="BUP59" s="468"/>
      <c r="BUQ59" s="468"/>
      <c r="BUR59" s="468"/>
      <c r="BUS59" s="468"/>
      <c r="BUT59" s="468"/>
      <c r="BUU59" s="468"/>
      <c r="BUV59" s="468"/>
      <c r="BUW59" s="468"/>
      <c r="BUX59" s="468"/>
      <c r="BUY59" s="468"/>
      <c r="BUZ59" s="468"/>
      <c r="BVA59" s="468"/>
      <c r="BVB59" s="468"/>
      <c r="BVC59" s="468"/>
      <c r="BVD59" s="468"/>
      <c r="BVE59" s="468"/>
      <c r="BVF59" s="468"/>
      <c r="BVG59" s="468"/>
      <c r="BVH59" s="468"/>
      <c r="BVI59" s="468"/>
      <c r="BVJ59" s="468"/>
      <c r="BVK59" s="468"/>
      <c r="BVL59" s="468"/>
      <c r="BVM59" s="468"/>
      <c r="BVN59" s="468"/>
      <c r="BVO59" s="468"/>
      <c r="BVP59" s="468"/>
      <c r="BVQ59" s="468"/>
      <c r="BVR59" s="468"/>
      <c r="BVS59" s="468"/>
      <c r="BVT59" s="468"/>
      <c r="BVU59" s="468"/>
      <c r="BVV59" s="468"/>
      <c r="BVW59" s="468"/>
      <c r="BVX59" s="468"/>
      <c r="BVY59" s="468"/>
      <c r="BVZ59" s="468"/>
      <c r="BWA59" s="468"/>
      <c r="BWB59" s="468"/>
      <c r="BWC59" s="468"/>
      <c r="BWD59" s="468"/>
      <c r="BWE59" s="468"/>
      <c r="BWF59" s="468"/>
      <c r="BWG59" s="468"/>
      <c r="BWH59" s="468"/>
      <c r="BWI59" s="468"/>
      <c r="BWJ59" s="468"/>
      <c r="BWK59" s="468"/>
      <c r="BWL59" s="468"/>
      <c r="BWM59" s="468"/>
      <c r="BWN59" s="468"/>
      <c r="BWO59" s="468"/>
      <c r="BWP59" s="468"/>
      <c r="BWQ59" s="468"/>
      <c r="BWR59" s="468"/>
      <c r="BWS59" s="468"/>
      <c r="BWT59" s="468"/>
      <c r="BWU59" s="468"/>
      <c r="BWV59" s="468"/>
      <c r="BWW59" s="468"/>
      <c r="BWX59" s="468"/>
      <c r="BWY59" s="468"/>
      <c r="BWZ59" s="468"/>
      <c r="BXA59" s="468"/>
      <c r="BXB59" s="468"/>
      <c r="BXC59" s="468"/>
      <c r="BXD59" s="468"/>
      <c r="BXE59" s="468"/>
      <c r="BXF59" s="468"/>
      <c r="BXG59" s="468"/>
      <c r="BXH59" s="468"/>
      <c r="BXI59" s="468"/>
      <c r="BXJ59" s="468"/>
      <c r="BXK59" s="468"/>
      <c r="BXL59" s="468"/>
      <c r="BXM59" s="468"/>
      <c r="BXN59" s="468"/>
      <c r="BXO59" s="468"/>
      <c r="BXP59" s="468"/>
      <c r="BXQ59" s="468"/>
      <c r="BXR59" s="468"/>
      <c r="BXS59" s="468"/>
      <c r="BXT59" s="468"/>
      <c r="BXU59" s="468"/>
      <c r="BXV59" s="468"/>
      <c r="BXW59" s="468"/>
      <c r="BXX59" s="468"/>
      <c r="BXY59" s="468"/>
      <c r="BXZ59" s="468"/>
      <c r="BYA59" s="468"/>
      <c r="BYB59" s="468"/>
      <c r="BYC59" s="468"/>
      <c r="BYD59" s="468"/>
      <c r="BYE59" s="468"/>
      <c r="BYF59" s="468"/>
      <c r="BYG59" s="468"/>
      <c r="BYH59" s="468"/>
      <c r="BYI59" s="468"/>
      <c r="BYJ59" s="468"/>
      <c r="BYK59" s="468"/>
      <c r="BYL59" s="468"/>
      <c r="BYM59" s="468"/>
      <c r="BYN59" s="468"/>
      <c r="BYO59" s="468"/>
      <c r="BYP59" s="468"/>
      <c r="BYQ59" s="468"/>
      <c r="BYR59" s="468"/>
      <c r="BYS59" s="468"/>
      <c r="BYT59" s="468"/>
      <c r="BYU59" s="468"/>
      <c r="BYV59" s="468"/>
      <c r="BYW59" s="468"/>
      <c r="BYX59" s="468"/>
      <c r="BYY59" s="468"/>
      <c r="BYZ59" s="468"/>
      <c r="BZA59" s="468"/>
      <c r="BZB59" s="468"/>
      <c r="BZC59" s="468"/>
      <c r="BZD59" s="468"/>
      <c r="BZE59" s="468"/>
      <c r="BZF59" s="468"/>
      <c r="BZG59" s="468"/>
      <c r="BZH59" s="468"/>
      <c r="BZI59" s="468"/>
      <c r="BZJ59" s="468"/>
      <c r="BZK59" s="468"/>
      <c r="BZL59" s="468"/>
      <c r="BZM59" s="468"/>
      <c r="BZN59" s="468"/>
      <c r="BZO59" s="468"/>
      <c r="BZP59" s="468"/>
      <c r="BZQ59" s="468"/>
      <c r="BZR59" s="468"/>
      <c r="BZS59" s="468"/>
      <c r="BZT59" s="468"/>
      <c r="BZU59" s="468"/>
      <c r="BZV59" s="468"/>
      <c r="BZW59" s="468"/>
      <c r="BZX59" s="468"/>
      <c r="BZY59" s="468"/>
      <c r="BZZ59" s="468"/>
      <c r="CAA59" s="468"/>
      <c r="CAB59" s="468"/>
      <c r="CAC59" s="468"/>
      <c r="CAD59" s="468"/>
      <c r="CAE59" s="468"/>
      <c r="CAF59" s="468"/>
      <c r="CAG59" s="468"/>
      <c r="CAH59" s="468"/>
      <c r="CAI59" s="468"/>
      <c r="CAJ59" s="468"/>
      <c r="CAK59" s="468"/>
      <c r="CAL59" s="468"/>
      <c r="CAM59" s="468"/>
      <c r="CAN59" s="468"/>
      <c r="CAO59" s="468"/>
      <c r="CAP59" s="468"/>
      <c r="CAQ59" s="468"/>
      <c r="CAR59" s="468"/>
      <c r="CAS59" s="468"/>
      <c r="CAT59" s="468"/>
      <c r="CAU59" s="468"/>
      <c r="CAV59" s="468"/>
      <c r="CAW59" s="468"/>
      <c r="CAX59" s="468"/>
      <c r="CAY59" s="468"/>
      <c r="CAZ59" s="468"/>
      <c r="CBA59" s="468"/>
      <c r="CBB59" s="468"/>
      <c r="CBC59" s="468"/>
      <c r="CBD59" s="468"/>
      <c r="CBE59" s="468"/>
      <c r="CBF59" s="468"/>
      <c r="CBG59" s="468"/>
      <c r="CBH59" s="468"/>
      <c r="CBI59" s="468"/>
      <c r="CBJ59" s="468"/>
      <c r="CBK59" s="468"/>
      <c r="CBL59" s="468"/>
      <c r="CBM59" s="468"/>
      <c r="CBN59" s="468"/>
      <c r="CBO59" s="468"/>
      <c r="CBP59" s="468"/>
      <c r="CBQ59" s="468"/>
      <c r="CBR59" s="468"/>
      <c r="CBS59" s="468"/>
      <c r="CBT59" s="468"/>
      <c r="CBU59" s="468"/>
      <c r="CBV59" s="468"/>
      <c r="CBW59" s="468"/>
      <c r="CBX59" s="468"/>
      <c r="CBY59" s="468"/>
      <c r="CBZ59" s="468"/>
      <c r="CCA59" s="468"/>
      <c r="CCB59" s="468"/>
      <c r="CCC59" s="468"/>
      <c r="CCD59" s="468"/>
      <c r="CCE59" s="468"/>
      <c r="CCF59" s="468"/>
      <c r="CCG59" s="468"/>
      <c r="CCH59" s="468"/>
      <c r="CCI59" s="468"/>
      <c r="CCJ59" s="468"/>
      <c r="CCK59" s="468"/>
      <c r="CCL59" s="468"/>
      <c r="CCM59" s="468"/>
      <c r="CCN59" s="468"/>
      <c r="CCO59" s="468"/>
      <c r="CCP59" s="468"/>
      <c r="CCQ59" s="468"/>
      <c r="CCR59" s="468"/>
      <c r="CCS59" s="468"/>
      <c r="CCT59" s="468"/>
      <c r="CCU59" s="468"/>
      <c r="CCV59" s="468"/>
      <c r="CCW59" s="468"/>
      <c r="CCX59" s="468"/>
      <c r="CCY59" s="468"/>
      <c r="CCZ59" s="468"/>
      <c r="CDA59" s="468"/>
      <c r="CDB59" s="468"/>
      <c r="CDC59" s="468"/>
      <c r="CDD59" s="468"/>
      <c r="CDE59" s="468"/>
      <c r="CDF59" s="468"/>
      <c r="CDG59" s="468"/>
      <c r="CDH59" s="468"/>
      <c r="CDI59" s="468"/>
      <c r="CDJ59" s="468"/>
      <c r="CDK59" s="468"/>
      <c r="CDL59" s="468"/>
      <c r="CDM59" s="468"/>
      <c r="CDN59" s="468"/>
      <c r="CDO59" s="468"/>
      <c r="CDP59" s="468"/>
      <c r="CDQ59" s="468"/>
      <c r="CDR59" s="468"/>
      <c r="CDS59" s="468"/>
      <c r="CDT59" s="468"/>
      <c r="CDU59" s="468"/>
      <c r="CDV59" s="468"/>
      <c r="CDW59" s="468"/>
      <c r="CDX59" s="468"/>
      <c r="CDY59" s="468"/>
      <c r="CDZ59" s="468"/>
      <c r="CEA59" s="468"/>
      <c r="CEB59" s="468"/>
      <c r="CEC59" s="468"/>
      <c r="CED59" s="468"/>
      <c r="CEE59" s="468"/>
      <c r="CEF59" s="468"/>
      <c r="CEG59" s="468"/>
      <c r="CEH59" s="468"/>
      <c r="CEI59" s="468"/>
      <c r="CEJ59" s="468"/>
      <c r="CEK59" s="468"/>
      <c r="CEL59" s="468"/>
      <c r="CEM59" s="468"/>
      <c r="CEN59" s="468"/>
      <c r="CEO59" s="468"/>
      <c r="CEP59" s="468"/>
      <c r="CEQ59" s="468"/>
      <c r="CER59" s="468"/>
      <c r="CES59" s="468"/>
      <c r="CET59" s="468"/>
      <c r="CEU59" s="468"/>
      <c r="CEV59" s="468"/>
      <c r="CEW59" s="468"/>
      <c r="CEX59" s="468"/>
      <c r="CEY59" s="468"/>
      <c r="CEZ59" s="468"/>
      <c r="CFA59" s="468"/>
      <c r="CFB59" s="468"/>
      <c r="CFC59" s="468"/>
      <c r="CFD59" s="468"/>
      <c r="CFE59" s="468"/>
      <c r="CFF59" s="468"/>
      <c r="CFG59" s="468"/>
      <c r="CFH59" s="468"/>
      <c r="CFI59" s="468"/>
      <c r="CFJ59" s="468"/>
      <c r="CFK59" s="468"/>
      <c r="CFL59" s="468"/>
      <c r="CFM59" s="468"/>
      <c r="CFN59" s="468"/>
      <c r="CFO59" s="468"/>
      <c r="CFP59" s="468"/>
      <c r="CFQ59" s="468"/>
      <c r="CFR59" s="468"/>
      <c r="CFS59" s="468"/>
      <c r="CFT59" s="468"/>
      <c r="CFU59" s="468"/>
      <c r="CFV59" s="468"/>
      <c r="CFW59" s="468"/>
      <c r="CFX59" s="468"/>
      <c r="CFY59" s="468"/>
      <c r="CFZ59" s="468"/>
      <c r="CGA59" s="468"/>
      <c r="CGB59" s="468"/>
      <c r="CGC59" s="468"/>
      <c r="CGD59" s="468"/>
      <c r="CGE59" s="468"/>
      <c r="CGF59" s="468"/>
      <c r="CGG59" s="468"/>
      <c r="CGH59" s="468"/>
      <c r="CGI59" s="468"/>
      <c r="CGJ59" s="468"/>
      <c r="CGK59" s="468"/>
      <c r="CGL59" s="468"/>
      <c r="CGM59" s="468"/>
      <c r="CGN59" s="468"/>
      <c r="CGO59" s="468"/>
      <c r="CGP59" s="468"/>
      <c r="CGQ59" s="468"/>
      <c r="CGR59" s="468"/>
      <c r="CGS59" s="468"/>
      <c r="CGT59" s="468"/>
      <c r="CGU59" s="468"/>
      <c r="CGV59" s="468"/>
      <c r="CGW59" s="468"/>
      <c r="CGX59" s="468"/>
      <c r="CGY59" s="468"/>
      <c r="CGZ59" s="468"/>
      <c r="CHA59" s="468"/>
      <c r="CHB59" s="468"/>
      <c r="CHC59" s="468"/>
      <c r="CHD59" s="468"/>
      <c r="CHE59" s="468"/>
      <c r="CHF59" s="468"/>
      <c r="CHG59" s="468"/>
      <c r="CHH59" s="468"/>
      <c r="CHI59" s="468"/>
      <c r="CHJ59" s="468"/>
      <c r="CHK59" s="468"/>
      <c r="CHL59" s="468"/>
      <c r="CHM59" s="468"/>
      <c r="CHN59" s="468"/>
      <c r="CHO59" s="468"/>
      <c r="CHP59" s="468"/>
      <c r="CHQ59" s="468"/>
      <c r="CHR59" s="468"/>
      <c r="CHS59" s="468"/>
      <c r="CHT59" s="468"/>
      <c r="CHU59" s="468"/>
      <c r="CHV59" s="468"/>
      <c r="CHW59" s="468"/>
      <c r="CHX59" s="468"/>
      <c r="CHY59" s="468"/>
      <c r="CHZ59" s="468"/>
      <c r="CIA59" s="468"/>
      <c r="CIB59" s="468"/>
      <c r="CIC59" s="468"/>
      <c r="CID59" s="468"/>
      <c r="CIE59" s="468"/>
      <c r="CIF59" s="468"/>
      <c r="CIG59" s="468"/>
      <c r="CIH59" s="468"/>
      <c r="CII59" s="468"/>
      <c r="CIJ59" s="468"/>
      <c r="CIK59" s="468"/>
      <c r="CIL59" s="468"/>
      <c r="CIM59" s="468"/>
      <c r="CIN59" s="468"/>
      <c r="CIO59" s="468"/>
      <c r="CIP59" s="468"/>
      <c r="CIQ59" s="468"/>
      <c r="CIR59" s="468"/>
      <c r="CIS59" s="468"/>
      <c r="CIT59" s="468"/>
      <c r="CIU59" s="468"/>
      <c r="CIV59" s="468"/>
      <c r="CIW59" s="468"/>
      <c r="CIX59" s="468"/>
      <c r="CIY59" s="468"/>
      <c r="CIZ59" s="468"/>
      <c r="CJA59" s="468"/>
      <c r="CJB59" s="468"/>
      <c r="CJC59" s="468"/>
      <c r="CJD59" s="468"/>
      <c r="CJE59" s="468"/>
      <c r="CJF59" s="468"/>
      <c r="CJG59" s="468"/>
      <c r="CJH59" s="468"/>
      <c r="CJI59" s="468"/>
      <c r="CJJ59" s="468"/>
      <c r="CJK59" s="468"/>
      <c r="CJL59" s="468"/>
      <c r="CJM59" s="468"/>
      <c r="CJN59" s="468"/>
      <c r="CJO59" s="468"/>
      <c r="CJP59" s="468"/>
      <c r="CJQ59" s="468"/>
      <c r="CJR59" s="468"/>
      <c r="CJS59" s="468"/>
      <c r="CJT59" s="468"/>
      <c r="CJU59" s="468"/>
      <c r="CJV59" s="468"/>
      <c r="CJW59" s="468"/>
      <c r="CJX59" s="468"/>
      <c r="CJY59" s="468"/>
      <c r="CJZ59" s="468"/>
      <c r="CKA59" s="468"/>
      <c r="CKB59" s="468"/>
      <c r="CKC59" s="468"/>
      <c r="CKD59" s="468"/>
      <c r="CKE59" s="468"/>
      <c r="CKF59" s="468"/>
      <c r="CKG59" s="468"/>
      <c r="CKH59" s="468"/>
      <c r="CKI59" s="468"/>
      <c r="CKJ59" s="468"/>
      <c r="CKK59" s="468"/>
      <c r="CKL59" s="468"/>
      <c r="CKM59" s="468"/>
      <c r="CKN59" s="468"/>
      <c r="CKO59" s="468"/>
      <c r="CKP59" s="468"/>
      <c r="CKQ59" s="468"/>
      <c r="CKR59" s="468"/>
      <c r="CKS59" s="468"/>
      <c r="CKT59" s="468"/>
      <c r="CKU59" s="468"/>
      <c r="CKV59" s="468"/>
      <c r="CKW59" s="468"/>
      <c r="CKX59" s="468"/>
      <c r="CKY59" s="468"/>
      <c r="CKZ59" s="468"/>
      <c r="CLA59" s="468"/>
      <c r="CLB59" s="468"/>
      <c r="CLC59" s="468"/>
      <c r="CLD59" s="468"/>
      <c r="CLE59" s="468"/>
      <c r="CLF59" s="468"/>
      <c r="CLG59" s="468"/>
      <c r="CLH59" s="468"/>
      <c r="CLI59" s="468"/>
      <c r="CLJ59" s="468"/>
      <c r="CLK59" s="468"/>
      <c r="CLL59" s="468"/>
      <c r="CLM59" s="468"/>
      <c r="CLN59" s="468"/>
      <c r="CLO59" s="468"/>
      <c r="CLP59" s="468"/>
      <c r="CLQ59" s="468"/>
      <c r="CLR59" s="468"/>
      <c r="CLS59" s="468"/>
      <c r="CLT59" s="468"/>
      <c r="CLU59" s="468"/>
      <c r="CLV59" s="468"/>
      <c r="CLW59" s="468"/>
      <c r="CLX59" s="468"/>
      <c r="CLY59" s="468"/>
      <c r="CLZ59" s="468"/>
      <c r="CMA59" s="468"/>
      <c r="CMB59" s="468"/>
      <c r="CMC59" s="468"/>
      <c r="CMD59" s="468"/>
      <c r="CME59" s="468"/>
      <c r="CMF59" s="468"/>
      <c r="CMG59" s="468"/>
      <c r="CMH59" s="468"/>
      <c r="CMI59" s="468"/>
      <c r="CMJ59" s="468"/>
      <c r="CMK59" s="468"/>
      <c r="CML59" s="468"/>
      <c r="CMM59" s="468"/>
      <c r="CMN59" s="468"/>
      <c r="CMO59" s="468"/>
      <c r="CMP59" s="468"/>
      <c r="CMQ59" s="468"/>
      <c r="CMR59" s="468"/>
      <c r="CMS59" s="468"/>
      <c r="CMT59" s="468"/>
      <c r="CMU59" s="468"/>
      <c r="CMV59" s="468"/>
      <c r="CMW59" s="468"/>
      <c r="CMX59" s="468"/>
      <c r="CMY59" s="468"/>
      <c r="CMZ59" s="468"/>
      <c r="CNA59" s="468"/>
      <c r="CNB59" s="468"/>
      <c r="CNC59" s="468"/>
      <c r="CND59" s="468"/>
      <c r="CNE59" s="468"/>
      <c r="CNF59" s="468"/>
      <c r="CNG59" s="468"/>
      <c r="CNH59" s="468"/>
      <c r="CNI59" s="468"/>
      <c r="CNJ59" s="468"/>
      <c r="CNK59" s="468"/>
      <c r="CNL59" s="468"/>
      <c r="CNM59" s="468"/>
      <c r="CNN59" s="468"/>
      <c r="CNO59" s="468"/>
      <c r="CNP59" s="468"/>
      <c r="CNQ59" s="468"/>
      <c r="CNR59" s="468"/>
      <c r="CNS59" s="468"/>
      <c r="CNT59" s="468"/>
      <c r="CNU59" s="468"/>
      <c r="CNV59" s="468"/>
      <c r="CNW59" s="468"/>
      <c r="CNX59" s="468"/>
      <c r="CNY59" s="468"/>
      <c r="CNZ59" s="468"/>
      <c r="COA59" s="468"/>
      <c r="COB59" s="468"/>
      <c r="COC59" s="468"/>
      <c r="COD59" s="468"/>
      <c r="COE59" s="468"/>
      <c r="COF59" s="468"/>
      <c r="COG59" s="468"/>
      <c r="COH59" s="468"/>
      <c r="COI59" s="468"/>
      <c r="COJ59" s="468"/>
      <c r="COK59" s="468"/>
      <c r="COL59" s="468"/>
      <c r="COM59" s="468"/>
      <c r="CON59" s="468"/>
      <c r="COO59" s="468"/>
      <c r="COP59" s="468"/>
      <c r="COQ59" s="468"/>
      <c r="COR59" s="468"/>
      <c r="COS59" s="468"/>
      <c r="COT59" s="468"/>
      <c r="COU59" s="468"/>
      <c r="COV59" s="468"/>
      <c r="COW59" s="468"/>
      <c r="COX59" s="468"/>
      <c r="COY59" s="468"/>
      <c r="COZ59" s="468"/>
      <c r="CPA59" s="468"/>
      <c r="CPB59" s="468"/>
      <c r="CPC59" s="468"/>
      <c r="CPD59" s="468"/>
      <c r="CPE59" s="468"/>
      <c r="CPF59" s="468"/>
      <c r="CPG59" s="468"/>
      <c r="CPH59" s="468"/>
      <c r="CPI59" s="468"/>
      <c r="CPJ59" s="468"/>
      <c r="CPK59" s="468"/>
      <c r="CPL59" s="468"/>
      <c r="CPM59" s="468"/>
      <c r="CPN59" s="468"/>
      <c r="CPO59" s="468"/>
      <c r="CPP59" s="468"/>
      <c r="CPQ59" s="468"/>
      <c r="CPR59" s="468"/>
      <c r="CPS59" s="468"/>
      <c r="CPT59" s="468"/>
      <c r="CPU59" s="468"/>
      <c r="CPV59" s="468"/>
      <c r="CPW59" s="468"/>
      <c r="CPX59" s="468"/>
      <c r="CPY59" s="468"/>
      <c r="CPZ59" s="468"/>
      <c r="CQA59" s="468"/>
      <c r="CQB59" s="468"/>
      <c r="CQC59" s="468"/>
      <c r="CQD59" s="468"/>
      <c r="CQE59" s="468"/>
      <c r="CQF59" s="468"/>
      <c r="CQG59" s="468"/>
      <c r="CQH59" s="468"/>
      <c r="CQI59" s="468"/>
      <c r="CQJ59" s="468"/>
      <c r="CQK59" s="468"/>
      <c r="CQL59" s="468"/>
      <c r="CQM59" s="468"/>
      <c r="CQN59" s="468"/>
      <c r="CQO59" s="468"/>
      <c r="CQP59" s="468"/>
      <c r="CQQ59" s="468"/>
      <c r="CQR59" s="468"/>
      <c r="CQS59" s="468"/>
      <c r="CQT59" s="468"/>
      <c r="CQU59" s="468"/>
      <c r="CQV59" s="468"/>
      <c r="CQW59" s="468"/>
      <c r="CQX59" s="468"/>
      <c r="CQY59" s="468"/>
      <c r="CQZ59" s="468"/>
      <c r="CRA59" s="468"/>
      <c r="CRB59" s="468"/>
      <c r="CRC59" s="468"/>
      <c r="CRD59" s="468"/>
      <c r="CRE59" s="468"/>
      <c r="CRF59" s="468"/>
      <c r="CRG59" s="468"/>
      <c r="CRH59" s="468"/>
      <c r="CRI59" s="468"/>
      <c r="CRJ59" s="468"/>
      <c r="CRK59" s="468"/>
      <c r="CRL59" s="468"/>
      <c r="CRM59" s="468"/>
      <c r="CRN59" s="468"/>
      <c r="CRO59" s="468"/>
      <c r="CRP59" s="468"/>
      <c r="CRQ59" s="468"/>
      <c r="CRR59" s="468"/>
      <c r="CRS59" s="468"/>
      <c r="CRT59" s="468"/>
      <c r="CRU59" s="468"/>
      <c r="CRV59" s="468"/>
      <c r="CRW59" s="468"/>
      <c r="CRX59" s="468"/>
      <c r="CRY59" s="468"/>
      <c r="CRZ59" s="468"/>
      <c r="CSA59" s="468"/>
      <c r="CSB59" s="468"/>
      <c r="CSC59" s="468"/>
      <c r="CSD59" s="468"/>
      <c r="CSE59" s="468"/>
      <c r="CSF59" s="468"/>
      <c r="CSG59" s="468"/>
      <c r="CSH59" s="468"/>
      <c r="CSI59" s="468"/>
      <c r="CSJ59" s="468"/>
      <c r="CSK59" s="468"/>
      <c r="CSL59" s="468"/>
      <c r="CSM59" s="468"/>
      <c r="CSN59" s="468"/>
      <c r="CSO59" s="468"/>
      <c r="CSP59" s="468"/>
      <c r="CSQ59" s="468"/>
      <c r="CSR59" s="468"/>
      <c r="CSS59" s="468"/>
      <c r="CST59" s="468"/>
      <c r="CSU59" s="468"/>
      <c r="CSV59" s="468"/>
      <c r="CSW59" s="468"/>
      <c r="CSX59" s="468"/>
      <c r="CSY59" s="468"/>
      <c r="CSZ59" s="468"/>
      <c r="CTA59" s="468"/>
      <c r="CTB59" s="468"/>
      <c r="CTC59" s="468"/>
      <c r="CTD59" s="468"/>
      <c r="CTE59" s="468"/>
      <c r="CTF59" s="468"/>
      <c r="CTG59" s="468"/>
      <c r="CTH59" s="468"/>
      <c r="CTI59" s="468"/>
      <c r="CTJ59" s="468"/>
      <c r="CTK59" s="468"/>
      <c r="CTL59" s="468"/>
      <c r="CTM59" s="468"/>
      <c r="CTN59" s="468"/>
      <c r="CTO59" s="468"/>
      <c r="CTP59" s="468"/>
      <c r="CTQ59" s="468"/>
      <c r="CTR59" s="468"/>
      <c r="CTS59" s="468"/>
      <c r="CTT59" s="468"/>
      <c r="CTU59" s="468"/>
      <c r="CTV59" s="468"/>
      <c r="CTW59" s="468"/>
      <c r="CTX59" s="468"/>
      <c r="CTY59" s="468"/>
      <c r="CTZ59" s="468"/>
      <c r="CUA59" s="468"/>
      <c r="CUB59" s="468"/>
      <c r="CUC59" s="468"/>
      <c r="CUD59" s="468"/>
      <c r="CUE59" s="468"/>
      <c r="CUF59" s="468"/>
      <c r="CUG59" s="468"/>
      <c r="CUH59" s="468"/>
      <c r="CUI59" s="468"/>
      <c r="CUJ59" s="468"/>
      <c r="CUK59" s="468"/>
      <c r="CUL59" s="468"/>
      <c r="CUM59" s="468"/>
      <c r="CUN59" s="468"/>
      <c r="CUO59" s="468"/>
      <c r="CUP59" s="468"/>
      <c r="CUQ59" s="468"/>
      <c r="CUR59" s="468"/>
      <c r="CUS59" s="468"/>
      <c r="CUT59" s="468"/>
      <c r="CUU59" s="468"/>
      <c r="CUV59" s="468"/>
      <c r="CUW59" s="468"/>
      <c r="CUX59" s="468"/>
      <c r="CUY59" s="468"/>
      <c r="CUZ59" s="468"/>
      <c r="CVA59" s="468"/>
      <c r="CVB59" s="468"/>
      <c r="CVC59" s="468"/>
      <c r="CVD59" s="468"/>
      <c r="CVE59" s="468"/>
      <c r="CVF59" s="468"/>
      <c r="CVG59" s="468"/>
      <c r="CVH59" s="468"/>
      <c r="CVI59" s="468"/>
      <c r="CVJ59" s="468"/>
      <c r="CVK59" s="468"/>
      <c r="CVL59" s="468"/>
      <c r="CVM59" s="468"/>
      <c r="CVN59" s="468"/>
      <c r="CVO59" s="468"/>
      <c r="CVP59" s="468"/>
      <c r="CVQ59" s="468"/>
      <c r="CVR59" s="468"/>
      <c r="CVS59" s="468"/>
      <c r="CVT59" s="468"/>
      <c r="CVU59" s="468"/>
      <c r="CVV59" s="468"/>
      <c r="CVW59" s="468"/>
      <c r="CVX59" s="468"/>
      <c r="CVY59" s="468"/>
      <c r="CVZ59" s="468"/>
      <c r="CWA59" s="468"/>
      <c r="CWB59" s="468"/>
      <c r="CWC59" s="468"/>
      <c r="CWD59" s="468"/>
      <c r="CWE59" s="468"/>
      <c r="CWF59" s="468"/>
      <c r="CWG59" s="468"/>
      <c r="CWH59" s="468"/>
      <c r="CWI59" s="468"/>
      <c r="CWJ59" s="468"/>
      <c r="CWK59" s="468"/>
      <c r="CWL59" s="468"/>
      <c r="CWM59" s="468"/>
      <c r="CWN59" s="468"/>
      <c r="CWO59" s="468"/>
      <c r="CWP59" s="468"/>
      <c r="CWQ59" s="468"/>
      <c r="CWR59" s="468"/>
      <c r="CWS59" s="468"/>
      <c r="CWT59" s="468"/>
      <c r="CWU59" s="468"/>
      <c r="CWV59" s="468"/>
      <c r="CWW59" s="468"/>
      <c r="CWX59" s="468"/>
      <c r="CWY59" s="468"/>
      <c r="CWZ59" s="468"/>
      <c r="CXA59" s="468"/>
      <c r="CXB59" s="468"/>
      <c r="CXC59" s="468"/>
      <c r="CXD59" s="468"/>
      <c r="CXE59" s="468"/>
      <c r="CXF59" s="468"/>
      <c r="CXG59" s="468"/>
      <c r="CXH59" s="468"/>
      <c r="CXI59" s="468"/>
      <c r="CXJ59" s="468"/>
      <c r="CXK59" s="468"/>
      <c r="CXL59" s="468"/>
      <c r="CXM59" s="468"/>
      <c r="CXN59" s="468"/>
      <c r="CXO59" s="468"/>
      <c r="CXP59" s="468"/>
      <c r="CXQ59" s="468"/>
      <c r="CXR59" s="468"/>
      <c r="CXS59" s="468"/>
      <c r="CXT59" s="468"/>
      <c r="CXU59" s="468"/>
      <c r="CXV59" s="468"/>
      <c r="CXW59" s="468"/>
      <c r="CXX59" s="468"/>
      <c r="CXY59" s="468"/>
      <c r="CXZ59" s="468"/>
      <c r="CYA59" s="468"/>
      <c r="CYB59" s="468"/>
      <c r="CYC59" s="468"/>
      <c r="CYD59" s="468"/>
      <c r="CYE59" s="468"/>
      <c r="CYF59" s="468"/>
      <c r="CYG59" s="468"/>
      <c r="CYH59" s="468"/>
      <c r="CYI59" s="468"/>
      <c r="CYJ59" s="468"/>
      <c r="CYK59" s="468"/>
      <c r="CYL59" s="468"/>
      <c r="CYM59" s="468"/>
      <c r="CYN59" s="468"/>
      <c r="CYO59" s="468"/>
      <c r="CYP59" s="468"/>
      <c r="CYQ59" s="468"/>
      <c r="CYR59" s="468"/>
      <c r="CYS59" s="468"/>
      <c r="CYT59" s="468"/>
      <c r="CYU59" s="468"/>
      <c r="CYV59" s="468"/>
      <c r="CYW59" s="468"/>
      <c r="CYX59" s="468"/>
      <c r="CYY59" s="468"/>
      <c r="CYZ59" s="468"/>
      <c r="CZA59" s="468"/>
      <c r="CZB59" s="468"/>
      <c r="CZC59" s="468"/>
      <c r="CZD59" s="468"/>
      <c r="CZE59" s="468"/>
      <c r="CZF59" s="468"/>
      <c r="CZG59" s="468"/>
      <c r="CZH59" s="468"/>
      <c r="CZI59" s="468"/>
      <c r="CZJ59" s="468"/>
      <c r="CZK59" s="468"/>
      <c r="CZL59" s="468"/>
      <c r="CZM59" s="468"/>
      <c r="CZN59" s="468"/>
      <c r="CZO59" s="468"/>
      <c r="CZP59" s="468"/>
      <c r="CZQ59" s="468"/>
      <c r="CZR59" s="468"/>
      <c r="CZS59" s="468"/>
      <c r="CZT59" s="468"/>
      <c r="CZU59" s="468"/>
      <c r="CZV59" s="468"/>
      <c r="CZW59" s="468"/>
      <c r="CZX59" s="468"/>
      <c r="CZY59" s="468"/>
      <c r="CZZ59" s="468"/>
      <c r="DAA59" s="468"/>
      <c r="DAB59" s="468"/>
      <c r="DAC59" s="468"/>
      <c r="DAD59" s="468"/>
      <c r="DAE59" s="468"/>
      <c r="DAF59" s="468"/>
      <c r="DAG59" s="468"/>
      <c r="DAH59" s="468"/>
      <c r="DAI59" s="468"/>
      <c r="DAJ59" s="468"/>
      <c r="DAK59" s="468"/>
      <c r="DAL59" s="468"/>
      <c r="DAM59" s="468"/>
      <c r="DAN59" s="468"/>
      <c r="DAO59" s="468"/>
      <c r="DAP59" s="468"/>
      <c r="DAQ59" s="468"/>
      <c r="DAR59" s="468"/>
      <c r="DAS59" s="468"/>
      <c r="DAT59" s="468"/>
      <c r="DAU59" s="468"/>
      <c r="DAV59" s="468"/>
      <c r="DAW59" s="468"/>
      <c r="DAX59" s="468"/>
      <c r="DAY59" s="468"/>
      <c r="DAZ59" s="468"/>
      <c r="DBA59" s="468"/>
      <c r="DBB59" s="468"/>
      <c r="DBC59" s="468"/>
      <c r="DBD59" s="468"/>
      <c r="DBE59" s="468"/>
      <c r="DBF59" s="468"/>
      <c r="DBG59" s="468"/>
      <c r="DBH59" s="468"/>
      <c r="DBI59" s="468"/>
      <c r="DBJ59" s="468"/>
      <c r="DBK59" s="468"/>
      <c r="DBL59" s="468"/>
      <c r="DBM59" s="468"/>
      <c r="DBN59" s="468"/>
      <c r="DBO59" s="468"/>
      <c r="DBP59" s="468"/>
      <c r="DBQ59" s="468"/>
      <c r="DBR59" s="468"/>
      <c r="DBS59" s="468"/>
      <c r="DBT59" s="468"/>
      <c r="DBU59" s="468"/>
      <c r="DBV59" s="468"/>
      <c r="DBW59" s="468"/>
      <c r="DBX59" s="468"/>
      <c r="DBY59" s="468"/>
      <c r="DBZ59" s="468"/>
      <c r="DCA59" s="468"/>
      <c r="DCB59" s="468"/>
      <c r="DCC59" s="468"/>
      <c r="DCD59" s="468"/>
      <c r="DCE59" s="468"/>
      <c r="DCF59" s="468"/>
      <c r="DCG59" s="468"/>
      <c r="DCH59" s="468"/>
      <c r="DCI59" s="468"/>
      <c r="DCJ59" s="468"/>
      <c r="DCK59" s="468"/>
      <c r="DCL59" s="468"/>
      <c r="DCM59" s="468"/>
      <c r="DCN59" s="468"/>
      <c r="DCO59" s="468"/>
      <c r="DCP59" s="468"/>
      <c r="DCQ59" s="468"/>
      <c r="DCR59" s="468"/>
      <c r="DCS59" s="468"/>
      <c r="DCT59" s="468"/>
      <c r="DCU59" s="468"/>
      <c r="DCV59" s="468"/>
      <c r="DCW59" s="468"/>
      <c r="DCX59" s="468"/>
      <c r="DCY59" s="468"/>
      <c r="DCZ59" s="468"/>
      <c r="DDA59" s="468"/>
      <c r="DDB59" s="468"/>
      <c r="DDC59" s="468"/>
      <c r="DDD59" s="468"/>
      <c r="DDE59" s="468"/>
      <c r="DDF59" s="468"/>
      <c r="DDG59" s="468"/>
      <c r="DDH59" s="468"/>
      <c r="DDI59" s="468"/>
      <c r="DDJ59" s="468"/>
      <c r="DDK59" s="468"/>
      <c r="DDL59" s="468"/>
      <c r="DDM59" s="468"/>
      <c r="DDN59" s="468"/>
      <c r="DDO59" s="468"/>
      <c r="DDP59" s="468"/>
      <c r="DDQ59" s="468"/>
      <c r="DDR59" s="468"/>
      <c r="DDS59" s="468"/>
      <c r="DDT59" s="468"/>
      <c r="DDU59" s="468"/>
      <c r="DDV59" s="468"/>
      <c r="DDW59" s="468"/>
      <c r="DDX59" s="468"/>
      <c r="DDY59" s="468"/>
      <c r="DDZ59" s="468"/>
      <c r="DEA59" s="468"/>
      <c r="DEB59" s="468"/>
      <c r="DEC59" s="468"/>
      <c r="DED59" s="468"/>
      <c r="DEE59" s="468"/>
      <c r="DEF59" s="468"/>
      <c r="DEG59" s="468"/>
      <c r="DEH59" s="468"/>
      <c r="DEI59" s="468"/>
      <c r="DEJ59" s="468"/>
      <c r="DEK59" s="468"/>
      <c r="DEL59" s="468"/>
      <c r="DEM59" s="468"/>
      <c r="DEN59" s="468"/>
      <c r="DEO59" s="468"/>
      <c r="DEP59" s="468"/>
      <c r="DEQ59" s="468"/>
      <c r="DER59" s="468"/>
      <c r="DES59" s="468"/>
      <c r="DET59" s="468"/>
      <c r="DEU59" s="468"/>
      <c r="DEV59" s="468"/>
      <c r="DEW59" s="468"/>
      <c r="DEX59" s="468"/>
      <c r="DEY59" s="468"/>
      <c r="DEZ59" s="468"/>
      <c r="DFA59" s="468"/>
      <c r="DFB59" s="468"/>
      <c r="DFC59" s="468"/>
      <c r="DFD59" s="468"/>
      <c r="DFE59" s="468"/>
      <c r="DFF59" s="468"/>
      <c r="DFG59" s="468"/>
      <c r="DFH59" s="468"/>
      <c r="DFI59" s="468"/>
      <c r="DFJ59" s="468"/>
      <c r="DFK59" s="468"/>
      <c r="DFL59" s="468"/>
      <c r="DFM59" s="468"/>
      <c r="DFN59" s="468"/>
      <c r="DFO59" s="468"/>
      <c r="DFP59" s="468"/>
      <c r="DFQ59" s="468"/>
      <c r="DFR59" s="468"/>
      <c r="DFS59" s="468"/>
      <c r="DFT59" s="468"/>
      <c r="DFU59" s="468"/>
      <c r="DFV59" s="468"/>
      <c r="DFW59" s="468"/>
      <c r="DFX59" s="468"/>
      <c r="DFY59" s="468"/>
      <c r="DFZ59" s="468"/>
      <c r="DGA59" s="468"/>
      <c r="DGB59" s="468"/>
      <c r="DGC59" s="468"/>
      <c r="DGD59" s="468"/>
      <c r="DGE59" s="468"/>
      <c r="DGF59" s="468"/>
      <c r="DGG59" s="468"/>
      <c r="DGH59" s="468"/>
      <c r="DGI59" s="468"/>
      <c r="DGJ59" s="468"/>
      <c r="DGK59" s="468"/>
      <c r="DGL59" s="468"/>
      <c r="DGM59" s="468"/>
      <c r="DGN59" s="468"/>
      <c r="DGO59" s="468"/>
      <c r="DGP59" s="468"/>
      <c r="DGQ59" s="468"/>
      <c r="DGR59" s="468"/>
      <c r="DGS59" s="468"/>
      <c r="DGT59" s="468"/>
      <c r="DGU59" s="468"/>
      <c r="DGV59" s="468"/>
      <c r="DGW59" s="468"/>
      <c r="DGX59" s="468"/>
      <c r="DGY59" s="468"/>
      <c r="DGZ59" s="468"/>
      <c r="DHA59" s="468"/>
      <c r="DHB59" s="468"/>
      <c r="DHC59" s="468"/>
      <c r="DHD59" s="468"/>
      <c r="DHE59" s="468"/>
      <c r="DHF59" s="468"/>
      <c r="DHG59" s="468"/>
      <c r="DHH59" s="468"/>
      <c r="DHI59" s="468"/>
      <c r="DHJ59" s="468"/>
      <c r="DHK59" s="468"/>
      <c r="DHL59" s="468"/>
      <c r="DHM59" s="468"/>
      <c r="DHN59" s="468"/>
      <c r="DHO59" s="468"/>
      <c r="DHP59" s="468"/>
      <c r="DHQ59" s="468"/>
      <c r="DHR59" s="468"/>
      <c r="DHS59" s="468"/>
      <c r="DHT59" s="468"/>
      <c r="DHU59" s="468"/>
      <c r="DHV59" s="468"/>
      <c r="DHW59" s="468"/>
      <c r="DHX59" s="468"/>
      <c r="DHY59" s="468"/>
      <c r="DHZ59" s="468"/>
      <c r="DIA59" s="468"/>
      <c r="DIB59" s="468"/>
      <c r="DIC59" s="468"/>
      <c r="DID59" s="468"/>
      <c r="DIE59" s="468"/>
      <c r="DIF59" s="468"/>
      <c r="DIG59" s="468"/>
      <c r="DIH59" s="468"/>
      <c r="DII59" s="468"/>
      <c r="DIJ59" s="468"/>
      <c r="DIK59" s="468"/>
      <c r="DIL59" s="468"/>
      <c r="DIM59" s="468"/>
      <c r="DIN59" s="468"/>
      <c r="DIO59" s="468"/>
      <c r="DIP59" s="468"/>
      <c r="DIQ59" s="468"/>
      <c r="DIR59" s="468"/>
      <c r="DIS59" s="468"/>
      <c r="DIT59" s="468"/>
      <c r="DIU59" s="468"/>
      <c r="DIV59" s="468"/>
      <c r="DIW59" s="468"/>
      <c r="DIX59" s="468"/>
      <c r="DIY59" s="468"/>
      <c r="DIZ59" s="468"/>
      <c r="DJA59" s="468"/>
      <c r="DJB59" s="468"/>
      <c r="DJC59" s="468"/>
      <c r="DJD59" s="468"/>
      <c r="DJE59" s="468"/>
      <c r="DJF59" s="468"/>
      <c r="DJG59" s="468"/>
      <c r="DJH59" s="468"/>
      <c r="DJI59" s="468"/>
      <c r="DJJ59" s="468"/>
      <c r="DJK59" s="468"/>
      <c r="DJL59" s="468"/>
      <c r="DJM59" s="468"/>
      <c r="DJN59" s="468"/>
      <c r="DJO59" s="468"/>
      <c r="DJP59" s="468"/>
      <c r="DJQ59" s="468"/>
      <c r="DJR59" s="468"/>
      <c r="DJS59" s="468"/>
      <c r="DJT59" s="468"/>
      <c r="DJU59" s="468"/>
      <c r="DJV59" s="468"/>
      <c r="DJW59" s="468"/>
      <c r="DJX59" s="468"/>
      <c r="DJY59" s="468"/>
      <c r="DJZ59" s="468"/>
      <c r="DKA59" s="468"/>
      <c r="DKB59" s="468"/>
      <c r="DKC59" s="468"/>
      <c r="DKD59" s="468"/>
      <c r="DKE59" s="468"/>
      <c r="DKF59" s="468"/>
      <c r="DKG59" s="468"/>
      <c r="DKH59" s="468"/>
      <c r="DKI59" s="468"/>
      <c r="DKJ59" s="468"/>
      <c r="DKK59" s="468"/>
      <c r="DKL59" s="468"/>
      <c r="DKM59" s="468"/>
      <c r="DKN59" s="468"/>
      <c r="DKO59" s="468"/>
      <c r="DKP59" s="468"/>
      <c r="DKQ59" s="468"/>
      <c r="DKR59" s="468"/>
      <c r="DKS59" s="468"/>
      <c r="DKT59" s="468"/>
      <c r="DKU59" s="468"/>
      <c r="DKV59" s="468"/>
      <c r="DKW59" s="468"/>
      <c r="DKX59" s="468"/>
      <c r="DKY59" s="468"/>
      <c r="DKZ59" s="468"/>
      <c r="DLA59" s="468"/>
      <c r="DLB59" s="468"/>
      <c r="DLC59" s="468"/>
      <c r="DLD59" s="468"/>
      <c r="DLE59" s="468"/>
      <c r="DLF59" s="468"/>
      <c r="DLG59" s="468"/>
      <c r="DLH59" s="468"/>
      <c r="DLI59" s="468"/>
      <c r="DLJ59" s="468"/>
      <c r="DLK59" s="468"/>
      <c r="DLL59" s="468"/>
      <c r="DLM59" s="468"/>
      <c r="DLN59" s="468"/>
      <c r="DLO59" s="468"/>
      <c r="DLP59" s="468"/>
      <c r="DLQ59" s="468"/>
      <c r="DLR59" s="468"/>
      <c r="DLS59" s="468"/>
      <c r="DLT59" s="468"/>
      <c r="DLU59" s="468"/>
      <c r="DLV59" s="468"/>
      <c r="DLW59" s="468"/>
      <c r="DLX59" s="468"/>
      <c r="DLY59" s="468"/>
      <c r="DLZ59" s="468"/>
      <c r="DMA59" s="468"/>
      <c r="DMB59" s="468"/>
      <c r="DMC59" s="468"/>
      <c r="DMD59" s="468"/>
      <c r="DME59" s="468"/>
      <c r="DMF59" s="468"/>
      <c r="DMG59" s="468"/>
      <c r="DMH59" s="468"/>
      <c r="DMI59" s="468"/>
      <c r="DMJ59" s="468"/>
      <c r="DMK59" s="468"/>
      <c r="DML59" s="468"/>
      <c r="DMM59" s="468"/>
      <c r="DMN59" s="468"/>
      <c r="DMO59" s="468"/>
      <c r="DMP59" s="468"/>
      <c r="DMQ59" s="468"/>
      <c r="DMR59" s="468"/>
      <c r="DMS59" s="468"/>
      <c r="DMT59" s="468"/>
      <c r="DMU59" s="468"/>
      <c r="DMV59" s="468"/>
      <c r="DMW59" s="468"/>
      <c r="DMX59" s="468"/>
      <c r="DMY59" s="468"/>
      <c r="DMZ59" s="468"/>
      <c r="DNA59" s="468"/>
      <c r="DNB59" s="468"/>
      <c r="DNC59" s="468"/>
      <c r="DND59" s="468"/>
      <c r="DNE59" s="468"/>
      <c r="DNF59" s="468"/>
      <c r="DNG59" s="468"/>
      <c r="DNH59" s="468"/>
      <c r="DNI59" s="468"/>
      <c r="DNJ59" s="468"/>
      <c r="DNK59" s="468"/>
      <c r="DNL59" s="468"/>
      <c r="DNM59" s="468"/>
      <c r="DNN59" s="468"/>
      <c r="DNO59" s="468"/>
      <c r="DNP59" s="468"/>
      <c r="DNQ59" s="468"/>
      <c r="DNR59" s="468"/>
      <c r="DNS59" s="468"/>
      <c r="DNT59" s="468"/>
      <c r="DNU59" s="468"/>
      <c r="DNV59" s="468"/>
      <c r="DNW59" s="468"/>
      <c r="DNX59" s="468"/>
      <c r="DNY59" s="468"/>
      <c r="DNZ59" s="468"/>
      <c r="DOA59" s="468"/>
      <c r="DOB59" s="468"/>
      <c r="DOC59" s="468"/>
      <c r="DOD59" s="468"/>
      <c r="DOE59" s="468"/>
      <c r="DOF59" s="468"/>
      <c r="DOG59" s="468"/>
      <c r="DOH59" s="468"/>
      <c r="DOI59" s="468"/>
      <c r="DOJ59" s="468"/>
      <c r="DOK59" s="468"/>
      <c r="DOL59" s="468"/>
      <c r="DOM59" s="468"/>
      <c r="DON59" s="468"/>
      <c r="DOO59" s="468"/>
      <c r="DOP59" s="468"/>
      <c r="DOQ59" s="468"/>
      <c r="DOR59" s="468"/>
      <c r="DOS59" s="468"/>
      <c r="DOT59" s="468"/>
      <c r="DOU59" s="468"/>
      <c r="DOV59" s="468"/>
      <c r="DOW59" s="468"/>
      <c r="DOX59" s="468"/>
      <c r="DOY59" s="468"/>
      <c r="DOZ59" s="468"/>
      <c r="DPA59" s="468"/>
      <c r="DPB59" s="468"/>
      <c r="DPC59" s="468"/>
      <c r="DPD59" s="468"/>
      <c r="DPE59" s="468"/>
      <c r="DPF59" s="468"/>
      <c r="DPG59" s="468"/>
      <c r="DPH59" s="468"/>
      <c r="DPI59" s="468"/>
      <c r="DPJ59" s="468"/>
      <c r="DPK59" s="468"/>
      <c r="DPL59" s="468"/>
      <c r="DPM59" s="468"/>
      <c r="DPN59" s="468"/>
      <c r="DPO59" s="468"/>
      <c r="DPP59" s="468"/>
      <c r="DPQ59" s="468"/>
      <c r="DPR59" s="468"/>
      <c r="DPS59" s="468"/>
      <c r="DPT59" s="468"/>
      <c r="DPU59" s="468"/>
      <c r="DPV59" s="468"/>
      <c r="DPW59" s="468"/>
      <c r="DPX59" s="468"/>
      <c r="DPY59" s="468"/>
      <c r="DPZ59" s="468"/>
      <c r="DQA59" s="468"/>
      <c r="DQB59" s="468"/>
      <c r="DQC59" s="468"/>
      <c r="DQD59" s="468"/>
      <c r="DQE59" s="468"/>
      <c r="DQF59" s="468"/>
      <c r="DQG59" s="468"/>
      <c r="DQH59" s="468"/>
      <c r="DQI59" s="468"/>
      <c r="DQJ59" s="468"/>
      <c r="DQK59" s="468"/>
      <c r="DQL59" s="468"/>
      <c r="DQM59" s="468"/>
      <c r="DQN59" s="468"/>
      <c r="DQO59" s="468"/>
      <c r="DQP59" s="468"/>
      <c r="DQQ59" s="468"/>
      <c r="DQR59" s="468"/>
      <c r="DQS59" s="468"/>
      <c r="DQT59" s="468"/>
      <c r="DQU59" s="468"/>
      <c r="DQV59" s="468"/>
      <c r="DQW59" s="468"/>
      <c r="DQX59" s="468"/>
      <c r="DQY59" s="468"/>
      <c r="DQZ59" s="468"/>
      <c r="DRA59" s="468"/>
      <c r="DRB59" s="468"/>
      <c r="DRC59" s="468"/>
      <c r="DRD59" s="468"/>
      <c r="DRE59" s="468"/>
      <c r="DRF59" s="468"/>
      <c r="DRG59" s="468"/>
      <c r="DRH59" s="468"/>
      <c r="DRI59" s="468"/>
      <c r="DRJ59" s="468"/>
      <c r="DRK59" s="468"/>
      <c r="DRL59" s="468"/>
      <c r="DRM59" s="468"/>
      <c r="DRN59" s="468"/>
      <c r="DRO59" s="468"/>
      <c r="DRP59" s="468"/>
      <c r="DRQ59" s="468"/>
      <c r="DRR59" s="468"/>
      <c r="DRS59" s="468"/>
      <c r="DRT59" s="468"/>
      <c r="DRU59" s="468"/>
      <c r="DRV59" s="468"/>
      <c r="DRW59" s="468"/>
      <c r="DRX59" s="468"/>
      <c r="DRY59" s="468"/>
      <c r="DRZ59" s="468"/>
      <c r="DSA59" s="468"/>
      <c r="DSB59" s="468"/>
      <c r="DSC59" s="468"/>
      <c r="DSD59" s="468"/>
      <c r="DSE59" s="468"/>
      <c r="DSF59" s="468"/>
      <c r="DSG59" s="468"/>
      <c r="DSH59" s="468"/>
      <c r="DSI59" s="468"/>
      <c r="DSJ59" s="468"/>
      <c r="DSK59" s="468"/>
      <c r="DSL59" s="468"/>
      <c r="DSM59" s="468"/>
      <c r="DSN59" s="468"/>
      <c r="DSO59" s="468"/>
      <c r="DSP59" s="468"/>
      <c r="DSQ59" s="468"/>
      <c r="DSR59" s="468"/>
      <c r="DSS59" s="468"/>
      <c r="DST59" s="468"/>
      <c r="DSU59" s="468"/>
      <c r="DSV59" s="468"/>
      <c r="DSW59" s="468"/>
      <c r="DSX59" s="468"/>
      <c r="DSY59" s="468"/>
      <c r="DSZ59" s="468"/>
      <c r="DTA59" s="468"/>
      <c r="DTB59" s="468"/>
      <c r="DTC59" s="468"/>
      <c r="DTD59" s="468"/>
      <c r="DTE59" s="468"/>
      <c r="DTF59" s="468"/>
      <c r="DTG59" s="468"/>
      <c r="DTH59" s="468"/>
      <c r="DTI59" s="468"/>
      <c r="DTJ59" s="468"/>
      <c r="DTK59" s="468"/>
      <c r="DTL59" s="468"/>
      <c r="DTM59" s="468"/>
      <c r="DTN59" s="468"/>
      <c r="DTO59" s="468"/>
      <c r="DTP59" s="468"/>
      <c r="DTQ59" s="468"/>
      <c r="DTR59" s="468"/>
      <c r="DTS59" s="468"/>
      <c r="DTT59" s="468"/>
      <c r="DTU59" s="468"/>
      <c r="DTV59" s="468"/>
      <c r="DTW59" s="468"/>
      <c r="DTX59" s="468"/>
      <c r="DTY59" s="468"/>
      <c r="DTZ59" s="468"/>
      <c r="DUA59" s="468"/>
      <c r="DUB59" s="468"/>
      <c r="DUC59" s="468"/>
      <c r="DUD59" s="468"/>
      <c r="DUE59" s="468"/>
      <c r="DUF59" s="468"/>
      <c r="DUG59" s="468"/>
      <c r="DUH59" s="468"/>
      <c r="DUI59" s="468"/>
      <c r="DUJ59" s="468"/>
      <c r="DUK59" s="468"/>
      <c r="DUL59" s="468"/>
      <c r="DUM59" s="468"/>
      <c r="DUN59" s="468"/>
      <c r="DUO59" s="468"/>
      <c r="DUP59" s="468"/>
      <c r="DUQ59" s="468"/>
      <c r="DUR59" s="468"/>
      <c r="DUS59" s="468"/>
      <c r="DUT59" s="468"/>
      <c r="DUU59" s="468"/>
      <c r="DUV59" s="468"/>
      <c r="DUW59" s="468"/>
      <c r="DUX59" s="468"/>
      <c r="DUY59" s="468"/>
      <c r="DUZ59" s="468"/>
      <c r="DVA59" s="468"/>
      <c r="DVB59" s="468"/>
      <c r="DVC59" s="468"/>
      <c r="DVD59" s="468"/>
      <c r="DVE59" s="468"/>
      <c r="DVF59" s="468"/>
      <c r="DVG59" s="468"/>
      <c r="DVH59" s="468"/>
      <c r="DVI59" s="468"/>
      <c r="DVJ59" s="468"/>
      <c r="DVK59" s="468"/>
      <c r="DVL59" s="468"/>
      <c r="DVM59" s="468"/>
      <c r="DVN59" s="468"/>
      <c r="DVO59" s="468"/>
      <c r="DVP59" s="468"/>
      <c r="DVQ59" s="468"/>
      <c r="DVR59" s="468"/>
      <c r="DVS59" s="468"/>
      <c r="DVT59" s="468"/>
      <c r="DVU59" s="468"/>
      <c r="DVV59" s="468"/>
      <c r="DVW59" s="468"/>
      <c r="DVX59" s="468"/>
      <c r="DVY59" s="468"/>
      <c r="DVZ59" s="468"/>
      <c r="DWA59" s="468"/>
      <c r="DWB59" s="468"/>
      <c r="DWC59" s="468"/>
      <c r="DWD59" s="468"/>
      <c r="DWE59" s="468"/>
      <c r="DWF59" s="468"/>
      <c r="DWG59" s="468"/>
      <c r="DWH59" s="468"/>
      <c r="DWI59" s="468"/>
      <c r="DWJ59" s="468"/>
      <c r="DWK59" s="468"/>
      <c r="DWL59" s="468"/>
      <c r="DWM59" s="468"/>
      <c r="DWN59" s="468"/>
      <c r="DWO59" s="468"/>
      <c r="DWP59" s="468"/>
      <c r="DWQ59" s="468"/>
      <c r="DWR59" s="468"/>
      <c r="DWS59" s="468"/>
      <c r="DWT59" s="468"/>
      <c r="DWU59" s="468"/>
      <c r="DWV59" s="468"/>
      <c r="DWW59" s="468"/>
      <c r="DWX59" s="468"/>
      <c r="DWY59" s="468"/>
      <c r="DWZ59" s="468"/>
      <c r="DXA59" s="468"/>
      <c r="DXB59" s="468"/>
      <c r="DXC59" s="468"/>
      <c r="DXD59" s="468"/>
      <c r="DXE59" s="468"/>
      <c r="DXF59" s="468"/>
      <c r="DXG59" s="468"/>
      <c r="DXH59" s="468"/>
      <c r="DXI59" s="468"/>
      <c r="DXJ59" s="468"/>
      <c r="DXK59" s="468"/>
      <c r="DXL59" s="468"/>
      <c r="DXM59" s="468"/>
      <c r="DXN59" s="468"/>
      <c r="DXO59" s="468"/>
      <c r="DXP59" s="468"/>
      <c r="DXQ59" s="468"/>
      <c r="DXR59" s="468"/>
      <c r="DXS59" s="468"/>
      <c r="DXT59" s="468"/>
      <c r="DXU59" s="468"/>
      <c r="DXV59" s="468"/>
      <c r="DXW59" s="468"/>
      <c r="DXX59" s="468"/>
      <c r="DXY59" s="468"/>
      <c r="DXZ59" s="468"/>
      <c r="DYA59" s="468"/>
      <c r="DYB59" s="468"/>
      <c r="DYC59" s="468"/>
      <c r="DYD59" s="468"/>
      <c r="DYE59" s="468"/>
      <c r="DYF59" s="468"/>
      <c r="DYG59" s="468"/>
      <c r="DYH59" s="468"/>
      <c r="DYI59" s="468"/>
      <c r="DYJ59" s="468"/>
      <c r="DYK59" s="468"/>
      <c r="DYL59" s="468"/>
      <c r="DYM59" s="468"/>
      <c r="DYN59" s="468"/>
      <c r="DYO59" s="468"/>
      <c r="DYP59" s="468"/>
      <c r="DYQ59" s="468"/>
      <c r="DYR59" s="468"/>
      <c r="DYS59" s="468"/>
      <c r="DYT59" s="468"/>
      <c r="DYU59" s="468"/>
      <c r="DYV59" s="468"/>
      <c r="DYW59" s="468"/>
      <c r="DYX59" s="468"/>
      <c r="DYY59" s="468"/>
      <c r="DYZ59" s="468"/>
      <c r="DZA59" s="468"/>
      <c r="DZB59" s="468"/>
      <c r="DZC59" s="468"/>
      <c r="DZD59" s="468"/>
      <c r="DZE59" s="468"/>
      <c r="DZF59" s="468"/>
      <c r="DZG59" s="468"/>
      <c r="DZH59" s="468"/>
      <c r="DZI59" s="468"/>
      <c r="DZJ59" s="468"/>
      <c r="DZK59" s="468"/>
      <c r="DZL59" s="468"/>
      <c r="DZM59" s="468"/>
      <c r="DZN59" s="468"/>
      <c r="DZO59" s="468"/>
      <c r="DZP59" s="468"/>
      <c r="DZQ59" s="468"/>
      <c r="DZR59" s="468"/>
      <c r="DZS59" s="468"/>
      <c r="DZT59" s="468"/>
      <c r="DZU59" s="468"/>
      <c r="DZV59" s="468"/>
      <c r="DZW59" s="468"/>
      <c r="DZX59" s="468"/>
      <c r="DZY59" s="468"/>
      <c r="DZZ59" s="468"/>
      <c r="EAA59" s="468"/>
      <c r="EAB59" s="468"/>
      <c r="EAC59" s="468"/>
      <c r="EAD59" s="468"/>
      <c r="EAE59" s="468"/>
      <c r="EAF59" s="468"/>
      <c r="EAG59" s="468"/>
      <c r="EAH59" s="468"/>
      <c r="EAI59" s="468"/>
      <c r="EAJ59" s="468"/>
      <c r="EAK59" s="468"/>
      <c r="EAL59" s="468"/>
      <c r="EAM59" s="468"/>
      <c r="EAN59" s="468"/>
      <c r="EAO59" s="468"/>
      <c r="EAP59" s="468"/>
      <c r="EAQ59" s="468"/>
      <c r="EAR59" s="468"/>
      <c r="EAS59" s="468"/>
      <c r="EAT59" s="468"/>
      <c r="EAU59" s="468"/>
      <c r="EAV59" s="468"/>
      <c r="EAW59" s="468"/>
      <c r="EAX59" s="468"/>
      <c r="EAY59" s="468"/>
      <c r="EAZ59" s="468"/>
      <c r="EBA59" s="468"/>
      <c r="EBB59" s="468"/>
      <c r="EBC59" s="468"/>
      <c r="EBD59" s="468"/>
      <c r="EBE59" s="468"/>
      <c r="EBF59" s="468"/>
      <c r="EBG59" s="468"/>
      <c r="EBH59" s="468"/>
      <c r="EBI59" s="468"/>
      <c r="EBJ59" s="468"/>
      <c r="EBK59" s="468"/>
      <c r="EBL59" s="468"/>
      <c r="EBM59" s="468"/>
      <c r="EBN59" s="468"/>
      <c r="EBO59" s="468"/>
      <c r="EBP59" s="468"/>
      <c r="EBQ59" s="468"/>
      <c r="EBR59" s="468"/>
      <c r="EBS59" s="468"/>
      <c r="EBT59" s="468"/>
      <c r="EBU59" s="468"/>
      <c r="EBV59" s="468"/>
      <c r="EBW59" s="468"/>
      <c r="EBX59" s="468"/>
      <c r="EBY59" s="468"/>
      <c r="EBZ59" s="468"/>
      <c r="ECA59" s="468"/>
      <c r="ECB59" s="468"/>
      <c r="ECC59" s="468"/>
      <c r="ECD59" s="468"/>
      <c r="ECE59" s="468"/>
      <c r="ECF59" s="468"/>
      <c r="ECG59" s="468"/>
      <c r="ECH59" s="468"/>
      <c r="ECI59" s="468"/>
      <c r="ECJ59" s="468"/>
      <c r="ECK59" s="468"/>
      <c r="ECL59" s="468"/>
      <c r="ECM59" s="468"/>
      <c r="ECN59" s="468"/>
      <c r="ECO59" s="468"/>
      <c r="ECP59" s="468"/>
      <c r="ECQ59" s="468"/>
      <c r="ECR59" s="468"/>
      <c r="ECS59" s="468"/>
      <c r="ECT59" s="468"/>
      <c r="ECU59" s="468"/>
      <c r="ECV59" s="468"/>
      <c r="ECW59" s="468"/>
      <c r="ECX59" s="468"/>
      <c r="ECY59" s="468"/>
      <c r="ECZ59" s="468"/>
      <c r="EDA59" s="468"/>
      <c r="EDB59" s="468"/>
      <c r="EDC59" s="468"/>
      <c r="EDD59" s="468"/>
      <c r="EDE59" s="468"/>
      <c r="EDF59" s="468"/>
      <c r="EDG59" s="468"/>
      <c r="EDH59" s="468"/>
      <c r="EDI59" s="468"/>
      <c r="EDJ59" s="468"/>
      <c r="EDK59" s="468"/>
      <c r="EDL59" s="468"/>
      <c r="EDM59" s="468"/>
      <c r="EDN59" s="468"/>
      <c r="EDO59" s="468"/>
      <c r="EDP59" s="468"/>
      <c r="EDQ59" s="468"/>
      <c r="EDR59" s="468"/>
      <c r="EDS59" s="468"/>
      <c r="EDT59" s="468"/>
      <c r="EDU59" s="468"/>
      <c r="EDV59" s="468"/>
      <c r="EDW59" s="468"/>
      <c r="EDX59" s="468"/>
      <c r="EDY59" s="468"/>
      <c r="EDZ59" s="468"/>
      <c r="EEA59" s="468"/>
      <c r="EEB59" s="468"/>
      <c r="EEC59" s="468"/>
      <c r="EED59" s="468"/>
      <c r="EEE59" s="468"/>
      <c r="EEF59" s="468"/>
      <c r="EEG59" s="468"/>
      <c r="EEH59" s="468"/>
      <c r="EEI59" s="468"/>
      <c r="EEJ59" s="468"/>
      <c r="EEK59" s="468"/>
      <c r="EEL59" s="468"/>
      <c r="EEM59" s="468"/>
      <c r="EEN59" s="468"/>
      <c r="EEO59" s="468"/>
      <c r="EEP59" s="468"/>
      <c r="EEQ59" s="468"/>
      <c r="EER59" s="468"/>
      <c r="EES59" s="468"/>
      <c r="EET59" s="468"/>
      <c r="EEU59" s="468"/>
      <c r="EEV59" s="468"/>
      <c r="EEW59" s="468"/>
      <c r="EEX59" s="468"/>
      <c r="EEY59" s="468"/>
      <c r="EEZ59" s="468"/>
      <c r="EFA59" s="468"/>
      <c r="EFB59" s="468"/>
      <c r="EFC59" s="468"/>
      <c r="EFD59" s="468"/>
      <c r="EFE59" s="468"/>
      <c r="EFF59" s="468"/>
      <c r="EFG59" s="468"/>
      <c r="EFH59" s="468"/>
      <c r="EFI59" s="468"/>
      <c r="EFJ59" s="468"/>
      <c r="EFK59" s="468"/>
      <c r="EFL59" s="468"/>
      <c r="EFM59" s="468"/>
      <c r="EFN59" s="468"/>
      <c r="EFO59" s="468"/>
      <c r="EFP59" s="468"/>
      <c r="EFQ59" s="468"/>
      <c r="EFR59" s="468"/>
      <c r="EFS59" s="468"/>
      <c r="EFT59" s="468"/>
      <c r="EFU59" s="468"/>
      <c r="EFV59" s="468"/>
      <c r="EFW59" s="468"/>
      <c r="EFX59" s="468"/>
      <c r="EFY59" s="468"/>
      <c r="EFZ59" s="468"/>
      <c r="EGA59" s="468"/>
      <c r="EGB59" s="468"/>
      <c r="EGC59" s="468"/>
      <c r="EGD59" s="468"/>
      <c r="EGE59" s="468"/>
      <c r="EGF59" s="468"/>
      <c r="EGG59" s="468"/>
      <c r="EGH59" s="468"/>
      <c r="EGI59" s="468"/>
      <c r="EGJ59" s="468"/>
      <c r="EGK59" s="468"/>
      <c r="EGL59" s="468"/>
      <c r="EGM59" s="468"/>
      <c r="EGN59" s="468"/>
      <c r="EGO59" s="468"/>
      <c r="EGP59" s="468"/>
      <c r="EGQ59" s="468"/>
      <c r="EGR59" s="468"/>
      <c r="EGS59" s="468"/>
      <c r="EGT59" s="468"/>
      <c r="EGU59" s="468"/>
      <c r="EGV59" s="468"/>
      <c r="EGW59" s="468"/>
      <c r="EGX59" s="468"/>
      <c r="EGY59" s="468"/>
      <c r="EGZ59" s="468"/>
      <c r="EHA59" s="468"/>
      <c r="EHB59" s="468"/>
      <c r="EHC59" s="468"/>
      <c r="EHD59" s="468"/>
      <c r="EHE59" s="468"/>
      <c r="EHF59" s="468"/>
      <c r="EHG59" s="468"/>
      <c r="EHH59" s="468"/>
      <c r="EHI59" s="468"/>
      <c r="EHJ59" s="468"/>
      <c r="EHK59" s="468"/>
      <c r="EHL59" s="468"/>
      <c r="EHM59" s="468"/>
      <c r="EHN59" s="468"/>
      <c r="EHO59" s="468"/>
      <c r="EHP59" s="468"/>
      <c r="EHQ59" s="468"/>
      <c r="EHR59" s="468"/>
      <c r="EHS59" s="468"/>
      <c r="EHT59" s="468"/>
      <c r="EHU59" s="468"/>
      <c r="EHV59" s="468"/>
      <c r="EHW59" s="468"/>
      <c r="EHX59" s="468"/>
      <c r="EHY59" s="468"/>
      <c r="EHZ59" s="468"/>
      <c r="EIA59" s="468"/>
      <c r="EIB59" s="468"/>
      <c r="EIC59" s="468"/>
      <c r="EID59" s="468"/>
      <c r="EIE59" s="468"/>
      <c r="EIF59" s="468"/>
      <c r="EIG59" s="468"/>
      <c r="EIH59" s="468"/>
      <c r="EII59" s="468"/>
      <c r="EIJ59" s="468"/>
      <c r="EIK59" s="468"/>
      <c r="EIL59" s="468"/>
      <c r="EIM59" s="468"/>
      <c r="EIN59" s="468"/>
      <c r="EIO59" s="468"/>
      <c r="EIP59" s="468"/>
      <c r="EIQ59" s="468"/>
      <c r="EIR59" s="468"/>
      <c r="EIS59" s="468"/>
      <c r="EIT59" s="468"/>
      <c r="EIU59" s="468"/>
      <c r="EIV59" s="468"/>
      <c r="EIW59" s="468"/>
      <c r="EIX59" s="468"/>
      <c r="EIY59" s="468"/>
      <c r="EIZ59" s="468"/>
      <c r="EJA59" s="468"/>
      <c r="EJB59" s="468"/>
      <c r="EJC59" s="468"/>
      <c r="EJD59" s="468"/>
      <c r="EJE59" s="468"/>
      <c r="EJF59" s="468"/>
      <c r="EJG59" s="468"/>
      <c r="EJH59" s="468"/>
      <c r="EJI59" s="468"/>
      <c r="EJJ59" s="468"/>
      <c r="EJK59" s="468"/>
      <c r="EJL59" s="468"/>
      <c r="EJM59" s="468"/>
      <c r="EJN59" s="468"/>
      <c r="EJO59" s="468"/>
      <c r="EJP59" s="468"/>
      <c r="EJQ59" s="468"/>
      <c r="EJR59" s="468"/>
      <c r="EJS59" s="468"/>
      <c r="EJT59" s="468"/>
      <c r="EJU59" s="468"/>
      <c r="EJV59" s="468"/>
      <c r="EJW59" s="468"/>
      <c r="EJX59" s="468"/>
      <c r="EJY59" s="468"/>
      <c r="EJZ59" s="468"/>
      <c r="EKA59" s="468"/>
      <c r="EKB59" s="468"/>
      <c r="EKC59" s="468"/>
      <c r="EKD59" s="468"/>
      <c r="EKE59" s="468"/>
      <c r="EKF59" s="468"/>
      <c r="EKG59" s="468"/>
      <c r="EKH59" s="468"/>
      <c r="EKI59" s="468"/>
      <c r="EKJ59" s="468"/>
      <c r="EKK59" s="468"/>
      <c r="EKL59" s="468"/>
      <c r="EKM59" s="468"/>
      <c r="EKN59" s="468"/>
      <c r="EKO59" s="468"/>
      <c r="EKP59" s="468"/>
      <c r="EKQ59" s="468"/>
      <c r="EKR59" s="468"/>
      <c r="EKS59" s="468"/>
      <c r="EKT59" s="468"/>
      <c r="EKU59" s="468"/>
      <c r="EKV59" s="468"/>
      <c r="EKW59" s="468"/>
      <c r="EKX59" s="468"/>
      <c r="EKY59" s="468"/>
      <c r="EKZ59" s="468"/>
      <c r="ELA59" s="468"/>
      <c r="ELB59" s="468"/>
      <c r="ELC59" s="468"/>
      <c r="ELD59" s="468"/>
      <c r="ELE59" s="468"/>
      <c r="ELF59" s="468"/>
      <c r="ELG59" s="468"/>
      <c r="ELH59" s="468"/>
      <c r="ELI59" s="468"/>
      <c r="ELJ59" s="468"/>
      <c r="ELK59" s="468"/>
      <c r="ELL59" s="468"/>
      <c r="ELM59" s="468"/>
      <c r="ELN59" s="468"/>
      <c r="ELO59" s="468"/>
      <c r="ELP59" s="468"/>
      <c r="ELQ59" s="468"/>
      <c r="ELR59" s="468"/>
      <c r="ELS59" s="468"/>
      <c r="ELT59" s="468"/>
      <c r="ELU59" s="468"/>
      <c r="ELV59" s="468"/>
      <c r="ELW59" s="468"/>
      <c r="ELX59" s="468"/>
      <c r="ELY59" s="468"/>
      <c r="ELZ59" s="468"/>
      <c r="EMA59" s="468"/>
      <c r="EMB59" s="468"/>
      <c r="EMC59" s="468"/>
      <c r="EMD59" s="468"/>
      <c r="EME59" s="468"/>
      <c r="EMF59" s="468"/>
      <c r="EMG59" s="468"/>
      <c r="EMH59" s="468"/>
      <c r="EMI59" s="468"/>
      <c r="EMJ59" s="468"/>
      <c r="EMK59" s="468"/>
      <c r="EML59" s="468"/>
      <c r="EMM59" s="468"/>
      <c r="EMN59" s="468"/>
      <c r="EMO59" s="468"/>
      <c r="EMP59" s="468"/>
      <c r="EMQ59" s="468"/>
      <c r="EMR59" s="468"/>
      <c r="EMS59" s="468"/>
      <c r="EMT59" s="468"/>
      <c r="EMU59" s="468"/>
      <c r="EMV59" s="468"/>
      <c r="EMW59" s="468"/>
      <c r="EMX59" s="468"/>
      <c r="EMY59" s="468"/>
      <c r="EMZ59" s="468"/>
      <c r="ENA59" s="468"/>
      <c r="ENB59" s="468"/>
      <c r="ENC59" s="468"/>
      <c r="END59" s="468"/>
      <c r="ENE59" s="468"/>
      <c r="ENF59" s="468"/>
      <c r="ENG59" s="468"/>
      <c r="ENH59" s="468"/>
      <c r="ENI59" s="468"/>
      <c r="ENJ59" s="468"/>
      <c r="ENK59" s="468"/>
      <c r="ENL59" s="468"/>
      <c r="ENM59" s="468"/>
      <c r="ENN59" s="468"/>
      <c r="ENO59" s="468"/>
      <c r="ENP59" s="468"/>
      <c r="ENQ59" s="468"/>
      <c r="ENR59" s="468"/>
      <c r="ENS59" s="468"/>
      <c r="ENT59" s="468"/>
      <c r="ENU59" s="468"/>
      <c r="ENV59" s="468"/>
      <c r="ENW59" s="468"/>
      <c r="ENX59" s="468"/>
      <c r="ENY59" s="468"/>
      <c r="ENZ59" s="468"/>
      <c r="EOA59" s="468"/>
      <c r="EOB59" s="468"/>
      <c r="EOC59" s="468"/>
      <c r="EOD59" s="468"/>
      <c r="EOE59" s="468"/>
      <c r="EOF59" s="468"/>
      <c r="EOG59" s="468"/>
      <c r="EOH59" s="468"/>
      <c r="EOI59" s="468"/>
      <c r="EOJ59" s="468"/>
      <c r="EOK59" s="468"/>
      <c r="EOL59" s="468"/>
      <c r="EOM59" s="468"/>
      <c r="EON59" s="468"/>
      <c r="EOO59" s="468"/>
      <c r="EOP59" s="468"/>
      <c r="EOQ59" s="468"/>
      <c r="EOR59" s="468"/>
      <c r="EOS59" s="468"/>
      <c r="EOT59" s="468"/>
      <c r="EOU59" s="468"/>
      <c r="EOV59" s="468"/>
      <c r="EOW59" s="468"/>
      <c r="EOX59" s="468"/>
      <c r="EOY59" s="468"/>
      <c r="EOZ59" s="468"/>
      <c r="EPA59" s="468"/>
      <c r="EPB59" s="468"/>
      <c r="EPC59" s="468"/>
      <c r="EPD59" s="468"/>
      <c r="EPE59" s="468"/>
      <c r="EPF59" s="468"/>
      <c r="EPG59" s="468"/>
      <c r="EPH59" s="468"/>
      <c r="EPI59" s="468"/>
      <c r="EPJ59" s="468"/>
      <c r="EPK59" s="468"/>
      <c r="EPL59" s="468"/>
      <c r="EPM59" s="468"/>
      <c r="EPN59" s="468"/>
      <c r="EPO59" s="468"/>
      <c r="EPP59" s="468"/>
      <c r="EPQ59" s="468"/>
      <c r="EPR59" s="468"/>
      <c r="EPS59" s="468"/>
      <c r="EPT59" s="468"/>
      <c r="EPU59" s="468"/>
      <c r="EPV59" s="468"/>
      <c r="EPW59" s="468"/>
      <c r="EPX59" s="468"/>
      <c r="EPY59" s="468"/>
      <c r="EPZ59" s="468"/>
      <c r="EQA59" s="468"/>
      <c r="EQB59" s="468"/>
      <c r="EQC59" s="468"/>
      <c r="EQD59" s="468"/>
      <c r="EQE59" s="468"/>
      <c r="EQF59" s="468"/>
      <c r="EQG59" s="468"/>
      <c r="EQH59" s="468"/>
      <c r="EQI59" s="468"/>
      <c r="EQJ59" s="468"/>
      <c r="EQK59" s="468"/>
      <c r="EQL59" s="468"/>
      <c r="EQM59" s="468"/>
      <c r="EQN59" s="468"/>
      <c r="EQO59" s="468"/>
      <c r="EQP59" s="468"/>
      <c r="EQQ59" s="468"/>
      <c r="EQR59" s="468"/>
      <c r="EQS59" s="468"/>
      <c r="EQT59" s="468"/>
      <c r="EQU59" s="468"/>
      <c r="EQV59" s="468"/>
      <c r="EQW59" s="468"/>
      <c r="EQX59" s="468"/>
      <c r="EQY59" s="468"/>
      <c r="EQZ59" s="468"/>
      <c r="ERA59" s="468"/>
      <c r="ERB59" s="468"/>
      <c r="ERC59" s="468"/>
      <c r="ERD59" s="468"/>
      <c r="ERE59" s="468"/>
      <c r="ERF59" s="468"/>
      <c r="ERG59" s="468"/>
      <c r="ERH59" s="468"/>
      <c r="ERI59" s="468"/>
      <c r="ERJ59" s="468"/>
      <c r="ERK59" s="468"/>
      <c r="ERL59" s="468"/>
      <c r="ERM59" s="468"/>
      <c r="ERN59" s="468"/>
      <c r="ERO59" s="468"/>
      <c r="ERP59" s="468"/>
      <c r="ERQ59" s="468"/>
      <c r="ERR59" s="468"/>
      <c r="ERS59" s="468"/>
      <c r="ERT59" s="468"/>
      <c r="ERU59" s="468"/>
      <c r="ERV59" s="468"/>
      <c r="ERW59" s="468"/>
      <c r="ERX59" s="468"/>
      <c r="ERY59" s="468"/>
      <c r="ERZ59" s="468"/>
      <c r="ESA59" s="468"/>
      <c r="ESB59" s="468"/>
      <c r="ESC59" s="468"/>
      <c r="ESD59" s="468"/>
      <c r="ESE59" s="468"/>
      <c r="ESF59" s="468"/>
      <c r="ESG59" s="468"/>
      <c r="ESH59" s="468"/>
      <c r="ESI59" s="468"/>
      <c r="ESJ59" s="468"/>
      <c r="ESK59" s="468"/>
      <c r="ESL59" s="468"/>
      <c r="ESM59" s="468"/>
      <c r="ESN59" s="468"/>
      <c r="ESO59" s="468"/>
      <c r="ESP59" s="468"/>
      <c r="ESQ59" s="468"/>
      <c r="ESR59" s="468"/>
      <c r="ESS59" s="468"/>
      <c r="EST59" s="468"/>
      <c r="ESU59" s="468"/>
      <c r="ESV59" s="468"/>
      <c r="ESW59" s="468"/>
      <c r="ESX59" s="468"/>
      <c r="ESY59" s="468"/>
      <c r="ESZ59" s="468"/>
      <c r="ETA59" s="468"/>
      <c r="ETB59" s="468"/>
      <c r="ETC59" s="468"/>
      <c r="ETD59" s="468"/>
      <c r="ETE59" s="468"/>
      <c r="ETF59" s="468"/>
      <c r="ETG59" s="468"/>
      <c r="ETH59" s="468"/>
      <c r="ETI59" s="468"/>
      <c r="ETJ59" s="468"/>
      <c r="ETK59" s="468"/>
      <c r="ETL59" s="468"/>
      <c r="ETM59" s="468"/>
      <c r="ETN59" s="468"/>
      <c r="ETO59" s="468"/>
      <c r="ETP59" s="468"/>
      <c r="ETQ59" s="468"/>
      <c r="ETR59" s="468"/>
      <c r="ETS59" s="468"/>
      <c r="ETT59" s="468"/>
      <c r="ETU59" s="468"/>
      <c r="ETV59" s="468"/>
      <c r="ETW59" s="468"/>
      <c r="ETX59" s="468"/>
      <c r="ETY59" s="468"/>
      <c r="ETZ59" s="468"/>
      <c r="EUA59" s="468"/>
      <c r="EUB59" s="468"/>
      <c r="EUC59" s="468"/>
      <c r="EUD59" s="468"/>
      <c r="EUE59" s="468"/>
      <c r="EUF59" s="468"/>
      <c r="EUG59" s="468"/>
      <c r="EUH59" s="468"/>
      <c r="EUI59" s="468"/>
      <c r="EUJ59" s="468"/>
      <c r="EUK59" s="468"/>
      <c r="EUL59" s="468"/>
      <c r="EUM59" s="468"/>
      <c r="EUN59" s="468"/>
      <c r="EUO59" s="468"/>
      <c r="EUP59" s="468"/>
      <c r="EUQ59" s="468"/>
      <c r="EUR59" s="468"/>
      <c r="EUS59" s="468"/>
      <c r="EUT59" s="468"/>
      <c r="EUU59" s="468"/>
      <c r="EUV59" s="468"/>
      <c r="EUW59" s="468"/>
      <c r="EUX59" s="468"/>
      <c r="EUY59" s="468"/>
      <c r="EUZ59" s="468"/>
      <c r="EVA59" s="468"/>
      <c r="EVB59" s="468"/>
      <c r="EVC59" s="468"/>
      <c r="EVD59" s="468"/>
      <c r="EVE59" s="468"/>
      <c r="EVF59" s="468"/>
      <c r="EVG59" s="468"/>
      <c r="EVH59" s="468"/>
      <c r="EVI59" s="468"/>
      <c r="EVJ59" s="468"/>
      <c r="EVK59" s="468"/>
      <c r="EVL59" s="468"/>
      <c r="EVM59" s="468"/>
      <c r="EVN59" s="468"/>
      <c r="EVO59" s="468"/>
      <c r="EVP59" s="468"/>
      <c r="EVQ59" s="468"/>
      <c r="EVR59" s="468"/>
      <c r="EVS59" s="468"/>
      <c r="EVT59" s="468"/>
      <c r="EVU59" s="468"/>
      <c r="EVV59" s="468"/>
      <c r="EVW59" s="468"/>
      <c r="EVX59" s="468"/>
      <c r="EVY59" s="468"/>
      <c r="EVZ59" s="468"/>
      <c r="EWA59" s="468"/>
      <c r="EWB59" s="468"/>
      <c r="EWC59" s="468"/>
      <c r="EWD59" s="468"/>
      <c r="EWE59" s="468"/>
      <c r="EWF59" s="468"/>
      <c r="EWG59" s="468"/>
      <c r="EWH59" s="468"/>
      <c r="EWI59" s="468"/>
      <c r="EWJ59" s="468"/>
      <c r="EWK59" s="468"/>
      <c r="EWL59" s="468"/>
      <c r="EWM59" s="468"/>
      <c r="EWN59" s="468"/>
      <c r="EWO59" s="468"/>
      <c r="EWP59" s="468"/>
      <c r="EWQ59" s="468"/>
      <c r="EWR59" s="468"/>
      <c r="EWS59" s="468"/>
      <c r="EWT59" s="468"/>
      <c r="EWU59" s="468"/>
      <c r="EWV59" s="468"/>
      <c r="EWW59" s="468"/>
      <c r="EWX59" s="468"/>
      <c r="EWY59" s="468"/>
      <c r="EWZ59" s="468"/>
      <c r="EXA59" s="468"/>
      <c r="EXB59" s="468"/>
      <c r="EXC59" s="468"/>
      <c r="EXD59" s="468"/>
      <c r="EXE59" s="468"/>
      <c r="EXF59" s="468"/>
      <c r="EXG59" s="468"/>
      <c r="EXH59" s="468"/>
      <c r="EXI59" s="468"/>
      <c r="EXJ59" s="468"/>
      <c r="EXK59" s="468"/>
      <c r="EXL59" s="468"/>
      <c r="EXM59" s="468"/>
      <c r="EXN59" s="468"/>
      <c r="EXO59" s="468"/>
      <c r="EXP59" s="468"/>
      <c r="EXQ59" s="468"/>
      <c r="EXR59" s="468"/>
      <c r="EXS59" s="468"/>
      <c r="EXT59" s="468"/>
      <c r="EXU59" s="468"/>
      <c r="EXV59" s="468"/>
      <c r="EXW59" s="468"/>
      <c r="EXX59" s="468"/>
      <c r="EXY59" s="468"/>
      <c r="EXZ59" s="468"/>
      <c r="EYA59" s="468"/>
      <c r="EYB59" s="468"/>
      <c r="EYC59" s="468"/>
      <c r="EYD59" s="468"/>
      <c r="EYE59" s="468"/>
      <c r="EYF59" s="468"/>
      <c r="EYG59" s="468"/>
      <c r="EYH59" s="468"/>
      <c r="EYI59" s="468"/>
      <c r="EYJ59" s="468"/>
      <c r="EYK59" s="468"/>
      <c r="EYL59" s="468"/>
      <c r="EYM59" s="468"/>
      <c r="EYN59" s="468"/>
      <c r="EYO59" s="468"/>
      <c r="EYP59" s="468"/>
      <c r="EYQ59" s="468"/>
      <c r="EYR59" s="468"/>
      <c r="EYS59" s="468"/>
      <c r="EYT59" s="468"/>
      <c r="EYU59" s="468"/>
      <c r="EYV59" s="468"/>
      <c r="EYW59" s="468"/>
      <c r="EYX59" s="468"/>
      <c r="EYY59" s="468"/>
      <c r="EYZ59" s="468"/>
      <c r="EZA59" s="468"/>
      <c r="EZB59" s="468"/>
      <c r="EZC59" s="468"/>
      <c r="EZD59" s="468"/>
      <c r="EZE59" s="468"/>
      <c r="EZF59" s="468"/>
      <c r="EZG59" s="468"/>
      <c r="EZH59" s="468"/>
      <c r="EZI59" s="468"/>
      <c r="EZJ59" s="468"/>
      <c r="EZK59" s="468"/>
      <c r="EZL59" s="468"/>
      <c r="EZM59" s="468"/>
      <c r="EZN59" s="468"/>
      <c r="EZO59" s="468"/>
      <c r="EZP59" s="468"/>
      <c r="EZQ59" s="468"/>
      <c r="EZR59" s="468"/>
      <c r="EZS59" s="468"/>
      <c r="EZT59" s="468"/>
      <c r="EZU59" s="468"/>
      <c r="EZV59" s="468"/>
      <c r="EZW59" s="468"/>
      <c r="EZX59" s="468"/>
      <c r="EZY59" s="468"/>
      <c r="EZZ59" s="468"/>
      <c r="FAA59" s="468"/>
      <c r="FAB59" s="468"/>
      <c r="FAC59" s="468"/>
      <c r="FAD59" s="468"/>
      <c r="FAE59" s="468"/>
      <c r="FAF59" s="468"/>
      <c r="FAG59" s="468"/>
      <c r="FAH59" s="468"/>
      <c r="FAI59" s="468"/>
      <c r="FAJ59" s="468"/>
      <c r="FAK59" s="468"/>
      <c r="FAL59" s="468"/>
      <c r="FAM59" s="468"/>
      <c r="FAN59" s="468"/>
      <c r="FAO59" s="468"/>
      <c r="FAP59" s="468"/>
      <c r="FAQ59" s="468"/>
      <c r="FAR59" s="468"/>
      <c r="FAS59" s="468"/>
      <c r="FAT59" s="468"/>
      <c r="FAU59" s="468"/>
      <c r="FAV59" s="468"/>
      <c r="FAW59" s="468"/>
      <c r="FAX59" s="468"/>
      <c r="FAY59" s="468"/>
      <c r="FAZ59" s="468"/>
      <c r="FBA59" s="468"/>
      <c r="FBB59" s="468"/>
      <c r="FBC59" s="468"/>
      <c r="FBD59" s="468"/>
      <c r="FBE59" s="468"/>
      <c r="FBF59" s="468"/>
      <c r="FBG59" s="468"/>
      <c r="FBH59" s="468"/>
      <c r="FBI59" s="468"/>
      <c r="FBJ59" s="468"/>
      <c r="FBK59" s="468"/>
      <c r="FBL59" s="468"/>
      <c r="FBM59" s="468"/>
      <c r="FBN59" s="468"/>
      <c r="FBO59" s="468"/>
      <c r="FBP59" s="468"/>
      <c r="FBQ59" s="468"/>
      <c r="FBR59" s="468"/>
      <c r="FBS59" s="468"/>
      <c r="FBT59" s="468"/>
      <c r="FBU59" s="468"/>
      <c r="FBV59" s="468"/>
      <c r="FBW59" s="468"/>
      <c r="FBX59" s="468"/>
      <c r="FBY59" s="468"/>
      <c r="FBZ59" s="468"/>
      <c r="FCA59" s="468"/>
      <c r="FCB59" s="468"/>
      <c r="FCC59" s="468"/>
      <c r="FCD59" s="468"/>
      <c r="FCE59" s="468"/>
      <c r="FCF59" s="468"/>
      <c r="FCG59" s="468"/>
      <c r="FCH59" s="468"/>
      <c r="FCI59" s="468"/>
      <c r="FCJ59" s="468"/>
      <c r="FCK59" s="468"/>
      <c r="FCL59" s="468"/>
      <c r="FCM59" s="468"/>
      <c r="FCN59" s="468"/>
      <c r="FCO59" s="468"/>
      <c r="FCP59" s="468"/>
      <c r="FCQ59" s="468"/>
      <c r="FCR59" s="468"/>
      <c r="FCS59" s="468"/>
      <c r="FCT59" s="468"/>
      <c r="FCU59" s="468"/>
      <c r="FCV59" s="468"/>
      <c r="FCW59" s="468"/>
      <c r="FCX59" s="468"/>
      <c r="FCY59" s="468"/>
      <c r="FCZ59" s="468"/>
      <c r="FDA59" s="468"/>
      <c r="FDB59" s="468"/>
      <c r="FDC59" s="468"/>
      <c r="FDD59" s="468"/>
      <c r="FDE59" s="468"/>
      <c r="FDF59" s="468"/>
      <c r="FDG59" s="468"/>
      <c r="FDH59" s="468"/>
      <c r="FDI59" s="468"/>
      <c r="FDJ59" s="468"/>
      <c r="FDK59" s="468"/>
      <c r="FDL59" s="468"/>
      <c r="FDM59" s="468"/>
      <c r="FDN59" s="468"/>
      <c r="FDO59" s="468"/>
      <c r="FDP59" s="468"/>
      <c r="FDQ59" s="468"/>
      <c r="FDR59" s="468"/>
      <c r="FDS59" s="468"/>
      <c r="FDT59" s="468"/>
      <c r="FDU59" s="468"/>
      <c r="FDV59" s="468"/>
      <c r="FDW59" s="468"/>
      <c r="FDX59" s="468"/>
      <c r="FDY59" s="468"/>
      <c r="FDZ59" s="468"/>
      <c r="FEA59" s="468"/>
      <c r="FEB59" s="468"/>
      <c r="FEC59" s="468"/>
      <c r="FED59" s="468"/>
      <c r="FEE59" s="468"/>
      <c r="FEF59" s="468"/>
      <c r="FEG59" s="468"/>
      <c r="FEH59" s="468"/>
      <c r="FEI59" s="468"/>
      <c r="FEJ59" s="468"/>
      <c r="FEK59" s="468"/>
      <c r="FEL59" s="468"/>
      <c r="FEM59" s="468"/>
      <c r="FEN59" s="468"/>
      <c r="FEO59" s="468"/>
      <c r="FEP59" s="468"/>
      <c r="FEQ59" s="468"/>
      <c r="FER59" s="468"/>
      <c r="FES59" s="468"/>
      <c r="FET59" s="468"/>
      <c r="FEU59" s="468"/>
      <c r="FEV59" s="468"/>
      <c r="FEW59" s="468"/>
      <c r="FEX59" s="468"/>
      <c r="FEY59" s="468"/>
      <c r="FEZ59" s="468"/>
      <c r="FFA59" s="468"/>
      <c r="FFB59" s="468"/>
      <c r="FFC59" s="468"/>
      <c r="FFD59" s="468"/>
      <c r="FFE59" s="468"/>
      <c r="FFF59" s="468"/>
      <c r="FFG59" s="468"/>
      <c r="FFH59" s="468"/>
      <c r="FFI59" s="468"/>
      <c r="FFJ59" s="468"/>
      <c r="FFK59" s="468"/>
      <c r="FFL59" s="468"/>
      <c r="FFM59" s="468"/>
      <c r="FFN59" s="468"/>
      <c r="FFO59" s="468"/>
      <c r="FFP59" s="468"/>
      <c r="FFQ59" s="468"/>
      <c r="FFR59" s="468"/>
      <c r="FFS59" s="468"/>
      <c r="FFT59" s="468"/>
      <c r="FFU59" s="468"/>
      <c r="FFV59" s="468"/>
      <c r="FFW59" s="468"/>
      <c r="FFX59" s="468"/>
      <c r="FFY59" s="468"/>
      <c r="FFZ59" s="468"/>
      <c r="FGA59" s="468"/>
      <c r="FGB59" s="468"/>
      <c r="FGC59" s="468"/>
      <c r="FGD59" s="468"/>
      <c r="FGE59" s="468"/>
      <c r="FGF59" s="468"/>
      <c r="FGG59" s="468"/>
      <c r="FGH59" s="468"/>
      <c r="FGI59" s="468"/>
      <c r="FGJ59" s="468"/>
      <c r="FGK59" s="468"/>
      <c r="FGL59" s="468"/>
      <c r="FGM59" s="468"/>
      <c r="FGN59" s="468"/>
      <c r="FGO59" s="468"/>
      <c r="FGP59" s="468"/>
      <c r="FGQ59" s="468"/>
      <c r="FGR59" s="468"/>
      <c r="FGS59" s="468"/>
      <c r="FGT59" s="468"/>
      <c r="FGU59" s="468"/>
      <c r="FGV59" s="468"/>
      <c r="FGW59" s="468"/>
      <c r="FGX59" s="468"/>
      <c r="FGY59" s="468"/>
      <c r="FGZ59" s="468"/>
      <c r="FHA59" s="468"/>
      <c r="FHB59" s="468"/>
      <c r="FHC59" s="468"/>
      <c r="FHD59" s="468"/>
      <c r="FHE59" s="468"/>
      <c r="FHF59" s="468"/>
      <c r="FHG59" s="468"/>
      <c r="FHH59" s="468"/>
      <c r="FHI59" s="468"/>
      <c r="FHJ59" s="468"/>
      <c r="FHK59" s="468"/>
      <c r="FHL59" s="468"/>
      <c r="FHM59" s="468"/>
      <c r="FHN59" s="468"/>
      <c r="FHO59" s="468"/>
      <c r="FHP59" s="468"/>
      <c r="FHQ59" s="468"/>
      <c r="FHR59" s="468"/>
      <c r="FHS59" s="468"/>
      <c r="FHT59" s="468"/>
      <c r="FHU59" s="468"/>
      <c r="FHV59" s="468"/>
      <c r="FHW59" s="468"/>
      <c r="FHX59" s="468"/>
      <c r="FHY59" s="468"/>
      <c r="FHZ59" s="468"/>
      <c r="FIA59" s="468"/>
      <c r="FIB59" s="468"/>
      <c r="FIC59" s="468"/>
      <c r="FID59" s="468"/>
      <c r="FIE59" s="468"/>
      <c r="FIF59" s="468"/>
      <c r="FIG59" s="468"/>
      <c r="FIH59" s="468"/>
      <c r="FII59" s="468"/>
      <c r="FIJ59" s="468"/>
      <c r="FIK59" s="468"/>
      <c r="FIL59" s="468"/>
      <c r="FIM59" s="468"/>
      <c r="FIN59" s="468"/>
      <c r="FIO59" s="468"/>
      <c r="FIP59" s="468"/>
      <c r="FIQ59" s="468"/>
      <c r="FIR59" s="468"/>
      <c r="FIS59" s="468"/>
      <c r="FIT59" s="468"/>
      <c r="FIU59" s="468"/>
      <c r="FIV59" s="468"/>
      <c r="FIW59" s="468"/>
      <c r="FIX59" s="468"/>
      <c r="FIY59" s="468"/>
      <c r="FIZ59" s="468"/>
      <c r="FJA59" s="468"/>
      <c r="FJB59" s="468"/>
      <c r="FJC59" s="468"/>
      <c r="FJD59" s="468"/>
      <c r="FJE59" s="468"/>
      <c r="FJF59" s="468"/>
      <c r="FJG59" s="468"/>
      <c r="FJH59" s="468"/>
      <c r="FJI59" s="468"/>
      <c r="FJJ59" s="468"/>
      <c r="FJK59" s="468"/>
      <c r="FJL59" s="468"/>
      <c r="FJM59" s="468"/>
      <c r="FJN59" s="468"/>
      <c r="FJO59" s="468"/>
      <c r="FJP59" s="468"/>
      <c r="FJQ59" s="468"/>
      <c r="FJR59" s="468"/>
      <c r="FJS59" s="468"/>
      <c r="FJT59" s="468"/>
      <c r="FJU59" s="468"/>
      <c r="FJV59" s="468"/>
      <c r="FJW59" s="468"/>
      <c r="FJX59" s="468"/>
      <c r="FJY59" s="468"/>
      <c r="FJZ59" s="468"/>
      <c r="FKA59" s="468"/>
      <c r="FKB59" s="468"/>
      <c r="FKC59" s="468"/>
      <c r="FKD59" s="468"/>
      <c r="FKE59" s="468"/>
      <c r="FKF59" s="468"/>
      <c r="FKG59" s="468"/>
      <c r="FKH59" s="468"/>
      <c r="FKI59" s="468"/>
      <c r="FKJ59" s="468"/>
      <c r="FKK59" s="468"/>
      <c r="FKL59" s="468"/>
      <c r="FKM59" s="468"/>
      <c r="FKN59" s="468"/>
      <c r="FKO59" s="468"/>
      <c r="FKP59" s="468"/>
      <c r="FKQ59" s="468"/>
      <c r="FKR59" s="468"/>
      <c r="FKS59" s="468"/>
      <c r="FKT59" s="468"/>
      <c r="FKU59" s="468"/>
      <c r="FKV59" s="468"/>
      <c r="FKW59" s="468"/>
      <c r="FKX59" s="468"/>
      <c r="FKY59" s="468"/>
      <c r="FKZ59" s="468"/>
      <c r="FLA59" s="468"/>
      <c r="FLB59" s="468"/>
      <c r="FLC59" s="468"/>
      <c r="FLD59" s="468"/>
      <c r="FLE59" s="468"/>
      <c r="FLF59" s="468"/>
      <c r="FLG59" s="468"/>
      <c r="FLH59" s="468"/>
      <c r="FLI59" s="468"/>
      <c r="FLJ59" s="468"/>
      <c r="FLK59" s="468"/>
      <c r="FLL59" s="468"/>
      <c r="FLM59" s="468"/>
      <c r="FLN59" s="468"/>
      <c r="FLO59" s="468"/>
      <c r="FLP59" s="468"/>
      <c r="FLQ59" s="468"/>
      <c r="FLR59" s="468"/>
      <c r="FLS59" s="468"/>
      <c r="FLT59" s="468"/>
      <c r="FLU59" s="468"/>
      <c r="FLV59" s="468"/>
      <c r="FLW59" s="468"/>
      <c r="FLX59" s="468"/>
      <c r="FLY59" s="468"/>
      <c r="FLZ59" s="468"/>
      <c r="FMA59" s="468"/>
      <c r="FMB59" s="468"/>
      <c r="FMC59" s="468"/>
      <c r="FMD59" s="468"/>
      <c r="FME59" s="468"/>
      <c r="FMF59" s="468"/>
      <c r="FMG59" s="468"/>
      <c r="FMH59" s="468"/>
      <c r="FMI59" s="468"/>
      <c r="FMJ59" s="468"/>
      <c r="FMK59" s="468"/>
      <c r="FML59" s="468"/>
      <c r="FMM59" s="468"/>
      <c r="FMN59" s="468"/>
      <c r="FMO59" s="468"/>
      <c r="FMP59" s="468"/>
      <c r="FMQ59" s="468"/>
      <c r="FMR59" s="468"/>
      <c r="FMS59" s="468"/>
      <c r="FMT59" s="468"/>
      <c r="FMU59" s="468"/>
      <c r="FMV59" s="468"/>
      <c r="FMW59" s="468"/>
      <c r="FMX59" s="468"/>
      <c r="FMY59" s="468"/>
      <c r="FMZ59" s="468"/>
      <c r="FNA59" s="468"/>
      <c r="FNB59" s="468"/>
      <c r="FNC59" s="468"/>
      <c r="FND59" s="468"/>
      <c r="FNE59" s="468"/>
      <c r="FNF59" s="468"/>
      <c r="FNG59" s="468"/>
      <c r="FNH59" s="468"/>
      <c r="FNI59" s="468"/>
      <c r="FNJ59" s="468"/>
      <c r="FNK59" s="468"/>
      <c r="FNL59" s="468"/>
      <c r="FNM59" s="468"/>
      <c r="FNN59" s="468"/>
      <c r="FNO59" s="468"/>
      <c r="FNP59" s="468"/>
      <c r="FNQ59" s="468"/>
      <c r="FNR59" s="468"/>
      <c r="FNS59" s="468"/>
      <c r="FNT59" s="468"/>
      <c r="FNU59" s="468"/>
      <c r="FNV59" s="468"/>
      <c r="FNW59" s="468"/>
      <c r="FNX59" s="468"/>
      <c r="FNY59" s="468"/>
      <c r="FNZ59" s="468"/>
      <c r="FOA59" s="468"/>
      <c r="FOB59" s="468"/>
      <c r="FOC59" s="468"/>
      <c r="FOD59" s="468"/>
      <c r="FOE59" s="468"/>
      <c r="FOF59" s="468"/>
      <c r="FOG59" s="468"/>
      <c r="FOH59" s="468"/>
      <c r="FOI59" s="468"/>
      <c r="FOJ59" s="468"/>
      <c r="FOK59" s="468"/>
      <c r="FOL59" s="468"/>
      <c r="FOM59" s="468"/>
      <c r="FON59" s="468"/>
      <c r="FOO59" s="468"/>
      <c r="FOP59" s="468"/>
      <c r="FOQ59" s="468"/>
      <c r="FOR59" s="468"/>
      <c r="FOS59" s="468"/>
      <c r="FOT59" s="468"/>
      <c r="FOU59" s="468"/>
      <c r="FOV59" s="468"/>
      <c r="FOW59" s="468"/>
      <c r="FOX59" s="468"/>
      <c r="FOY59" s="468"/>
      <c r="FOZ59" s="468"/>
      <c r="FPA59" s="468"/>
      <c r="FPB59" s="468"/>
      <c r="FPC59" s="468"/>
      <c r="FPD59" s="468"/>
      <c r="FPE59" s="468"/>
      <c r="FPF59" s="468"/>
      <c r="FPG59" s="468"/>
      <c r="FPH59" s="468"/>
      <c r="FPI59" s="468"/>
      <c r="FPJ59" s="468"/>
      <c r="FPK59" s="468"/>
      <c r="FPL59" s="468"/>
      <c r="FPM59" s="468"/>
      <c r="FPN59" s="468"/>
      <c r="FPO59" s="468"/>
      <c r="FPP59" s="468"/>
      <c r="FPQ59" s="468"/>
      <c r="FPR59" s="468"/>
      <c r="FPS59" s="468"/>
      <c r="FPT59" s="468"/>
      <c r="FPU59" s="468"/>
      <c r="FPV59" s="468"/>
      <c r="FPW59" s="468"/>
      <c r="FPX59" s="468"/>
      <c r="FPY59" s="468"/>
      <c r="FPZ59" s="468"/>
      <c r="FQA59" s="468"/>
      <c r="FQB59" s="468"/>
      <c r="FQC59" s="468"/>
      <c r="FQD59" s="468"/>
      <c r="FQE59" s="468"/>
      <c r="FQF59" s="468"/>
      <c r="FQG59" s="468"/>
      <c r="FQH59" s="468"/>
      <c r="FQI59" s="468"/>
      <c r="FQJ59" s="468"/>
      <c r="FQK59" s="468"/>
      <c r="FQL59" s="468"/>
      <c r="FQM59" s="468"/>
      <c r="FQN59" s="468"/>
      <c r="FQO59" s="468"/>
      <c r="FQP59" s="468"/>
      <c r="FQQ59" s="468"/>
      <c r="FQR59" s="468"/>
      <c r="FQS59" s="468"/>
      <c r="FQT59" s="468"/>
      <c r="FQU59" s="468"/>
      <c r="FQV59" s="468"/>
      <c r="FQW59" s="468"/>
      <c r="FQX59" s="468"/>
      <c r="FQY59" s="468"/>
      <c r="FQZ59" s="468"/>
      <c r="FRA59" s="468"/>
      <c r="FRB59" s="468"/>
      <c r="FRC59" s="468"/>
      <c r="FRD59" s="468"/>
      <c r="FRE59" s="468"/>
      <c r="FRF59" s="468"/>
      <c r="FRG59" s="468"/>
      <c r="FRH59" s="468"/>
      <c r="FRI59" s="468"/>
      <c r="FRJ59" s="468"/>
      <c r="FRK59" s="468"/>
      <c r="FRL59" s="468"/>
      <c r="FRM59" s="468"/>
      <c r="FRN59" s="468"/>
      <c r="FRO59" s="468"/>
      <c r="FRP59" s="468"/>
      <c r="FRQ59" s="468"/>
      <c r="FRR59" s="468"/>
      <c r="FRS59" s="468"/>
      <c r="FRT59" s="468"/>
      <c r="FRU59" s="468"/>
      <c r="FRV59" s="468"/>
      <c r="FRW59" s="468"/>
      <c r="FRX59" s="468"/>
      <c r="FRY59" s="468"/>
      <c r="FRZ59" s="468"/>
      <c r="FSA59" s="468"/>
      <c r="FSB59" s="468"/>
      <c r="FSC59" s="468"/>
      <c r="FSD59" s="468"/>
      <c r="FSE59" s="468"/>
      <c r="FSF59" s="468"/>
      <c r="FSG59" s="468"/>
      <c r="FSH59" s="468"/>
      <c r="FSI59" s="468"/>
      <c r="FSJ59" s="468"/>
      <c r="FSK59" s="468"/>
      <c r="FSL59" s="468"/>
      <c r="FSM59" s="468"/>
      <c r="FSN59" s="468"/>
      <c r="FSO59" s="468"/>
      <c r="FSP59" s="468"/>
      <c r="FSQ59" s="468"/>
      <c r="FSR59" s="468"/>
      <c r="FSS59" s="468"/>
      <c r="FST59" s="468"/>
      <c r="FSU59" s="468"/>
      <c r="FSV59" s="468"/>
      <c r="FSW59" s="468"/>
      <c r="FSX59" s="468"/>
      <c r="FSY59" s="468"/>
      <c r="FSZ59" s="468"/>
      <c r="FTA59" s="468"/>
      <c r="FTB59" s="468"/>
      <c r="FTC59" s="468"/>
      <c r="FTD59" s="468"/>
      <c r="FTE59" s="468"/>
      <c r="FTF59" s="468"/>
      <c r="FTG59" s="468"/>
      <c r="FTH59" s="468"/>
      <c r="FTI59" s="468"/>
      <c r="FTJ59" s="468"/>
      <c r="FTK59" s="468"/>
      <c r="FTL59" s="468"/>
      <c r="FTM59" s="468"/>
      <c r="FTN59" s="468"/>
      <c r="FTO59" s="468"/>
      <c r="FTP59" s="468"/>
      <c r="FTQ59" s="468"/>
      <c r="FTR59" s="468"/>
      <c r="FTS59" s="468"/>
      <c r="FTT59" s="468"/>
      <c r="FTU59" s="468"/>
      <c r="FTV59" s="468"/>
      <c r="FTW59" s="468"/>
      <c r="FTX59" s="468"/>
      <c r="FTY59" s="468"/>
      <c r="FTZ59" s="468"/>
      <c r="FUA59" s="468"/>
      <c r="FUB59" s="468"/>
      <c r="FUC59" s="468"/>
      <c r="FUD59" s="468"/>
      <c r="FUE59" s="468"/>
      <c r="FUF59" s="468"/>
      <c r="FUG59" s="468"/>
      <c r="FUH59" s="468"/>
      <c r="FUI59" s="468"/>
      <c r="FUJ59" s="468"/>
      <c r="FUK59" s="468"/>
      <c r="FUL59" s="468"/>
      <c r="FUM59" s="468"/>
      <c r="FUN59" s="468"/>
      <c r="FUO59" s="468"/>
      <c r="FUP59" s="468"/>
      <c r="FUQ59" s="468"/>
      <c r="FUR59" s="468"/>
      <c r="FUS59" s="468"/>
      <c r="FUT59" s="468"/>
      <c r="FUU59" s="468"/>
      <c r="FUV59" s="468"/>
      <c r="FUW59" s="468"/>
      <c r="FUX59" s="468"/>
      <c r="FUY59" s="468"/>
      <c r="FUZ59" s="468"/>
      <c r="FVA59" s="468"/>
      <c r="FVB59" s="468"/>
      <c r="FVC59" s="468"/>
      <c r="FVD59" s="468"/>
      <c r="FVE59" s="468"/>
      <c r="FVF59" s="468"/>
      <c r="FVG59" s="468"/>
      <c r="FVH59" s="468"/>
      <c r="FVI59" s="468"/>
      <c r="FVJ59" s="468"/>
      <c r="FVK59" s="468"/>
      <c r="FVL59" s="468"/>
      <c r="FVM59" s="468"/>
      <c r="FVN59" s="468"/>
      <c r="FVO59" s="468"/>
      <c r="FVP59" s="468"/>
      <c r="FVQ59" s="468"/>
      <c r="FVR59" s="468"/>
      <c r="FVS59" s="468"/>
      <c r="FVT59" s="468"/>
      <c r="FVU59" s="468"/>
      <c r="FVV59" s="468"/>
      <c r="FVW59" s="468"/>
      <c r="FVX59" s="468"/>
      <c r="FVY59" s="468"/>
      <c r="FVZ59" s="468"/>
      <c r="FWA59" s="468"/>
      <c r="FWB59" s="468"/>
      <c r="FWC59" s="468"/>
      <c r="FWD59" s="468"/>
      <c r="FWE59" s="468"/>
      <c r="FWF59" s="468"/>
      <c r="FWG59" s="468"/>
      <c r="FWH59" s="468"/>
      <c r="FWI59" s="468"/>
      <c r="FWJ59" s="468"/>
      <c r="FWK59" s="468"/>
      <c r="FWL59" s="468"/>
      <c r="FWM59" s="468"/>
      <c r="FWN59" s="468"/>
      <c r="FWO59" s="468"/>
      <c r="FWP59" s="468"/>
      <c r="FWQ59" s="468"/>
      <c r="FWR59" s="468"/>
      <c r="FWS59" s="468"/>
      <c r="FWT59" s="468"/>
      <c r="FWU59" s="468"/>
      <c r="FWV59" s="468"/>
      <c r="FWW59" s="468"/>
      <c r="FWX59" s="468"/>
      <c r="FWY59" s="468"/>
      <c r="FWZ59" s="468"/>
      <c r="FXA59" s="468"/>
      <c r="FXB59" s="468"/>
      <c r="FXC59" s="468"/>
      <c r="FXD59" s="468"/>
      <c r="FXE59" s="468"/>
      <c r="FXF59" s="468"/>
      <c r="FXG59" s="468"/>
      <c r="FXH59" s="468"/>
      <c r="FXI59" s="468"/>
      <c r="FXJ59" s="468"/>
      <c r="FXK59" s="468"/>
      <c r="FXL59" s="468"/>
      <c r="FXM59" s="468"/>
      <c r="FXN59" s="468"/>
      <c r="FXO59" s="468"/>
      <c r="FXP59" s="468"/>
      <c r="FXQ59" s="468"/>
      <c r="FXR59" s="468"/>
      <c r="FXS59" s="468"/>
      <c r="FXT59" s="468"/>
      <c r="FXU59" s="468"/>
      <c r="FXV59" s="468"/>
      <c r="FXW59" s="468"/>
      <c r="FXX59" s="468"/>
      <c r="FXY59" s="468"/>
      <c r="FXZ59" s="468"/>
      <c r="FYA59" s="468"/>
      <c r="FYB59" s="468"/>
      <c r="FYC59" s="468"/>
      <c r="FYD59" s="468"/>
      <c r="FYE59" s="468"/>
      <c r="FYF59" s="468"/>
      <c r="FYG59" s="468"/>
      <c r="FYH59" s="468"/>
      <c r="FYI59" s="468"/>
      <c r="FYJ59" s="468"/>
      <c r="FYK59" s="468"/>
      <c r="FYL59" s="468"/>
      <c r="FYM59" s="468"/>
      <c r="FYN59" s="468"/>
      <c r="FYO59" s="468"/>
      <c r="FYP59" s="468"/>
      <c r="FYQ59" s="468"/>
      <c r="FYR59" s="468"/>
      <c r="FYS59" s="468"/>
      <c r="FYT59" s="468"/>
      <c r="FYU59" s="468"/>
      <c r="FYV59" s="468"/>
      <c r="FYW59" s="468"/>
      <c r="FYX59" s="468"/>
      <c r="FYY59" s="468"/>
      <c r="FYZ59" s="468"/>
      <c r="FZA59" s="468"/>
      <c r="FZB59" s="468"/>
      <c r="FZC59" s="468"/>
      <c r="FZD59" s="468"/>
      <c r="FZE59" s="468"/>
      <c r="FZF59" s="468"/>
      <c r="FZG59" s="468"/>
      <c r="FZH59" s="468"/>
      <c r="FZI59" s="468"/>
      <c r="FZJ59" s="468"/>
      <c r="FZK59" s="468"/>
      <c r="FZL59" s="468"/>
      <c r="FZM59" s="468"/>
      <c r="FZN59" s="468"/>
      <c r="FZO59" s="468"/>
      <c r="FZP59" s="468"/>
      <c r="FZQ59" s="468"/>
      <c r="FZR59" s="468"/>
      <c r="FZS59" s="468"/>
      <c r="FZT59" s="468"/>
      <c r="FZU59" s="468"/>
      <c r="FZV59" s="468"/>
      <c r="FZW59" s="468"/>
      <c r="FZX59" s="468"/>
      <c r="FZY59" s="468"/>
      <c r="FZZ59" s="468"/>
      <c r="GAA59" s="468"/>
      <c r="GAB59" s="468"/>
      <c r="GAC59" s="468"/>
      <c r="GAD59" s="468"/>
      <c r="GAE59" s="468"/>
      <c r="GAF59" s="468"/>
      <c r="GAG59" s="468"/>
      <c r="GAH59" s="468"/>
      <c r="GAI59" s="468"/>
      <c r="GAJ59" s="468"/>
      <c r="GAK59" s="468"/>
      <c r="GAL59" s="468"/>
      <c r="GAM59" s="468"/>
      <c r="GAN59" s="468"/>
      <c r="GAO59" s="468"/>
      <c r="GAP59" s="468"/>
      <c r="GAQ59" s="468"/>
      <c r="GAR59" s="468"/>
      <c r="GAS59" s="468"/>
      <c r="GAT59" s="468"/>
      <c r="GAU59" s="468"/>
      <c r="GAV59" s="468"/>
      <c r="GAW59" s="468"/>
      <c r="GAX59" s="468"/>
      <c r="GAY59" s="468"/>
      <c r="GAZ59" s="468"/>
      <c r="GBA59" s="468"/>
      <c r="GBB59" s="468"/>
      <c r="GBC59" s="468"/>
      <c r="GBD59" s="468"/>
      <c r="GBE59" s="468"/>
      <c r="GBF59" s="468"/>
      <c r="GBG59" s="468"/>
      <c r="GBH59" s="468"/>
      <c r="GBI59" s="468"/>
      <c r="GBJ59" s="468"/>
      <c r="GBK59" s="468"/>
      <c r="GBL59" s="468"/>
      <c r="GBM59" s="468"/>
      <c r="GBN59" s="468"/>
      <c r="GBO59" s="468"/>
      <c r="GBP59" s="468"/>
      <c r="GBQ59" s="468"/>
      <c r="GBR59" s="468"/>
      <c r="GBS59" s="468"/>
      <c r="GBT59" s="468"/>
      <c r="GBU59" s="468"/>
      <c r="GBV59" s="468"/>
      <c r="GBW59" s="468"/>
      <c r="GBX59" s="468"/>
      <c r="GBY59" s="468"/>
      <c r="GBZ59" s="468"/>
      <c r="GCA59" s="468"/>
      <c r="GCB59" s="468"/>
      <c r="GCC59" s="468"/>
      <c r="GCD59" s="468"/>
      <c r="GCE59" s="468"/>
      <c r="GCF59" s="468"/>
      <c r="GCG59" s="468"/>
      <c r="GCH59" s="468"/>
      <c r="GCI59" s="468"/>
      <c r="GCJ59" s="468"/>
      <c r="GCK59" s="468"/>
      <c r="GCL59" s="468"/>
      <c r="GCM59" s="468"/>
      <c r="GCN59" s="468"/>
      <c r="GCO59" s="468"/>
      <c r="GCP59" s="468"/>
      <c r="GCQ59" s="468"/>
      <c r="GCR59" s="468"/>
      <c r="GCS59" s="468"/>
      <c r="GCT59" s="468"/>
      <c r="GCU59" s="468"/>
      <c r="GCV59" s="468"/>
      <c r="GCW59" s="468"/>
      <c r="GCX59" s="468"/>
      <c r="GCY59" s="468"/>
      <c r="GCZ59" s="468"/>
      <c r="GDA59" s="468"/>
      <c r="GDB59" s="468"/>
      <c r="GDC59" s="468"/>
      <c r="GDD59" s="468"/>
      <c r="GDE59" s="468"/>
      <c r="GDF59" s="468"/>
      <c r="GDG59" s="468"/>
      <c r="GDH59" s="468"/>
      <c r="GDI59" s="468"/>
      <c r="GDJ59" s="468"/>
      <c r="GDK59" s="468"/>
      <c r="GDL59" s="468"/>
      <c r="GDM59" s="468"/>
      <c r="GDN59" s="468"/>
      <c r="GDO59" s="468"/>
      <c r="GDP59" s="468"/>
      <c r="GDQ59" s="468"/>
      <c r="GDR59" s="468"/>
      <c r="GDS59" s="468"/>
      <c r="GDT59" s="468"/>
      <c r="GDU59" s="468"/>
      <c r="GDV59" s="468"/>
      <c r="GDW59" s="468"/>
      <c r="GDX59" s="468"/>
      <c r="GDY59" s="468"/>
      <c r="GDZ59" s="468"/>
      <c r="GEA59" s="468"/>
      <c r="GEB59" s="468"/>
      <c r="GEC59" s="468"/>
      <c r="GED59" s="468"/>
      <c r="GEE59" s="468"/>
      <c r="GEF59" s="468"/>
      <c r="GEG59" s="468"/>
      <c r="GEH59" s="468"/>
      <c r="GEI59" s="468"/>
      <c r="GEJ59" s="468"/>
      <c r="GEK59" s="468"/>
      <c r="GEL59" s="468"/>
      <c r="GEM59" s="468"/>
      <c r="GEN59" s="468"/>
      <c r="GEO59" s="468"/>
      <c r="GEP59" s="468"/>
      <c r="GEQ59" s="468"/>
      <c r="GER59" s="468"/>
      <c r="GES59" s="468"/>
      <c r="GET59" s="468"/>
      <c r="GEU59" s="468"/>
      <c r="GEV59" s="468"/>
      <c r="GEW59" s="468"/>
      <c r="GEX59" s="468"/>
      <c r="GEY59" s="468"/>
      <c r="GEZ59" s="468"/>
      <c r="GFA59" s="468"/>
      <c r="GFB59" s="468"/>
      <c r="GFC59" s="468"/>
      <c r="GFD59" s="468"/>
      <c r="GFE59" s="468"/>
      <c r="GFF59" s="468"/>
      <c r="GFG59" s="468"/>
      <c r="GFH59" s="468"/>
      <c r="GFI59" s="468"/>
      <c r="GFJ59" s="468"/>
      <c r="GFK59" s="468"/>
      <c r="GFL59" s="468"/>
      <c r="GFM59" s="468"/>
      <c r="GFN59" s="468"/>
      <c r="GFO59" s="468"/>
      <c r="GFP59" s="468"/>
      <c r="GFQ59" s="468"/>
      <c r="GFR59" s="468"/>
      <c r="GFS59" s="468"/>
      <c r="GFT59" s="468"/>
      <c r="GFU59" s="468"/>
      <c r="GFV59" s="468"/>
      <c r="GFW59" s="468"/>
      <c r="GFX59" s="468"/>
      <c r="GFY59" s="468"/>
      <c r="GFZ59" s="468"/>
      <c r="GGA59" s="468"/>
      <c r="GGB59" s="468"/>
      <c r="GGC59" s="468"/>
      <c r="GGD59" s="468"/>
      <c r="GGE59" s="468"/>
      <c r="GGF59" s="468"/>
      <c r="GGG59" s="468"/>
      <c r="GGH59" s="468"/>
      <c r="GGI59" s="468"/>
      <c r="GGJ59" s="468"/>
      <c r="GGK59" s="468"/>
      <c r="GGL59" s="468"/>
      <c r="GGM59" s="468"/>
      <c r="GGN59" s="468"/>
      <c r="GGO59" s="468"/>
      <c r="GGP59" s="468"/>
      <c r="GGQ59" s="468"/>
      <c r="GGR59" s="468"/>
      <c r="GGS59" s="468"/>
      <c r="GGT59" s="468"/>
      <c r="GGU59" s="468"/>
      <c r="GGV59" s="468"/>
      <c r="GGW59" s="468"/>
      <c r="GGX59" s="468"/>
      <c r="GGY59" s="468"/>
      <c r="GGZ59" s="468"/>
      <c r="GHA59" s="468"/>
      <c r="GHB59" s="468"/>
      <c r="GHC59" s="468"/>
      <c r="GHD59" s="468"/>
      <c r="GHE59" s="468"/>
      <c r="GHF59" s="468"/>
      <c r="GHG59" s="468"/>
      <c r="GHH59" s="468"/>
      <c r="GHI59" s="468"/>
      <c r="GHJ59" s="468"/>
      <c r="GHK59" s="468"/>
      <c r="GHL59" s="468"/>
      <c r="GHM59" s="468"/>
      <c r="GHN59" s="468"/>
      <c r="GHO59" s="468"/>
      <c r="GHP59" s="468"/>
      <c r="GHQ59" s="468"/>
      <c r="GHR59" s="468"/>
      <c r="GHS59" s="468"/>
      <c r="GHT59" s="468"/>
      <c r="GHU59" s="468"/>
      <c r="GHV59" s="468"/>
      <c r="GHW59" s="468"/>
      <c r="GHX59" s="468"/>
      <c r="GHY59" s="468"/>
      <c r="GHZ59" s="468"/>
      <c r="GIA59" s="468"/>
      <c r="GIB59" s="468"/>
      <c r="GIC59" s="468"/>
      <c r="GID59" s="468"/>
      <c r="GIE59" s="468"/>
      <c r="GIF59" s="468"/>
      <c r="GIG59" s="468"/>
      <c r="GIH59" s="468"/>
      <c r="GII59" s="468"/>
      <c r="GIJ59" s="468"/>
      <c r="GIK59" s="468"/>
      <c r="GIL59" s="468"/>
      <c r="GIM59" s="468"/>
      <c r="GIN59" s="468"/>
      <c r="GIO59" s="468"/>
      <c r="GIP59" s="468"/>
      <c r="GIQ59" s="468"/>
      <c r="GIR59" s="468"/>
      <c r="GIS59" s="468"/>
      <c r="GIT59" s="468"/>
      <c r="GIU59" s="468"/>
      <c r="GIV59" s="468"/>
      <c r="GIW59" s="468"/>
      <c r="GIX59" s="468"/>
      <c r="GIY59" s="468"/>
      <c r="GIZ59" s="468"/>
      <c r="GJA59" s="468"/>
      <c r="GJB59" s="468"/>
      <c r="GJC59" s="468"/>
      <c r="GJD59" s="468"/>
      <c r="GJE59" s="468"/>
      <c r="GJF59" s="468"/>
      <c r="GJG59" s="468"/>
      <c r="GJH59" s="468"/>
      <c r="GJI59" s="468"/>
      <c r="GJJ59" s="468"/>
      <c r="GJK59" s="468"/>
      <c r="GJL59" s="468"/>
      <c r="GJM59" s="468"/>
      <c r="GJN59" s="468"/>
      <c r="GJO59" s="468"/>
      <c r="GJP59" s="468"/>
      <c r="GJQ59" s="468"/>
      <c r="GJR59" s="468"/>
      <c r="GJS59" s="468"/>
      <c r="GJT59" s="468"/>
      <c r="GJU59" s="468"/>
      <c r="GJV59" s="468"/>
      <c r="GJW59" s="468"/>
      <c r="GJX59" s="468"/>
      <c r="GJY59" s="468"/>
      <c r="GJZ59" s="468"/>
      <c r="GKA59" s="468"/>
      <c r="GKB59" s="468"/>
      <c r="GKC59" s="468"/>
      <c r="GKD59" s="468"/>
      <c r="GKE59" s="468"/>
      <c r="GKF59" s="468"/>
      <c r="GKG59" s="468"/>
      <c r="GKH59" s="468"/>
      <c r="GKI59" s="468"/>
      <c r="GKJ59" s="468"/>
      <c r="GKK59" s="468"/>
      <c r="GKL59" s="468"/>
      <c r="GKM59" s="468"/>
      <c r="GKN59" s="468"/>
      <c r="GKO59" s="468"/>
      <c r="GKP59" s="468"/>
      <c r="GKQ59" s="468"/>
      <c r="GKR59" s="468"/>
      <c r="GKS59" s="468"/>
      <c r="GKT59" s="468"/>
      <c r="GKU59" s="468"/>
      <c r="GKV59" s="468"/>
      <c r="GKW59" s="468"/>
      <c r="GKX59" s="468"/>
      <c r="GKY59" s="468"/>
      <c r="GKZ59" s="468"/>
      <c r="GLA59" s="468"/>
      <c r="GLB59" s="468"/>
      <c r="GLC59" s="468"/>
      <c r="GLD59" s="468"/>
      <c r="GLE59" s="468"/>
      <c r="GLF59" s="468"/>
      <c r="GLG59" s="468"/>
      <c r="GLH59" s="468"/>
      <c r="GLI59" s="468"/>
      <c r="GLJ59" s="468"/>
      <c r="GLK59" s="468"/>
      <c r="GLL59" s="468"/>
      <c r="GLM59" s="468"/>
      <c r="GLN59" s="468"/>
      <c r="GLO59" s="468"/>
      <c r="GLP59" s="468"/>
      <c r="GLQ59" s="468"/>
      <c r="GLR59" s="468"/>
      <c r="GLS59" s="468"/>
      <c r="GLT59" s="468"/>
      <c r="GLU59" s="468"/>
      <c r="GLV59" s="468"/>
      <c r="GLW59" s="468"/>
      <c r="GLX59" s="468"/>
      <c r="GLY59" s="468"/>
      <c r="GLZ59" s="468"/>
      <c r="GMA59" s="468"/>
      <c r="GMB59" s="468"/>
      <c r="GMC59" s="468"/>
      <c r="GMD59" s="468"/>
      <c r="GME59" s="468"/>
      <c r="GMF59" s="468"/>
      <c r="GMG59" s="468"/>
      <c r="GMH59" s="468"/>
      <c r="GMI59" s="468"/>
      <c r="GMJ59" s="468"/>
      <c r="GMK59" s="468"/>
      <c r="GML59" s="468"/>
      <c r="GMM59" s="468"/>
      <c r="GMN59" s="468"/>
      <c r="GMO59" s="468"/>
      <c r="GMP59" s="468"/>
      <c r="GMQ59" s="468"/>
      <c r="GMR59" s="468"/>
      <c r="GMS59" s="468"/>
      <c r="GMT59" s="468"/>
      <c r="GMU59" s="468"/>
      <c r="GMV59" s="468"/>
      <c r="GMW59" s="468"/>
      <c r="GMX59" s="468"/>
      <c r="GMY59" s="468"/>
      <c r="GMZ59" s="468"/>
      <c r="GNA59" s="468"/>
      <c r="GNB59" s="468"/>
      <c r="GNC59" s="468"/>
      <c r="GND59" s="468"/>
      <c r="GNE59" s="468"/>
      <c r="GNF59" s="468"/>
      <c r="GNG59" s="468"/>
      <c r="GNH59" s="468"/>
      <c r="GNI59" s="468"/>
      <c r="GNJ59" s="468"/>
      <c r="GNK59" s="468"/>
      <c r="GNL59" s="468"/>
      <c r="GNM59" s="468"/>
      <c r="GNN59" s="468"/>
      <c r="GNO59" s="468"/>
      <c r="GNP59" s="468"/>
      <c r="GNQ59" s="468"/>
      <c r="GNR59" s="468"/>
      <c r="GNS59" s="468"/>
      <c r="GNT59" s="468"/>
      <c r="GNU59" s="468"/>
      <c r="GNV59" s="468"/>
      <c r="GNW59" s="468"/>
      <c r="GNX59" s="468"/>
      <c r="GNY59" s="468"/>
      <c r="GNZ59" s="468"/>
      <c r="GOA59" s="468"/>
      <c r="GOB59" s="468"/>
      <c r="GOC59" s="468"/>
      <c r="GOD59" s="468"/>
      <c r="GOE59" s="468"/>
      <c r="GOF59" s="468"/>
      <c r="GOG59" s="468"/>
      <c r="GOH59" s="468"/>
      <c r="GOI59" s="468"/>
      <c r="GOJ59" s="468"/>
      <c r="GOK59" s="468"/>
      <c r="GOL59" s="468"/>
      <c r="GOM59" s="468"/>
      <c r="GON59" s="468"/>
      <c r="GOO59" s="468"/>
      <c r="GOP59" s="468"/>
      <c r="GOQ59" s="468"/>
      <c r="GOR59" s="468"/>
      <c r="GOS59" s="468"/>
      <c r="GOT59" s="468"/>
      <c r="GOU59" s="468"/>
      <c r="GOV59" s="468"/>
      <c r="GOW59" s="468"/>
      <c r="GOX59" s="468"/>
      <c r="GOY59" s="468"/>
      <c r="GOZ59" s="468"/>
      <c r="GPA59" s="468"/>
      <c r="GPB59" s="468"/>
      <c r="GPC59" s="468"/>
      <c r="GPD59" s="468"/>
      <c r="GPE59" s="468"/>
      <c r="GPF59" s="468"/>
      <c r="GPG59" s="468"/>
      <c r="GPH59" s="468"/>
      <c r="GPI59" s="468"/>
      <c r="GPJ59" s="468"/>
      <c r="GPK59" s="468"/>
      <c r="GPL59" s="468"/>
      <c r="GPM59" s="468"/>
      <c r="GPN59" s="468"/>
      <c r="GPO59" s="468"/>
      <c r="GPP59" s="468"/>
      <c r="GPQ59" s="468"/>
      <c r="GPR59" s="468"/>
      <c r="GPS59" s="468"/>
      <c r="GPT59" s="468"/>
      <c r="GPU59" s="468"/>
      <c r="GPV59" s="468"/>
      <c r="GPW59" s="468"/>
      <c r="GPX59" s="468"/>
      <c r="GPY59" s="468"/>
      <c r="GPZ59" s="468"/>
      <c r="GQA59" s="468"/>
      <c r="GQB59" s="468"/>
      <c r="GQC59" s="468"/>
      <c r="GQD59" s="468"/>
      <c r="GQE59" s="468"/>
      <c r="GQF59" s="468"/>
      <c r="GQG59" s="468"/>
      <c r="GQH59" s="468"/>
      <c r="GQI59" s="468"/>
      <c r="GQJ59" s="468"/>
      <c r="GQK59" s="468"/>
      <c r="GQL59" s="468"/>
      <c r="GQM59" s="468"/>
      <c r="GQN59" s="468"/>
      <c r="GQO59" s="468"/>
      <c r="GQP59" s="468"/>
      <c r="GQQ59" s="468"/>
      <c r="GQR59" s="468"/>
      <c r="GQS59" s="468"/>
      <c r="GQT59" s="468"/>
      <c r="GQU59" s="468"/>
      <c r="GQV59" s="468"/>
      <c r="GQW59" s="468"/>
      <c r="GQX59" s="468"/>
      <c r="GQY59" s="468"/>
      <c r="GQZ59" s="468"/>
      <c r="GRA59" s="468"/>
      <c r="GRB59" s="468"/>
      <c r="GRC59" s="468"/>
      <c r="GRD59" s="468"/>
      <c r="GRE59" s="468"/>
      <c r="GRF59" s="468"/>
      <c r="GRG59" s="468"/>
      <c r="GRH59" s="468"/>
      <c r="GRI59" s="468"/>
      <c r="GRJ59" s="468"/>
      <c r="GRK59" s="468"/>
      <c r="GRL59" s="468"/>
      <c r="GRM59" s="468"/>
      <c r="GRN59" s="468"/>
      <c r="GRO59" s="468"/>
      <c r="GRP59" s="468"/>
      <c r="GRQ59" s="468"/>
      <c r="GRR59" s="468"/>
      <c r="GRS59" s="468"/>
      <c r="GRT59" s="468"/>
      <c r="GRU59" s="468"/>
      <c r="GRV59" s="468"/>
      <c r="GRW59" s="468"/>
      <c r="GRX59" s="468"/>
      <c r="GRY59" s="468"/>
      <c r="GRZ59" s="468"/>
      <c r="GSA59" s="468"/>
      <c r="GSB59" s="468"/>
      <c r="GSC59" s="468"/>
      <c r="GSD59" s="468"/>
      <c r="GSE59" s="468"/>
      <c r="GSF59" s="468"/>
      <c r="GSG59" s="468"/>
      <c r="GSH59" s="468"/>
      <c r="GSI59" s="468"/>
      <c r="GSJ59" s="468"/>
      <c r="GSK59" s="468"/>
      <c r="GSL59" s="468"/>
      <c r="GSM59" s="468"/>
      <c r="GSN59" s="468"/>
      <c r="GSO59" s="468"/>
      <c r="GSP59" s="468"/>
      <c r="GSQ59" s="468"/>
      <c r="GSR59" s="468"/>
      <c r="GSS59" s="468"/>
      <c r="GST59" s="468"/>
      <c r="GSU59" s="468"/>
      <c r="GSV59" s="468"/>
      <c r="GSW59" s="468"/>
      <c r="GSX59" s="468"/>
      <c r="GSY59" s="468"/>
      <c r="GSZ59" s="468"/>
      <c r="GTA59" s="468"/>
      <c r="GTB59" s="468"/>
      <c r="GTC59" s="468"/>
      <c r="GTD59" s="468"/>
      <c r="GTE59" s="468"/>
      <c r="GTF59" s="468"/>
      <c r="GTG59" s="468"/>
      <c r="GTH59" s="468"/>
      <c r="GTI59" s="468"/>
      <c r="GTJ59" s="468"/>
      <c r="GTK59" s="468"/>
      <c r="GTL59" s="468"/>
      <c r="GTM59" s="468"/>
      <c r="GTN59" s="468"/>
      <c r="GTO59" s="468"/>
      <c r="GTP59" s="468"/>
      <c r="GTQ59" s="468"/>
      <c r="GTR59" s="468"/>
      <c r="GTS59" s="468"/>
      <c r="GTT59" s="468"/>
      <c r="GTU59" s="468"/>
      <c r="GTV59" s="468"/>
      <c r="GTW59" s="468"/>
      <c r="GTX59" s="468"/>
      <c r="GTY59" s="468"/>
      <c r="GTZ59" s="468"/>
      <c r="GUA59" s="468"/>
      <c r="GUB59" s="468"/>
      <c r="GUC59" s="468"/>
      <c r="GUD59" s="468"/>
      <c r="GUE59" s="468"/>
      <c r="GUF59" s="468"/>
      <c r="GUG59" s="468"/>
      <c r="GUH59" s="468"/>
      <c r="GUI59" s="468"/>
      <c r="GUJ59" s="468"/>
      <c r="GUK59" s="468"/>
      <c r="GUL59" s="468"/>
      <c r="GUM59" s="468"/>
      <c r="GUN59" s="468"/>
      <c r="GUO59" s="468"/>
      <c r="GUP59" s="468"/>
      <c r="GUQ59" s="468"/>
      <c r="GUR59" s="468"/>
      <c r="GUS59" s="468"/>
      <c r="GUT59" s="468"/>
      <c r="GUU59" s="468"/>
      <c r="GUV59" s="468"/>
      <c r="GUW59" s="468"/>
      <c r="GUX59" s="468"/>
      <c r="GUY59" s="468"/>
      <c r="GUZ59" s="468"/>
      <c r="GVA59" s="468"/>
      <c r="GVB59" s="468"/>
      <c r="GVC59" s="468"/>
      <c r="GVD59" s="468"/>
      <c r="GVE59" s="468"/>
      <c r="GVF59" s="468"/>
      <c r="GVG59" s="468"/>
      <c r="GVH59" s="468"/>
      <c r="GVI59" s="468"/>
      <c r="GVJ59" s="468"/>
      <c r="GVK59" s="468"/>
      <c r="GVL59" s="468"/>
      <c r="GVM59" s="468"/>
      <c r="GVN59" s="468"/>
      <c r="GVO59" s="468"/>
      <c r="GVP59" s="468"/>
      <c r="GVQ59" s="468"/>
      <c r="GVR59" s="468"/>
      <c r="GVS59" s="468"/>
      <c r="GVT59" s="468"/>
      <c r="GVU59" s="468"/>
      <c r="GVV59" s="468"/>
      <c r="GVW59" s="468"/>
      <c r="GVX59" s="468"/>
      <c r="GVY59" s="468"/>
      <c r="GVZ59" s="468"/>
      <c r="GWA59" s="468"/>
      <c r="GWB59" s="468"/>
      <c r="GWC59" s="468"/>
      <c r="GWD59" s="468"/>
      <c r="GWE59" s="468"/>
      <c r="GWF59" s="468"/>
      <c r="GWG59" s="468"/>
      <c r="GWH59" s="468"/>
      <c r="GWI59" s="468"/>
      <c r="GWJ59" s="468"/>
      <c r="GWK59" s="468"/>
      <c r="GWL59" s="468"/>
      <c r="GWM59" s="468"/>
      <c r="GWN59" s="468"/>
      <c r="GWO59" s="468"/>
      <c r="GWP59" s="468"/>
      <c r="GWQ59" s="468"/>
      <c r="GWR59" s="468"/>
      <c r="GWS59" s="468"/>
      <c r="GWT59" s="468"/>
      <c r="GWU59" s="468"/>
      <c r="GWV59" s="468"/>
      <c r="GWW59" s="468"/>
      <c r="GWX59" s="468"/>
      <c r="GWY59" s="468"/>
      <c r="GWZ59" s="468"/>
      <c r="GXA59" s="468"/>
      <c r="GXB59" s="468"/>
      <c r="GXC59" s="468"/>
      <c r="GXD59" s="468"/>
      <c r="GXE59" s="468"/>
      <c r="GXF59" s="468"/>
      <c r="GXG59" s="468"/>
      <c r="GXH59" s="468"/>
      <c r="GXI59" s="468"/>
      <c r="GXJ59" s="468"/>
      <c r="GXK59" s="468"/>
      <c r="GXL59" s="468"/>
      <c r="GXM59" s="468"/>
      <c r="GXN59" s="468"/>
      <c r="GXO59" s="468"/>
      <c r="GXP59" s="468"/>
      <c r="GXQ59" s="468"/>
      <c r="GXR59" s="468"/>
      <c r="GXS59" s="468"/>
      <c r="GXT59" s="468"/>
      <c r="GXU59" s="468"/>
      <c r="GXV59" s="468"/>
      <c r="GXW59" s="468"/>
      <c r="GXX59" s="468"/>
      <c r="GXY59" s="468"/>
      <c r="GXZ59" s="468"/>
      <c r="GYA59" s="468"/>
      <c r="GYB59" s="468"/>
      <c r="GYC59" s="468"/>
      <c r="GYD59" s="468"/>
      <c r="GYE59" s="468"/>
      <c r="GYF59" s="468"/>
      <c r="GYG59" s="468"/>
      <c r="GYH59" s="468"/>
      <c r="GYI59" s="468"/>
      <c r="GYJ59" s="468"/>
      <c r="GYK59" s="468"/>
      <c r="GYL59" s="468"/>
      <c r="GYM59" s="468"/>
      <c r="GYN59" s="468"/>
      <c r="GYO59" s="468"/>
      <c r="GYP59" s="468"/>
      <c r="GYQ59" s="468"/>
      <c r="GYR59" s="468"/>
      <c r="GYS59" s="468"/>
      <c r="GYT59" s="468"/>
      <c r="GYU59" s="468"/>
      <c r="GYV59" s="468"/>
      <c r="GYW59" s="468"/>
      <c r="GYX59" s="468"/>
      <c r="GYY59" s="468"/>
      <c r="GYZ59" s="468"/>
      <c r="GZA59" s="468"/>
      <c r="GZB59" s="468"/>
      <c r="GZC59" s="468"/>
      <c r="GZD59" s="468"/>
      <c r="GZE59" s="468"/>
      <c r="GZF59" s="468"/>
      <c r="GZG59" s="468"/>
      <c r="GZH59" s="468"/>
      <c r="GZI59" s="468"/>
      <c r="GZJ59" s="468"/>
      <c r="GZK59" s="468"/>
      <c r="GZL59" s="468"/>
      <c r="GZM59" s="468"/>
      <c r="GZN59" s="468"/>
      <c r="GZO59" s="468"/>
      <c r="GZP59" s="468"/>
      <c r="GZQ59" s="468"/>
      <c r="GZR59" s="468"/>
      <c r="GZS59" s="468"/>
      <c r="GZT59" s="468"/>
      <c r="GZU59" s="468"/>
      <c r="GZV59" s="468"/>
      <c r="GZW59" s="468"/>
      <c r="GZX59" s="468"/>
      <c r="GZY59" s="468"/>
      <c r="GZZ59" s="468"/>
      <c r="HAA59" s="468"/>
      <c r="HAB59" s="468"/>
      <c r="HAC59" s="468"/>
      <c r="HAD59" s="468"/>
      <c r="HAE59" s="468"/>
      <c r="HAF59" s="468"/>
      <c r="HAG59" s="468"/>
      <c r="HAH59" s="468"/>
      <c r="HAI59" s="468"/>
      <c r="HAJ59" s="468"/>
      <c r="HAK59" s="468"/>
      <c r="HAL59" s="468"/>
      <c r="HAM59" s="468"/>
      <c r="HAN59" s="468"/>
      <c r="HAO59" s="468"/>
      <c r="HAP59" s="468"/>
      <c r="HAQ59" s="468"/>
      <c r="HAR59" s="468"/>
      <c r="HAS59" s="468"/>
      <c r="HAT59" s="468"/>
      <c r="HAU59" s="468"/>
      <c r="HAV59" s="468"/>
      <c r="HAW59" s="468"/>
      <c r="HAX59" s="468"/>
      <c r="HAY59" s="468"/>
      <c r="HAZ59" s="468"/>
      <c r="HBA59" s="468"/>
      <c r="HBB59" s="468"/>
      <c r="HBC59" s="468"/>
      <c r="HBD59" s="468"/>
      <c r="HBE59" s="468"/>
      <c r="HBF59" s="468"/>
      <c r="HBG59" s="468"/>
      <c r="HBH59" s="468"/>
      <c r="HBI59" s="468"/>
      <c r="HBJ59" s="468"/>
      <c r="HBK59" s="468"/>
      <c r="HBL59" s="468"/>
      <c r="HBM59" s="468"/>
      <c r="HBN59" s="468"/>
      <c r="HBO59" s="468"/>
      <c r="HBP59" s="468"/>
      <c r="HBQ59" s="468"/>
      <c r="HBR59" s="468"/>
      <c r="HBS59" s="468"/>
      <c r="HBT59" s="468"/>
      <c r="HBU59" s="468"/>
      <c r="HBV59" s="468"/>
      <c r="HBW59" s="468"/>
      <c r="HBX59" s="468"/>
      <c r="HBY59" s="468"/>
      <c r="HBZ59" s="468"/>
      <c r="HCA59" s="468"/>
      <c r="HCB59" s="468"/>
      <c r="HCC59" s="468"/>
      <c r="HCD59" s="468"/>
      <c r="HCE59" s="468"/>
      <c r="HCF59" s="468"/>
      <c r="HCG59" s="468"/>
      <c r="HCH59" s="468"/>
      <c r="HCI59" s="468"/>
      <c r="HCJ59" s="468"/>
      <c r="HCK59" s="468"/>
      <c r="HCL59" s="468"/>
      <c r="HCM59" s="468"/>
      <c r="HCN59" s="468"/>
      <c r="HCO59" s="468"/>
      <c r="HCP59" s="468"/>
      <c r="HCQ59" s="468"/>
      <c r="HCR59" s="468"/>
      <c r="HCS59" s="468"/>
      <c r="HCT59" s="468"/>
      <c r="HCU59" s="468"/>
      <c r="HCV59" s="468"/>
      <c r="HCW59" s="468"/>
      <c r="HCX59" s="468"/>
      <c r="HCY59" s="468"/>
      <c r="HCZ59" s="468"/>
      <c r="HDA59" s="468"/>
      <c r="HDB59" s="468"/>
      <c r="HDC59" s="468"/>
      <c r="HDD59" s="468"/>
      <c r="HDE59" s="468"/>
      <c r="HDF59" s="468"/>
      <c r="HDG59" s="468"/>
      <c r="HDH59" s="468"/>
      <c r="HDI59" s="468"/>
      <c r="HDJ59" s="468"/>
      <c r="HDK59" s="468"/>
      <c r="HDL59" s="468"/>
      <c r="HDM59" s="468"/>
      <c r="HDN59" s="468"/>
      <c r="HDO59" s="468"/>
      <c r="HDP59" s="468"/>
      <c r="HDQ59" s="468"/>
      <c r="HDR59" s="468"/>
      <c r="HDS59" s="468"/>
      <c r="HDT59" s="468"/>
      <c r="HDU59" s="468"/>
      <c r="HDV59" s="468"/>
      <c r="HDW59" s="468"/>
      <c r="HDX59" s="468"/>
      <c r="HDY59" s="468"/>
      <c r="HDZ59" s="468"/>
      <c r="HEA59" s="468"/>
      <c r="HEB59" s="468"/>
      <c r="HEC59" s="468"/>
      <c r="HED59" s="468"/>
      <c r="HEE59" s="468"/>
      <c r="HEF59" s="468"/>
      <c r="HEG59" s="468"/>
      <c r="HEH59" s="468"/>
      <c r="HEI59" s="468"/>
      <c r="HEJ59" s="468"/>
      <c r="HEK59" s="468"/>
      <c r="HEL59" s="468"/>
      <c r="HEM59" s="468"/>
      <c r="HEN59" s="468"/>
      <c r="HEO59" s="468"/>
      <c r="HEP59" s="468"/>
      <c r="HEQ59" s="468"/>
      <c r="HER59" s="468"/>
      <c r="HES59" s="468"/>
      <c r="HET59" s="468"/>
      <c r="HEU59" s="468"/>
      <c r="HEV59" s="468"/>
      <c r="HEW59" s="468"/>
      <c r="HEX59" s="468"/>
      <c r="HEY59" s="468"/>
      <c r="HEZ59" s="468"/>
      <c r="HFA59" s="468"/>
      <c r="HFB59" s="468"/>
      <c r="HFC59" s="468"/>
      <c r="HFD59" s="468"/>
      <c r="HFE59" s="468"/>
      <c r="HFF59" s="468"/>
      <c r="HFG59" s="468"/>
      <c r="HFH59" s="468"/>
      <c r="HFI59" s="468"/>
      <c r="HFJ59" s="468"/>
      <c r="HFK59" s="468"/>
      <c r="HFL59" s="468"/>
      <c r="HFM59" s="468"/>
      <c r="HFN59" s="468"/>
      <c r="HFO59" s="468"/>
      <c r="HFP59" s="468"/>
      <c r="HFQ59" s="468"/>
      <c r="HFR59" s="468"/>
      <c r="HFS59" s="468"/>
      <c r="HFT59" s="468"/>
      <c r="HFU59" s="468"/>
      <c r="HFV59" s="468"/>
      <c r="HFW59" s="468"/>
      <c r="HFX59" s="468"/>
      <c r="HFY59" s="468"/>
      <c r="HFZ59" s="468"/>
      <c r="HGA59" s="468"/>
      <c r="HGB59" s="468"/>
      <c r="HGC59" s="468"/>
      <c r="HGD59" s="468"/>
      <c r="HGE59" s="468"/>
      <c r="HGF59" s="468"/>
      <c r="HGG59" s="468"/>
      <c r="HGH59" s="468"/>
      <c r="HGI59" s="468"/>
      <c r="HGJ59" s="468"/>
      <c r="HGK59" s="468"/>
      <c r="HGL59" s="468"/>
      <c r="HGM59" s="468"/>
      <c r="HGN59" s="468"/>
      <c r="HGO59" s="468"/>
      <c r="HGP59" s="468"/>
      <c r="HGQ59" s="468"/>
      <c r="HGR59" s="468"/>
      <c r="HGS59" s="468"/>
      <c r="HGT59" s="468"/>
      <c r="HGU59" s="468"/>
      <c r="HGV59" s="468"/>
      <c r="HGW59" s="468"/>
      <c r="HGX59" s="468"/>
      <c r="HGY59" s="468"/>
      <c r="HGZ59" s="468"/>
      <c r="HHA59" s="468"/>
      <c r="HHB59" s="468"/>
      <c r="HHC59" s="468"/>
      <c r="HHD59" s="468"/>
      <c r="HHE59" s="468"/>
      <c r="HHF59" s="468"/>
      <c r="HHG59" s="468"/>
      <c r="HHH59" s="468"/>
      <c r="HHI59" s="468"/>
      <c r="HHJ59" s="468"/>
      <c r="HHK59" s="468"/>
      <c r="HHL59" s="468"/>
      <c r="HHM59" s="468"/>
      <c r="HHN59" s="468"/>
      <c r="HHO59" s="468"/>
      <c r="HHP59" s="468"/>
      <c r="HHQ59" s="468"/>
      <c r="HHR59" s="468"/>
      <c r="HHS59" s="468"/>
      <c r="HHT59" s="468"/>
      <c r="HHU59" s="468"/>
      <c r="HHV59" s="468"/>
      <c r="HHW59" s="468"/>
      <c r="HHX59" s="468"/>
      <c r="HHY59" s="468"/>
      <c r="HHZ59" s="468"/>
      <c r="HIA59" s="468"/>
      <c r="HIB59" s="468"/>
      <c r="HIC59" s="468"/>
      <c r="HID59" s="468"/>
      <c r="HIE59" s="468"/>
      <c r="HIF59" s="468"/>
      <c r="HIG59" s="468"/>
      <c r="HIH59" s="468"/>
      <c r="HII59" s="468"/>
      <c r="HIJ59" s="468"/>
      <c r="HIK59" s="468"/>
      <c r="HIL59" s="468"/>
      <c r="HIM59" s="468"/>
      <c r="HIN59" s="468"/>
      <c r="HIO59" s="468"/>
      <c r="HIP59" s="468"/>
      <c r="HIQ59" s="468"/>
      <c r="HIR59" s="468"/>
      <c r="HIS59" s="468"/>
      <c r="HIT59" s="468"/>
      <c r="HIU59" s="468"/>
      <c r="HIV59" s="468"/>
      <c r="HIW59" s="468"/>
      <c r="HIX59" s="468"/>
      <c r="HIY59" s="468"/>
      <c r="HIZ59" s="468"/>
      <c r="HJA59" s="468"/>
      <c r="HJB59" s="468"/>
      <c r="HJC59" s="468"/>
      <c r="HJD59" s="468"/>
      <c r="HJE59" s="468"/>
      <c r="HJF59" s="468"/>
      <c r="HJG59" s="468"/>
      <c r="HJH59" s="468"/>
      <c r="HJI59" s="468"/>
      <c r="HJJ59" s="468"/>
      <c r="HJK59" s="468"/>
      <c r="HJL59" s="468"/>
      <c r="HJM59" s="468"/>
      <c r="HJN59" s="468"/>
      <c r="HJO59" s="468"/>
      <c r="HJP59" s="468"/>
      <c r="HJQ59" s="468"/>
      <c r="HJR59" s="468"/>
      <c r="HJS59" s="468"/>
      <c r="HJT59" s="468"/>
      <c r="HJU59" s="468"/>
      <c r="HJV59" s="468"/>
      <c r="HJW59" s="468"/>
      <c r="HJX59" s="468"/>
      <c r="HJY59" s="468"/>
      <c r="HJZ59" s="468"/>
      <c r="HKA59" s="468"/>
      <c r="HKB59" s="468"/>
      <c r="HKC59" s="468"/>
      <c r="HKD59" s="468"/>
      <c r="HKE59" s="468"/>
      <c r="HKF59" s="468"/>
      <c r="HKG59" s="468"/>
      <c r="HKH59" s="468"/>
      <c r="HKI59" s="468"/>
      <c r="HKJ59" s="468"/>
      <c r="HKK59" s="468"/>
      <c r="HKL59" s="468"/>
      <c r="HKM59" s="468"/>
      <c r="HKN59" s="468"/>
      <c r="HKO59" s="468"/>
      <c r="HKP59" s="468"/>
      <c r="HKQ59" s="468"/>
      <c r="HKR59" s="468"/>
      <c r="HKS59" s="468"/>
      <c r="HKT59" s="468"/>
      <c r="HKU59" s="468"/>
      <c r="HKV59" s="468"/>
      <c r="HKW59" s="468"/>
      <c r="HKX59" s="468"/>
      <c r="HKY59" s="468"/>
      <c r="HKZ59" s="468"/>
      <c r="HLA59" s="468"/>
      <c r="HLB59" s="468"/>
      <c r="HLC59" s="468"/>
      <c r="HLD59" s="468"/>
      <c r="HLE59" s="468"/>
      <c r="HLF59" s="468"/>
      <c r="HLG59" s="468"/>
      <c r="HLH59" s="468"/>
      <c r="HLI59" s="468"/>
      <c r="HLJ59" s="468"/>
      <c r="HLK59" s="468"/>
      <c r="HLL59" s="468"/>
      <c r="HLM59" s="468"/>
      <c r="HLN59" s="468"/>
      <c r="HLO59" s="468"/>
      <c r="HLP59" s="468"/>
      <c r="HLQ59" s="468"/>
      <c r="HLR59" s="468"/>
      <c r="HLS59" s="468"/>
      <c r="HLT59" s="468"/>
      <c r="HLU59" s="468"/>
      <c r="HLV59" s="468"/>
      <c r="HLW59" s="468"/>
      <c r="HLX59" s="468"/>
      <c r="HLY59" s="468"/>
      <c r="HLZ59" s="468"/>
      <c r="HMA59" s="468"/>
      <c r="HMB59" s="468"/>
      <c r="HMC59" s="468"/>
      <c r="HMD59" s="468"/>
      <c r="HME59" s="468"/>
      <c r="HMF59" s="468"/>
      <c r="HMG59" s="468"/>
      <c r="HMH59" s="468"/>
      <c r="HMI59" s="468"/>
      <c r="HMJ59" s="468"/>
      <c r="HMK59" s="468"/>
      <c r="HML59" s="468"/>
      <c r="HMM59" s="468"/>
      <c r="HMN59" s="468"/>
      <c r="HMO59" s="468"/>
      <c r="HMP59" s="468"/>
      <c r="HMQ59" s="468"/>
      <c r="HMR59" s="468"/>
      <c r="HMS59" s="468"/>
      <c r="HMT59" s="468"/>
      <c r="HMU59" s="468"/>
      <c r="HMV59" s="468"/>
      <c r="HMW59" s="468"/>
      <c r="HMX59" s="468"/>
      <c r="HMY59" s="468"/>
      <c r="HMZ59" s="468"/>
      <c r="HNA59" s="468"/>
      <c r="HNB59" s="468"/>
      <c r="HNC59" s="468"/>
      <c r="HND59" s="468"/>
      <c r="HNE59" s="468"/>
      <c r="HNF59" s="468"/>
      <c r="HNG59" s="468"/>
      <c r="HNH59" s="468"/>
      <c r="HNI59" s="468"/>
      <c r="HNJ59" s="468"/>
      <c r="HNK59" s="468"/>
      <c r="HNL59" s="468"/>
      <c r="HNM59" s="468"/>
      <c r="HNN59" s="468"/>
      <c r="HNO59" s="468"/>
      <c r="HNP59" s="468"/>
      <c r="HNQ59" s="468"/>
      <c r="HNR59" s="468"/>
      <c r="HNS59" s="468"/>
      <c r="HNT59" s="468"/>
      <c r="HNU59" s="468"/>
      <c r="HNV59" s="468"/>
      <c r="HNW59" s="468"/>
      <c r="HNX59" s="468"/>
      <c r="HNY59" s="468"/>
      <c r="HNZ59" s="468"/>
      <c r="HOA59" s="468"/>
      <c r="HOB59" s="468"/>
      <c r="HOC59" s="468"/>
      <c r="HOD59" s="468"/>
      <c r="HOE59" s="468"/>
      <c r="HOF59" s="468"/>
      <c r="HOG59" s="468"/>
      <c r="HOH59" s="468"/>
      <c r="HOI59" s="468"/>
      <c r="HOJ59" s="468"/>
      <c r="HOK59" s="468"/>
      <c r="HOL59" s="468"/>
      <c r="HOM59" s="468"/>
      <c r="HON59" s="468"/>
      <c r="HOO59" s="468"/>
      <c r="HOP59" s="468"/>
      <c r="HOQ59" s="468"/>
      <c r="HOR59" s="468"/>
      <c r="HOS59" s="468"/>
      <c r="HOT59" s="468"/>
      <c r="HOU59" s="468"/>
      <c r="HOV59" s="468"/>
      <c r="HOW59" s="468"/>
      <c r="HOX59" s="468"/>
      <c r="HOY59" s="468"/>
      <c r="HOZ59" s="468"/>
      <c r="HPA59" s="468"/>
      <c r="HPB59" s="468"/>
      <c r="HPC59" s="468"/>
      <c r="HPD59" s="468"/>
      <c r="HPE59" s="468"/>
      <c r="HPF59" s="468"/>
      <c r="HPG59" s="468"/>
      <c r="HPH59" s="468"/>
      <c r="HPI59" s="468"/>
      <c r="HPJ59" s="468"/>
      <c r="HPK59" s="468"/>
      <c r="HPL59" s="468"/>
      <c r="HPM59" s="468"/>
      <c r="HPN59" s="468"/>
      <c r="HPO59" s="468"/>
      <c r="HPP59" s="468"/>
      <c r="HPQ59" s="468"/>
      <c r="HPR59" s="468"/>
      <c r="HPS59" s="468"/>
      <c r="HPT59" s="468"/>
      <c r="HPU59" s="468"/>
      <c r="HPV59" s="468"/>
      <c r="HPW59" s="468"/>
      <c r="HPX59" s="468"/>
      <c r="HPY59" s="468"/>
      <c r="HPZ59" s="468"/>
      <c r="HQA59" s="468"/>
      <c r="HQB59" s="468"/>
      <c r="HQC59" s="468"/>
      <c r="HQD59" s="468"/>
      <c r="HQE59" s="468"/>
      <c r="HQF59" s="468"/>
      <c r="HQG59" s="468"/>
      <c r="HQH59" s="468"/>
      <c r="HQI59" s="468"/>
      <c r="HQJ59" s="468"/>
      <c r="HQK59" s="468"/>
      <c r="HQL59" s="468"/>
      <c r="HQM59" s="468"/>
      <c r="HQN59" s="468"/>
      <c r="HQO59" s="468"/>
      <c r="HQP59" s="468"/>
      <c r="HQQ59" s="468"/>
      <c r="HQR59" s="468"/>
      <c r="HQS59" s="468"/>
      <c r="HQT59" s="468"/>
      <c r="HQU59" s="468"/>
      <c r="HQV59" s="468"/>
      <c r="HQW59" s="468"/>
      <c r="HQX59" s="468"/>
      <c r="HQY59" s="468"/>
      <c r="HQZ59" s="468"/>
      <c r="HRA59" s="468"/>
      <c r="HRB59" s="468"/>
      <c r="HRC59" s="468"/>
      <c r="HRD59" s="468"/>
      <c r="HRE59" s="468"/>
      <c r="HRF59" s="468"/>
      <c r="HRG59" s="468"/>
      <c r="HRH59" s="468"/>
      <c r="HRI59" s="468"/>
      <c r="HRJ59" s="468"/>
      <c r="HRK59" s="468"/>
      <c r="HRL59" s="468"/>
      <c r="HRM59" s="468"/>
      <c r="HRN59" s="468"/>
      <c r="HRO59" s="468"/>
      <c r="HRP59" s="468"/>
      <c r="HRQ59" s="468"/>
      <c r="HRR59" s="468"/>
      <c r="HRS59" s="468"/>
      <c r="HRT59" s="468"/>
      <c r="HRU59" s="468"/>
      <c r="HRV59" s="468"/>
      <c r="HRW59" s="468"/>
      <c r="HRX59" s="468"/>
      <c r="HRY59" s="468"/>
      <c r="HRZ59" s="468"/>
      <c r="HSA59" s="468"/>
      <c r="HSB59" s="468"/>
      <c r="HSC59" s="468"/>
      <c r="HSD59" s="468"/>
      <c r="HSE59" s="468"/>
      <c r="HSF59" s="468"/>
      <c r="HSG59" s="468"/>
      <c r="HSH59" s="468"/>
      <c r="HSI59" s="468"/>
      <c r="HSJ59" s="468"/>
      <c r="HSK59" s="468"/>
      <c r="HSL59" s="468"/>
      <c r="HSM59" s="468"/>
      <c r="HSN59" s="468"/>
      <c r="HSO59" s="468"/>
      <c r="HSP59" s="468"/>
      <c r="HSQ59" s="468"/>
      <c r="HSR59" s="468"/>
      <c r="HSS59" s="468"/>
      <c r="HST59" s="468"/>
      <c r="HSU59" s="468"/>
      <c r="HSV59" s="468"/>
      <c r="HSW59" s="468"/>
      <c r="HSX59" s="468"/>
      <c r="HSY59" s="468"/>
      <c r="HSZ59" s="468"/>
      <c r="HTA59" s="468"/>
      <c r="HTB59" s="468"/>
      <c r="HTC59" s="468"/>
      <c r="HTD59" s="468"/>
      <c r="HTE59" s="468"/>
      <c r="HTF59" s="468"/>
      <c r="HTG59" s="468"/>
      <c r="HTH59" s="468"/>
      <c r="HTI59" s="468"/>
      <c r="HTJ59" s="468"/>
      <c r="HTK59" s="468"/>
      <c r="HTL59" s="468"/>
      <c r="HTM59" s="468"/>
      <c r="HTN59" s="468"/>
      <c r="HTO59" s="468"/>
      <c r="HTP59" s="468"/>
      <c r="HTQ59" s="468"/>
      <c r="HTR59" s="468"/>
      <c r="HTS59" s="468"/>
      <c r="HTT59" s="468"/>
      <c r="HTU59" s="468"/>
      <c r="HTV59" s="468"/>
      <c r="HTW59" s="468"/>
      <c r="HTX59" s="468"/>
      <c r="HTY59" s="468"/>
      <c r="HTZ59" s="468"/>
      <c r="HUA59" s="468"/>
      <c r="HUB59" s="468"/>
      <c r="HUC59" s="468"/>
      <c r="HUD59" s="468"/>
      <c r="HUE59" s="468"/>
      <c r="HUF59" s="468"/>
      <c r="HUG59" s="468"/>
      <c r="HUH59" s="468"/>
      <c r="HUI59" s="468"/>
      <c r="HUJ59" s="468"/>
      <c r="HUK59" s="468"/>
      <c r="HUL59" s="468"/>
      <c r="HUM59" s="468"/>
      <c r="HUN59" s="468"/>
      <c r="HUO59" s="468"/>
      <c r="HUP59" s="468"/>
      <c r="HUQ59" s="468"/>
      <c r="HUR59" s="468"/>
      <c r="HUS59" s="468"/>
      <c r="HUT59" s="468"/>
      <c r="HUU59" s="468"/>
      <c r="HUV59" s="468"/>
      <c r="HUW59" s="468"/>
      <c r="HUX59" s="468"/>
      <c r="HUY59" s="468"/>
      <c r="HUZ59" s="468"/>
      <c r="HVA59" s="468"/>
      <c r="HVB59" s="468"/>
      <c r="HVC59" s="468"/>
      <c r="HVD59" s="468"/>
      <c r="HVE59" s="468"/>
      <c r="HVF59" s="468"/>
      <c r="HVG59" s="468"/>
      <c r="HVH59" s="468"/>
      <c r="HVI59" s="468"/>
      <c r="HVJ59" s="468"/>
      <c r="HVK59" s="468"/>
      <c r="HVL59" s="468"/>
      <c r="HVM59" s="468"/>
      <c r="HVN59" s="468"/>
      <c r="HVO59" s="468"/>
      <c r="HVP59" s="468"/>
      <c r="HVQ59" s="468"/>
      <c r="HVR59" s="468"/>
      <c r="HVS59" s="468"/>
      <c r="HVT59" s="468"/>
      <c r="HVU59" s="468"/>
      <c r="HVV59" s="468"/>
      <c r="HVW59" s="468"/>
      <c r="HVX59" s="468"/>
      <c r="HVY59" s="468"/>
      <c r="HVZ59" s="468"/>
      <c r="HWA59" s="468"/>
      <c r="HWB59" s="468"/>
      <c r="HWC59" s="468"/>
      <c r="HWD59" s="468"/>
      <c r="HWE59" s="468"/>
      <c r="HWF59" s="468"/>
      <c r="HWG59" s="468"/>
      <c r="HWH59" s="468"/>
      <c r="HWI59" s="468"/>
      <c r="HWJ59" s="468"/>
      <c r="HWK59" s="468"/>
      <c r="HWL59" s="468"/>
      <c r="HWM59" s="468"/>
      <c r="HWN59" s="468"/>
      <c r="HWO59" s="468"/>
      <c r="HWP59" s="468"/>
      <c r="HWQ59" s="468"/>
      <c r="HWR59" s="468"/>
      <c r="HWS59" s="468"/>
      <c r="HWT59" s="468"/>
      <c r="HWU59" s="468"/>
      <c r="HWV59" s="468"/>
      <c r="HWW59" s="468"/>
      <c r="HWX59" s="468"/>
      <c r="HWY59" s="468"/>
      <c r="HWZ59" s="468"/>
      <c r="HXA59" s="468"/>
      <c r="HXB59" s="468"/>
      <c r="HXC59" s="468"/>
      <c r="HXD59" s="468"/>
      <c r="HXE59" s="468"/>
      <c r="HXF59" s="468"/>
      <c r="HXG59" s="468"/>
      <c r="HXH59" s="468"/>
      <c r="HXI59" s="468"/>
      <c r="HXJ59" s="468"/>
      <c r="HXK59" s="468"/>
      <c r="HXL59" s="468"/>
      <c r="HXM59" s="468"/>
      <c r="HXN59" s="468"/>
      <c r="HXO59" s="468"/>
      <c r="HXP59" s="468"/>
      <c r="HXQ59" s="468"/>
      <c r="HXR59" s="468"/>
      <c r="HXS59" s="468"/>
      <c r="HXT59" s="468"/>
      <c r="HXU59" s="468"/>
      <c r="HXV59" s="468"/>
      <c r="HXW59" s="468"/>
      <c r="HXX59" s="468"/>
      <c r="HXY59" s="468"/>
      <c r="HXZ59" s="468"/>
      <c r="HYA59" s="468"/>
      <c r="HYB59" s="468"/>
      <c r="HYC59" s="468"/>
      <c r="HYD59" s="468"/>
      <c r="HYE59" s="468"/>
      <c r="HYF59" s="468"/>
      <c r="HYG59" s="468"/>
      <c r="HYH59" s="468"/>
      <c r="HYI59" s="468"/>
      <c r="HYJ59" s="468"/>
      <c r="HYK59" s="468"/>
      <c r="HYL59" s="468"/>
      <c r="HYM59" s="468"/>
      <c r="HYN59" s="468"/>
      <c r="HYO59" s="468"/>
      <c r="HYP59" s="468"/>
      <c r="HYQ59" s="468"/>
      <c r="HYR59" s="468"/>
      <c r="HYS59" s="468"/>
      <c r="HYT59" s="468"/>
      <c r="HYU59" s="468"/>
      <c r="HYV59" s="468"/>
      <c r="HYW59" s="468"/>
      <c r="HYX59" s="468"/>
      <c r="HYY59" s="468"/>
      <c r="HYZ59" s="468"/>
      <c r="HZA59" s="468"/>
      <c r="HZB59" s="468"/>
      <c r="HZC59" s="468"/>
      <c r="HZD59" s="468"/>
      <c r="HZE59" s="468"/>
      <c r="HZF59" s="468"/>
      <c r="HZG59" s="468"/>
      <c r="HZH59" s="468"/>
      <c r="HZI59" s="468"/>
      <c r="HZJ59" s="468"/>
      <c r="HZK59" s="468"/>
      <c r="HZL59" s="468"/>
      <c r="HZM59" s="468"/>
      <c r="HZN59" s="468"/>
      <c r="HZO59" s="468"/>
      <c r="HZP59" s="468"/>
      <c r="HZQ59" s="468"/>
      <c r="HZR59" s="468"/>
      <c r="HZS59" s="468"/>
      <c r="HZT59" s="468"/>
      <c r="HZU59" s="468"/>
      <c r="HZV59" s="468"/>
      <c r="HZW59" s="468"/>
      <c r="HZX59" s="468"/>
      <c r="HZY59" s="468"/>
      <c r="HZZ59" s="468"/>
      <c r="IAA59" s="468"/>
      <c r="IAB59" s="468"/>
      <c r="IAC59" s="468"/>
      <c r="IAD59" s="468"/>
      <c r="IAE59" s="468"/>
      <c r="IAF59" s="468"/>
      <c r="IAG59" s="468"/>
      <c r="IAH59" s="468"/>
      <c r="IAI59" s="468"/>
      <c r="IAJ59" s="468"/>
      <c r="IAK59" s="468"/>
      <c r="IAL59" s="468"/>
      <c r="IAM59" s="468"/>
      <c r="IAN59" s="468"/>
      <c r="IAO59" s="468"/>
      <c r="IAP59" s="468"/>
      <c r="IAQ59" s="468"/>
      <c r="IAR59" s="468"/>
      <c r="IAS59" s="468"/>
      <c r="IAT59" s="468"/>
      <c r="IAU59" s="468"/>
      <c r="IAV59" s="468"/>
      <c r="IAW59" s="468"/>
      <c r="IAX59" s="468"/>
      <c r="IAY59" s="468"/>
      <c r="IAZ59" s="468"/>
      <c r="IBA59" s="468"/>
      <c r="IBB59" s="468"/>
      <c r="IBC59" s="468"/>
      <c r="IBD59" s="468"/>
      <c r="IBE59" s="468"/>
      <c r="IBF59" s="468"/>
      <c r="IBG59" s="468"/>
      <c r="IBH59" s="468"/>
      <c r="IBI59" s="468"/>
      <c r="IBJ59" s="468"/>
      <c r="IBK59" s="468"/>
      <c r="IBL59" s="468"/>
      <c r="IBM59" s="468"/>
      <c r="IBN59" s="468"/>
      <c r="IBO59" s="468"/>
      <c r="IBP59" s="468"/>
      <c r="IBQ59" s="468"/>
      <c r="IBR59" s="468"/>
      <c r="IBS59" s="468"/>
      <c r="IBT59" s="468"/>
      <c r="IBU59" s="468"/>
      <c r="IBV59" s="468"/>
      <c r="IBW59" s="468"/>
      <c r="IBX59" s="468"/>
      <c r="IBY59" s="468"/>
      <c r="IBZ59" s="468"/>
      <c r="ICA59" s="468"/>
      <c r="ICB59" s="468"/>
      <c r="ICC59" s="468"/>
      <c r="ICD59" s="468"/>
      <c r="ICE59" s="468"/>
      <c r="ICF59" s="468"/>
      <c r="ICG59" s="468"/>
      <c r="ICH59" s="468"/>
      <c r="ICI59" s="468"/>
      <c r="ICJ59" s="468"/>
      <c r="ICK59" s="468"/>
      <c r="ICL59" s="468"/>
      <c r="ICM59" s="468"/>
      <c r="ICN59" s="468"/>
      <c r="ICO59" s="468"/>
      <c r="ICP59" s="468"/>
      <c r="ICQ59" s="468"/>
      <c r="ICR59" s="468"/>
      <c r="ICS59" s="468"/>
      <c r="ICT59" s="468"/>
      <c r="ICU59" s="468"/>
      <c r="ICV59" s="468"/>
      <c r="ICW59" s="468"/>
      <c r="ICX59" s="468"/>
      <c r="ICY59" s="468"/>
      <c r="ICZ59" s="468"/>
      <c r="IDA59" s="468"/>
      <c r="IDB59" s="468"/>
      <c r="IDC59" s="468"/>
      <c r="IDD59" s="468"/>
      <c r="IDE59" s="468"/>
      <c r="IDF59" s="468"/>
      <c r="IDG59" s="468"/>
      <c r="IDH59" s="468"/>
      <c r="IDI59" s="468"/>
      <c r="IDJ59" s="468"/>
      <c r="IDK59" s="468"/>
      <c r="IDL59" s="468"/>
      <c r="IDM59" s="468"/>
      <c r="IDN59" s="468"/>
      <c r="IDO59" s="468"/>
      <c r="IDP59" s="468"/>
      <c r="IDQ59" s="468"/>
      <c r="IDR59" s="468"/>
      <c r="IDS59" s="468"/>
      <c r="IDT59" s="468"/>
      <c r="IDU59" s="468"/>
      <c r="IDV59" s="468"/>
      <c r="IDW59" s="468"/>
      <c r="IDX59" s="468"/>
      <c r="IDY59" s="468"/>
      <c r="IDZ59" s="468"/>
      <c r="IEA59" s="468"/>
      <c r="IEB59" s="468"/>
      <c r="IEC59" s="468"/>
      <c r="IED59" s="468"/>
      <c r="IEE59" s="468"/>
      <c r="IEF59" s="468"/>
      <c r="IEG59" s="468"/>
      <c r="IEH59" s="468"/>
      <c r="IEI59" s="468"/>
      <c r="IEJ59" s="468"/>
      <c r="IEK59" s="468"/>
      <c r="IEL59" s="468"/>
      <c r="IEM59" s="468"/>
      <c r="IEN59" s="468"/>
      <c r="IEO59" s="468"/>
      <c r="IEP59" s="468"/>
      <c r="IEQ59" s="468"/>
      <c r="IER59" s="468"/>
      <c r="IES59" s="468"/>
      <c r="IET59" s="468"/>
      <c r="IEU59" s="468"/>
      <c r="IEV59" s="468"/>
      <c r="IEW59" s="468"/>
      <c r="IEX59" s="468"/>
      <c r="IEY59" s="468"/>
      <c r="IEZ59" s="468"/>
      <c r="IFA59" s="468"/>
      <c r="IFB59" s="468"/>
      <c r="IFC59" s="468"/>
      <c r="IFD59" s="468"/>
      <c r="IFE59" s="468"/>
      <c r="IFF59" s="468"/>
      <c r="IFG59" s="468"/>
      <c r="IFH59" s="468"/>
      <c r="IFI59" s="468"/>
      <c r="IFJ59" s="468"/>
      <c r="IFK59" s="468"/>
      <c r="IFL59" s="468"/>
      <c r="IFM59" s="468"/>
      <c r="IFN59" s="468"/>
      <c r="IFO59" s="468"/>
      <c r="IFP59" s="468"/>
      <c r="IFQ59" s="468"/>
      <c r="IFR59" s="468"/>
      <c r="IFS59" s="468"/>
      <c r="IFT59" s="468"/>
      <c r="IFU59" s="468"/>
      <c r="IFV59" s="468"/>
      <c r="IFW59" s="468"/>
      <c r="IFX59" s="468"/>
      <c r="IFY59" s="468"/>
      <c r="IFZ59" s="468"/>
      <c r="IGA59" s="468"/>
      <c r="IGB59" s="468"/>
      <c r="IGC59" s="468"/>
      <c r="IGD59" s="468"/>
      <c r="IGE59" s="468"/>
      <c r="IGF59" s="468"/>
      <c r="IGG59" s="468"/>
      <c r="IGH59" s="468"/>
      <c r="IGI59" s="468"/>
      <c r="IGJ59" s="468"/>
      <c r="IGK59" s="468"/>
      <c r="IGL59" s="468"/>
      <c r="IGM59" s="468"/>
      <c r="IGN59" s="468"/>
      <c r="IGO59" s="468"/>
      <c r="IGP59" s="468"/>
      <c r="IGQ59" s="468"/>
      <c r="IGR59" s="468"/>
      <c r="IGS59" s="468"/>
      <c r="IGT59" s="468"/>
      <c r="IGU59" s="468"/>
      <c r="IGV59" s="468"/>
      <c r="IGW59" s="468"/>
      <c r="IGX59" s="468"/>
      <c r="IGY59" s="468"/>
      <c r="IGZ59" s="468"/>
      <c r="IHA59" s="468"/>
      <c r="IHB59" s="468"/>
      <c r="IHC59" s="468"/>
      <c r="IHD59" s="468"/>
      <c r="IHE59" s="468"/>
      <c r="IHF59" s="468"/>
      <c r="IHG59" s="468"/>
      <c r="IHH59" s="468"/>
      <c r="IHI59" s="468"/>
      <c r="IHJ59" s="468"/>
      <c r="IHK59" s="468"/>
      <c r="IHL59" s="468"/>
      <c r="IHM59" s="468"/>
      <c r="IHN59" s="468"/>
      <c r="IHO59" s="468"/>
      <c r="IHP59" s="468"/>
      <c r="IHQ59" s="468"/>
      <c r="IHR59" s="468"/>
      <c r="IHS59" s="468"/>
      <c r="IHT59" s="468"/>
      <c r="IHU59" s="468"/>
      <c r="IHV59" s="468"/>
      <c r="IHW59" s="468"/>
      <c r="IHX59" s="468"/>
      <c r="IHY59" s="468"/>
      <c r="IHZ59" s="468"/>
      <c r="IIA59" s="468"/>
      <c r="IIB59" s="468"/>
      <c r="IIC59" s="468"/>
      <c r="IID59" s="468"/>
      <c r="IIE59" s="468"/>
      <c r="IIF59" s="468"/>
      <c r="IIG59" s="468"/>
      <c r="IIH59" s="468"/>
      <c r="III59" s="468"/>
      <c r="IIJ59" s="468"/>
      <c r="IIK59" s="468"/>
      <c r="IIL59" s="468"/>
      <c r="IIM59" s="468"/>
      <c r="IIN59" s="468"/>
      <c r="IIO59" s="468"/>
      <c r="IIP59" s="468"/>
      <c r="IIQ59" s="468"/>
      <c r="IIR59" s="468"/>
      <c r="IIS59" s="468"/>
      <c r="IIT59" s="468"/>
      <c r="IIU59" s="468"/>
      <c r="IIV59" s="468"/>
      <c r="IIW59" s="468"/>
      <c r="IIX59" s="468"/>
      <c r="IIY59" s="468"/>
      <c r="IIZ59" s="468"/>
      <c r="IJA59" s="468"/>
      <c r="IJB59" s="468"/>
      <c r="IJC59" s="468"/>
      <c r="IJD59" s="468"/>
      <c r="IJE59" s="468"/>
      <c r="IJF59" s="468"/>
      <c r="IJG59" s="468"/>
      <c r="IJH59" s="468"/>
      <c r="IJI59" s="468"/>
      <c r="IJJ59" s="468"/>
      <c r="IJK59" s="468"/>
      <c r="IJL59" s="468"/>
      <c r="IJM59" s="468"/>
      <c r="IJN59" s="468"/>
      <c r="IJO59" s="468"/>
      <c r="IJP59" s="468"/>
      <c r="IJQ59" s="468"/>
      <c r="IJR59" s="468"/>
      <c r="IJS59" s="468"/>
      <c r="IJT59" s="468"/>
      <c r="IJU59" s="468"/>
      <c r="IJV59" s="468"/>
      <c r="IJW59" s="468"/>
      <c r="IJX59" s="468"/>
      <c r="IJY59" s="468"/>
      <c r="IJZ59" s="468"/>
      <c r="IKA59" s="468"/>
      <c r="IKB59" s="468"/>
      <c r="IKC59" s="468"/>
      <c r="IKD59" s="468"/>
      <c r="IKE59" s="468"/>
      <c r="IKF59" s="468"/>
      <c r="IKG59" s="468"/>
      <c r="IKH59" s="468"/>
      <c r="IKI59" s="468"/>
      <c r="IKJ59" s="468"/>
      <c r="IKK59" s="468"/>
      <c r="IKL59" s="468"/>
      <c r="IKM59" s="468"/>
      <c r="IKN59" s="468"/>
      <c r="IKO59" s="468"/>
      <c r="IKP59" s="468"/>
      <c r="IKQ59" s="468"/>
      <c r="IKR59" s="468"/>
      <c r="IKS59" s="468"/>
      <c r="IKT59" s="468"/>
      <c r="IKU59" s="468"/>
      <c r="IKV59" s="468"/>
      <c r="IKW59" s="468"/>
      <c r="IKX59" s="468"/>
      <c r="IKY59" s="468"/>
      <c r="IKZ59" s="468"/>
      <c r="ILA59" s="468"/>
      <c r="ILB59" s="468"/>
      <c r="ILC59" s="468"/>
      <c r="ILD59" s="468"/>
      <c r="ILE59" s="468"/>
      <c r="ILF59" s="468"/>
      <c r="ILG59" s="468"/>
      <c r="ILH59" s="468"/>
      <c r="ILI59" s="468"/>
      <c r="ILJ59" s="468"/>
      <c r="ILK59" s="468"/>
      <c r="ILL59" s="468"/>
      <c r="ILM59" s="468"/>
      <c r="ILN59" s="468"/>
      <c r="ILO59" s="468"/>
      <c r="ILP59" s="468"/>
      <c r="ILQ59" s="468"/>
      <c r="ILR59" s="468"/>
      <c r="ILS59" s="468"/>
      <c r="ILT59" s="468"/>
      <c r="ILU59" s="468"/>
      <c r="ILV59" s="468"/>
      <c r="ILW59" s="468"/>
      <c r="ILX59" s="468"/>
      <c r="ILY59" s="468"/>
      <c r="ILZ59" s="468"/>
      <c r="IMA59" s="468"/>
      <c r="IMB59" s="468"/>
      <c r="IMC59" s="468"/>
      <c r="IMD59" s="468"/>
      <c r="IME59" s="468"/>
      <c r="IMF59" s="468"/>
      <c r="IMG59" s="468"/>
      <c r="IMH59" s="468"/>
      <c r="IMI59" s="468"/>
      <c r="IMJ59" s="468"/>
      <c r="IMK59" s="468"/>
      <c r="IML59" s="468"/>
      <c r="IMM59" s="468"/>
      <c r="IMN59" s="468"/>
      <c r="IMO59" s="468"/>
      <c r="IMP59" s="468"/>
      <c r="IMQ59" s="468"/>
      <c r="IMR59" s="468"/>
      <c r="IMS59" s="468"/>
      <c r="IMT59" s="468"/>
      <c r="IMU59" s="468"/>
      <c r="IMV59" s="468"/>
      <c r="IMW59" s="468"/>
      <c r="IMX59" s="468"/>
      <c r="IMY59" s="468"/>
      <c r="IMZ59" s="468"/>
      <c r="INA59" s="468"/>
      <c r="INB59" s="468"/>
      <c r="INC59" s="468"/>
      <c r="IND59" s="468"/>
      <c r="INE59" s="468"/>
      <c r="INF59" s="468"/>
      <c r="ING59" s="468"/>
      <c r="INH59" s="468"/>
      <c r="INI59" s="468"/>
      <c r="INJ59" s="468"/>
      <c r="INK59" s="468"/>
      <c r="INL59" s="468"/>
      <c r="INM59" s="468"/>
      <c r="INN59" s="468"/>
      <c r="INO59" s="468"/>
      <c r="INP59" s="468"/>
      <c r="INQ59" s="468"/>
      <c r="INR59" s="468"/>
      <c r="INS59" s="468"/>
      <c r="INT59" s="468"/>
      <c r="INU59" s="468"/>
      <c r="INV59" s="468"/>
      <c r="INW59" s="468"/>
      <c r="INX59" s="468"/>
      <c r="INY59" s="468"/>
      <c r="INZ59" s="468"/>
      <c r="IOA59" s="468"/>
      <c r="IOB59" s="468"/>
      <c r="IOC59" s="468"/>
      <c r="IOD59" s="468"/>
      <c r="IOE59" s="468"/>
      <c r="IOF59" s="468"/>
      <c r="IOG59" s="468"/>
      <c r="IOH59" s="468"/>
      <c r="IOI59" s="468"/>
      <c r="IOJ59" s="468"/>
      <c r="IOK59" s="468"/>
      <c r="IOL59" s="468"/>
      <c r="IOM59" s="468"/>
      <c r="ION59" s="468"/>
      <c r="IOO59" s="468"/>
      <c r="IOP59" s="468"/>
      <c r="IOQ59" s="468"/>
      <c r="IOR59" s="468"/>
      <c r="IOS59" s="468"/>
      <c r="IOT59" s="468"/>
      <c r="IOU59" s="468"/>
      <c r="IOV59" s="468"/>
      <c r="IOW59" s="468"/>
      <c r="IOX59" s="468"/>
      <c r="IOY59" s="468"/>
      <c r="IOZ59" s="468"/>
      <c r="IPA59" s="468"/>
      <c r="IPB59" s="468"/>
      <c r="IPC59" s="468"/>
      <c r="IPD59" s="468"/>
      <c r="IPE59" s="468"/>
      <c r="IPF59" s="468"/>
      <c r="IPG59" s="468"/>
      <c r="IPH59" s="468"/>
      <c r="IPI59" s="468"/>
      <c r="IPJ59" s="468"/>
      <c r="IPK59" s="468"/>
      <c r="IPL59" s="468"/>
      <c r="IPM59" s="468"/>
      <c r="IPN59" s="468"/>
      <c r="IPO59" s="468"/>
      <c r="IPP59" s="468"/>
      <c r="IPQ59" s="468"/>
      <c r="IPR59" s="468"/>
      <c r="IPS59" s="468"/>
      <c r="IPT59" s="468"/>
      <c r="IPU59" s="468"/>
      <c r="IPV59" s="468"/>
      <c r="IPW59" s="468"/>
      <c r="IPX59" s="468"/>
      <c r="IPY59" s="468"/>
      <c r="IPZ59" s="468"/>
      <c r="IQA59" s="468"/>
      <c r="IQB59" s="468"/>
      <c r="IQC59" s="468"/>
      <c r="IQD59" s="468"/>
      <c r="IQE59" s="468"/>
      <c r="IQF59" s="468"/>
      <c r="IQG59" s="468"/>
      <c r="IQH59" s="468"/>
      <c r="IQI59" s="468"/>
      <c r="IQJ59" s="468"/>
      <c r="IQK59" s="468"/>
      <c r="IQL59" s="468"/>
      <c r="IQM59" s="468"/>
      <c r="IQN59" s="468"/>
      <c r="IQO59" s="468"/>
      <c r="IQP59" s="468"/>
      <c r="IQQ59" s="468"/>
      <c r="IQR59" s="468"/>
      <c r="IQS59" s="468"/>
      <c r="IQT59" s="468"/>
      <c r="IQU59" s="468"/>
      <c r="IQV59" s="468"/>
      <c r="IQW59" s="468"/>
      <c r="IQX59" s="468"/>
      <c r="IQY59" s="468"/>
      <c r="IQZ59" s="468"/>
      <c r="IRA59" s="468"/>
      <c r="IRB59" s="468"/>
      <c r="IRC59" s="468"/>
      <c r="IRD59" s="468"/>
      <c r="IRE59" s="468"/>
      <c r="IRF59" s="468"/>
      <c r="IRG59" s="468"/>
      <c r="IRH59" s="468"/>
      <c r="IRI59" s="468"/>
      <c r="IRJ59" s="468"/>
      <c r="IRK59" s="468"/>
      <c r="IRL59" s="468"/>
      <c r="IRM59" s="468"/>
      <c r="IRN59" s="468"/>
      <c r="IRO59" s="468"/>
      <c r="IRP59" s="468"/>
      <c r="IRQ59" s="468"/>
      <c r="IRR59" s="468"/>
      <c r="IRS59" s="468"/>
      <c r="IRT59" s="468"/>
      <c r="IRU59" s="468"/>
      <c r="IRV59" s="468"/>
      <c r="IRW59" s="468"/>
      <c r="IRX59" s="468"/>
      <c r="IRY59" s="468"/>
      <c r="IRZ59" s="468"/>
      <c r="ISA59" s="468"/>
      <c r="ISB59" s="468"/>
      <c r="ISC59" s="468"/>
      <c r="ISD59" s="468"/>
      <c r="ISE59" s="468"/>
      <c r="ISF59" s="468"/>
      <c r="ISG59" s="468"/>
      <c r="ISH59" s="468"/>
      <c r="ISI59" s="468"/>
      <c r="ISJ59" s="468"/>
      <c r="ISK59" s="468"/>
      <c r="ISL59" s="468"/>
      <c r="ISM59" s="468"/>
      <c r="ISN59" s="468"/>
      <c r="ISO59" s="468"/>
      <c r="ISP59" s="468"/>
      <c r="ISQ59" s="468"/>
      <c r="ISR59" s="468"/>
      <c r="ISS59" s="468"/>
      <c r="IST59" s="468"/>
      <c r="ISU59" s="468"/>
      <c r="ISV59" s="468"/>
      <c r="ISW59" s="468"/>
      <c r="ISX59" s="468"/>
      <c r="ISY59" s="468"/>
      <c r="ISZ59" s="468"/>
      <c r="ITA59" s="468"/>
      <c r="ITB59" s="468"/>
      <c r="ITC59" s="468"/>
      <c r="ITD59" s="468"/>
      <c r="ITE59" s="468"/>
      <c r="ITF59" s="468"/>
      <c r="ITG59" s="468"/>
      <c r="ITH59" s="468"/>
      <c r="ITI59" s="468"/>
      <c r="ITJ59" s="468"/>
      <c r="ITK59" s="468"/>
      <c r="ITL59" s="468"/>
      <c r="ITM59" s="468"/>
      <c r="ITN59" s="468"/>
      <c r="ITO59" s="468"/>
      <c r="ITP59" s="468"/>
      <c r="ITQ59" s="468"/>
      <c r="ITR59" s="468"/>
      <c r="ITS59" s="468"/>
      <c r="ITT59" s="468"/>
      <c r="ITU59" s="468"/>
      <c r="ITV59" s="468"/>
      <c r="ITW59" s="468"/>
      <c r="ITX59" s="468"/>
      <c r="ITY59" s="468"/>
      <c r="ITZ59" s="468"/>
      <c r="IUA59" s="468"/>
      <c r="IUB59" s="468"/>
      <c r="IUC59" s="468"/>
      <c r="IUD59" s="468"/>
      <c r="IUE59" s="468"/>
      <c r="IUF59" s="468"/>
      <c r="IUG59" s="468"/>
      <c r="IUH59" s="468"/>
      <c r="IUI59" s="468"/>
      <c r="IUJ59" s="468"/>
      <c r="IUK59" s="468"/>
      <c r="IUL59" s="468"/>
      <c r="IUM59" s="468"/>
      <c r="IUN59" s="468"/>
      <c r="IUO59" s="468"/>
      <c r="IUP59" s="468"/>
      <c r="IUQ59" s="468"/>
      <c r="IUR59" s="468"/>
      <c r="IUS59" s="468"/>
      <c r="IUT59" s="468"/>
      <c r="IUU59" s="468"/>
      <c r="IUV59" s="468"/>
      <c r="IUW59" s="468"/>
      <c r="IUX59" s="468"/>
      <c r="IUY59" s="468"/>
      <c r="IUZ59" s="468"/>
      <c r="IVA59" s="468"/>
      <c r="IVB59" s="468"/>
      <c r="IVC59" s="468"/>
      <c r="IVD59" s="468"/>
      <c r="IVE59" s="468"/>
      <c r="IVF59" s="468"/>
      <c r="IVG59" s="468"/>
      <c r="IVH59" s="468"/>
      <c r="IVI59" s="468"/>
      <c r="IVJ59" s="468"/>
      <c r="IVK59" s="468"/>
      <c r="IVL59" s="468"/>
      <c r="IVM59" s="468"/>
      <c r="IVN59" s="468"/>
      <c r="IVO59" s="468"/>
      <c r="IVP59" s="468"/>
      <c r="IVQ59" s="468"/>
      <c r="IVR59" s="468"/>
      <c r="IVS59" s="468"/>
      <c r="IVT59" s="468"/>
      <c r="IVU59" s="468"/>
      <c r="IVV59" s="468"/>
      <c r="IVW59" s="468"/>
      <c r="IVX59" s="468"/>
      <c r="IVY59" s="468"/>
      <c r="IVZ59" s="468"/>
      <c r="IWA59" s="468"/>
      <c r="IWB59" s="468"/>
      <c r="IWC59" s="468"/>
      <c r="IWD59" s="468"/>
      <c r="IWE59" s="468"/>
      <c r="IWF59" s="468"/>
      <c r="IWG59" s="468"/>
      <c r="IWH59" s="468"/>
      <c r="IWI59" s="468"/>
      <c r="IWJ59" s="468"/>
      <c r="IWK59" s="468"/>
      <c r="IWL59" s="468"/>
      <c r="IWM59" s="468"/>
      <c r="IWN59" s="468"/>
      <c r="IWO59" s="468"/>
      <c r="IWP59" s="468"/>
      <c r="IWQ59" s="468"/>
      <c r="IWR59" s="468"/>
      <c r="IWS59" s="468"/>
      <c r="IWT59" s="468"/>
      <c r="IWU59" s="468"/>
      <c r="IWV59" s="468"/>
      <c r="IWW59" s="468"/>
      <c r="IWX59" s="468"/>
      <c r="IWY59" s="468"/>
      <c r="IWZ59" s="468"/>
      <c r="IXA59" s="468"/>
      <c r="IXB59" s="468"/>
      <c r="IXC59" s="468"/>
      <c r="IXD59" s="468"/>
      <c r="IXE59" s="468"/>
      <c r="IXF59" s="468"/>
      <c r="IXG59" s="468"/>
      <c r="IXH59" s="468"/>
      <c r="IXI59" s="468"/>
      <c r="IXJ59" s="468"/>
      <c r="IXK59" s="468"/>
      <c r="IXL59" s="468"/>
      <c r="IXM59" s="468"/>
      <c r="IXN59" s="468"/>
      <c r="IXO59" s="468"/>
      <c r="IXP59" s="468"/>
      <c r="IXQ59" s="468"/>
      <c r="IXR59" s="468"/>
      <c r="IXS59" s="468"/>
      <c r="IXT59" s="468"/>
      <c r="IXU59" s="468"/>
      <c r="IXV59" s="468"/>
      <c r="IXW59" s="468"/>
      <c r="IXX59" s="468"/>
      <c r="IXY59" s="468"/>
      <c r="IXZ59" s="468"/>
      <c r="IYA59" s="468"/>
      <c r="IYB59" s="468"/>
      <c r="IYC59" s="468"/>
      <c r="IYD59" s="468"/>
      <c r="IYE59" s="468"/>
      <c r="IYF59" s="468"/>
      <c r="IYG59" s="468"/>
      <c r="IYH59" s="468"/>
      <c r="IYI59" s="468"/>
      <c r="IYJ59" s="468"/>
      <c r="IYK59" s="468"/>
      <c r="IYL59" s="468"/>
      <c r="IYM59" s="468"/>
      <c r="IYN59" s="468"/>
      <c r="IYO59" s="468"/>
      <c r="IYP59" s="468"/>
      <c r="IYQ59" s="468"/>
      <c r="IYR59" s="468"/>
      <c r="IYS59" s="468"/>
      <c r="IYT59" s="468"/>
      <c r="IYU59" s="468"/>
      <c r="IYV59" s="468"/>
      <c r="IYW59" s="468"/>
      <c r="IYX59" s="468"/>
      <c r="IYY59" s="468"/>
      <c r="IYZ59" s="468"/>
      <c r="IZA59" s="468"/>
      <c r="IZB59" s="468"/>
      <c r="IZC59" s="468"/>
      <c r="IZD59" s="468"/>
      <c r="IZE59" s="468"/>
      <c r="IZF59" s="468"/>
      <c r="IZG59" s="468"/>
      <c r="IZH59" s="468"/>
      <c r="IZI59" s="468"/>
      <c r="IZJ59" s="468"/>
      <c r="IZK59" s="468"/>
      <c r="IZL59" s="468"/>
      <c r="IZM59" s="468"/>
      <c r="IZN59" s="468"/>
      <c r="IZO59" s="468"/>
      <c r="IZP59" s="468"/>
      <c r="IZQ59" s="468"/>
      <c r="IZR59" s="468"/>
      <c r="IZS59" s="468"/>
      <c r="IZT59" s="468"/>
      <c r="IZU59" s="468"/>
      <c r="IZV59" s="468"/>
      <c r="IZW59" s="468"/>
      <c r="IZX59" s="468"/>
      <c r="IZY59" s="468"/>
      <c r="IZZ59" s="468"/>
      <c r="JAA59" s="468"/>
      <c r="JAB59" s="468"/>
      <c r="JAC59" s="468"/>
      <c r="JAD59" s="468"/>
      <c r="JAE59" s="468"/>
      <c r="JAF59" s="468"/>
      <c r="JAG59" s="468"/>
      <c r="JAH59" s="468"/>
      <c r="JAI59" s="468"/>
      <c r="JAJ59" s="468"/>
      <c r="JAK59" s="468"/>
      <c r="JAL59" s="468"/>
      <c r="JAM59" s="468"/>
      <c r="JAN59" s="468"/>
      <c r="JAO59" s="468"/>
      <c r="JAP59" s="468"/>
      <c r="JAQ59" s="468"/>
      <c r="JAR59" s="468"/>
      <c r="JAS59" s="468"/>
      <c r="JAT59" s="468"/>
      <c r="JAU59" s="468"/>
      <c r="JAV59" s="468"/>
      <c r="JAW59" s="468"/>
      <c r="JAX59" s="468"/>
      <c r="JAY59" s="468"/>
      <c r="JAZ59" s="468"/>
      <c r="JBA59" s="468"/>
      <c r="JBB59" s="468"/>
      <c r="JBC59" s="468"/>
      <c r="JBD59" s="468"/>
      <c r="JBE59" s="468"/>
      <c r="JBF59" s="468"/>
      <c r="JBG59" s="468"/>
      <c r="JBH59" s="468"/>
      <c r="JBI59" s="468"/>
      <c r="JBJ59" s="468"/>
      <c r="JBK59" s="468"/>
      <c r="JBL59" s="468"/>
      <c r="JBM59" s="468"/>
      <c r="JBN59" s="468"/>
      <c r="JBO59" s="468"/>
      <c r="JBP59" s="468"/>
      <c r="JBQ59" s="468"/>
      <c r="JBR59" s="468"/>
      <c r="JBS59" s="468"/>
      <c r="JBT59" s="468"/>
      <c r="JBU59" s="468"/>
      <c r="JBV59" s="468"/>
      <c r="JBW59" s="468"/>
      <c r="JBX59" s="468"/>
      <c r="JBY59" s="468"/>
      <c r="JBZ59" s="468"/>
      <c r="JCA59" s="468"/>
      <c r="JCB59" s="468"/>
      <c r="JCC59" s="468"/>
      <c r="JCD59" s="468"/>
      <c r="JCE59" s="468"/>
      <c r="JCF59" s="468"/>
      <c r="JCG59" s="468"/>
      <c r="JCH59" s="468"/>
      <c r="JCI59" s="468"/>
      <c r="JCJ59" s="468"/>
      <c r="JCK59" s="468"/>
      <c r="JCL59" s="468"/>
      <c r="JCM59" s="468"/>
      <c r="JCN59" s="468"/>
      <c r="JCO59" s="468"/>
      <c r="JCP59" s="468"/>
      <c r="JCQ59" s="468"/>
      <c r="JCR59" s="468"/>
      <c r="JCS59" s="468"/>
      <c r="JCT59" s="468"/>
      <c r="JCU59" s="468"/>
      <c r="JCV59" s="468"/>
      <c r="JCW59" s="468"/>
      <c r="JCX59" s="468"/>
      <c r="JCY59" s="468"/>
      <c r="JCZ59" s="468"/>
      <c r="JDA59" s="468"/>
      <c r="JDB59" s="468"/>
      <c r="JDC59" s="468"/>
      <c r="JDD59" s="468"/>
      <c r="JDE59" s="468"/>
      <c r="JDF59" s="468"/>
      <c r="JDG59" s="468"/>
      <c r="JDH59" s="468"/>
      <c r="JDI59" s="468"/>
      <c r="JDJ59" s="468"/>
      <c r="JDK59" s="468"/>
      <c r="JDL59" s="468"/>
      <c r="JDM59" s="468"/>
      <c r="JDN59" s="468"/>
      <c r="JDO59" s="468"/>
      <c r="JDP59" s="468"/>
      <c r="JDQ59" s="468"/>
      <c r="JDR59" s="468"/>
      <c r="JDS59" s="468"/>
      <c r="JDT59" s="468"/>
      <c r="JDU59" s="468"/>
      <c r="JDV59" s="468"/>
      <c r="JDW59" s="468"/>
      <c r="JDX59" s="468"/>
      <c r="JDY59" s="468"/>
      <c r="JDZ59" s="468"/>
      <c r="JEA59" s="468"/>
      <c r="JEB59" s="468"/>
      <c r="JEC59" s="468"/>
      <c r="JED59" s="468"/>
      <c r="JEE59" s="468"/>
      <c r="JEF59" s="468"/>
      <c r="JEG59" s="468"/>
      <c r="JEH59" s="468"/>
      <c r="JEI59" s="468"/>
      <c r="JEJ59" s="468"/>
      <c r="JEK59" s="468"/>
      <c r="JEL59" s="468"/>
      <c r="JEM59" s="468"/>
      <c r="JEN59" s="468"/>
      <c r="JEO59" s="468"/>
      <c r="JEP59" s="468"/>
      <c r="JEQ59" s="468"/>
      <c r="JER59" s="468"/>
      <c r="JES59" s="468"/>
      <c r="JET59" s="468"/>
      <c r="JEU59" s="468"/>
      <c r="JEV59" s="468"/>
      <c r="JEW59" s="468"/>
      <c r="JEX59" s="468"/>
      <c r="JEY59" s="468"/>
      <c r="JEZ59" s="468"/>
      <c r="JFA59" s="468"/>
      <c r="JFB59" s="468"/>
      <c r="JFC59" s="468"/>
      <c r="JFD59" s="468"/>
      <c r="JFE59" s="468"/>
      <c r="JFF59" s="468"/>
      <c r="JFG59" s="468"/>
      <c r="JFH59" s="468"/>
      <c r="JFI59" s="468"/>
      <c r="JFJ59" s="468"/>
      <c r="JFK59" s="468"/>
      <c r="JFL59" s="468"/>
      <c r="JFM59" s="468"/>
      <c r="JFN59" s="468"/>
      <c r="JFO59" s="468"/>
      <c r="JFP59" s="468"/>
      <c r="JFQ59" s="468"/>
      <c r="JFR59" s="468"/>
      <c r="JFS59" s="468"/>
      <c r="JFT59" s="468"/>
      <c r="JFU59" s="468"/>
      <c r="JFV59" s="468"/>
      <c r="JFW59" s="468"/>
      <c r="JFX59" s="468"/>
      <c r="JFY59" s="468"/>
      <c r="JFZ59" s="468"/>
      <c r="JGA59" s="468"/>
      <c r="JGB59" s="468"/>
      <c r="JGC59" s="468"/>
      <c r="JGD59" s="468"/>
      <c r="JGE59" s="468"/>
      <c r="JGF59" s="468"/>
      <c r="JGG59" s="468"/>
      <c r="JGH59" s="468"/>
      <c r="JGI59" s="468"/>
      <c r="JGJ59" s="468"/>
      <c r="JGK59" s="468"/>
      <c r="JGL59" s="468"/>
      <c r="JGM59" s="468"/>
      <c r="JGN59" s="468"/>
      <c r="JGO59" s="468"/>
      <c r="JGP59" s="468"/>
      <c r="JGQ59" s="468"/>
      <c r="JGR59" s="468"/>
      <c r="JGS59" s="468"/>
      <c r="JGT59" s="468"/>
      <c r="JGU59" s="468"/>
      <c r="JGV59" s="468"/>
      <c r="JGW59" s="468"/>
      <c r="JGX59" s="468"/>
      <c r="JGY59" s="468"/>
      <c r="JGZ59" s="468"/>
      <c r="JHA59" s="468"/>
      <c r="JHB59" s="468"/>
      <c r="JHC59" s="468"/>
      <c r="JHD59" s="468"/>
      <c r="JHE59" s="468"/>
      <c r="JHF59" s="468"/>
      <c r="JHG59" s="468"/>
      <c r="JHH59" s="468"/>
      <c r="JHI59" s="468"/>
      <c r="JHJ59" s="468"/>
      <c r="JHK59" s="468"/>
      <c r="JHL59" s="468"/>
      <c r="JHM59" s="468"/>
      <c r="JHN59" s="468"/>
      <c r="JHO59" s="468"/>
      <c r="JHP59" s="468"/>
      <c r="JHQ59" s="468"/>
      <c r="JHR59" s="468"/>
      <c r="JHS59" s="468"/>
      <c r="JHT59" s="468"/>
      <c r="JHU59" s="468"/>
      <c r="JHV59" s="468"/>
      <c r="JHW59" s="468"/>
      <c r="JHX59" s="468"/>
      <c r="JHY59" s="468"/>
      <c r="JHZ59" s="468"/>
      <c r="JIA59" s="468"/>
      <c r="JIB59" s="468"/>
      <c r="JIC59" s="468"/>
      <c r="JID59" s="468"/>
      <c r="JIE59" s="468"/>
      <c r="JIF59" s="468"/>
      <c r="JIG59" s="468"/>
      <c r="JIH59" s="468"/>
      <c r="JII59" s="468"/>
      <c r="JIJ59" s="468"/>
      <c r="JIK59" s="468"/>
      <c r="JIL59" s="468"/>
      <c r="JIM59" s="468"/>
      <c r="JIN59" s="468"/>
      <c r="JIO59" s="468"/>
      <c r="JIP59" s="468"/>
      <c r="JIQ59" s="468"/>
      <c r="JIR59" s="468"/>
      <c r="JIS59" s="468"/>
      <c r="JIT59" s="468"/>
      <c r="JIU59" s="468"/>
      <c r="JIV59" s="468"/>
      <c r="JIW59" s="468"/>
      <c r="JIX59" s="468"/>
      <c r="JIY59" s="468"/>
      <c r="JIZ59" s="468"/>
      <c r="JJA59" s="468"/>
      <c r="JJB59" s="468"/>
      <c r="JJC59" s="468"/>
      <c r="JJD59" s="468"/>
      <c r="JJE59" s="468"/>
      <c r="JJF59" s="468"/>
      <c r="JJG59" s="468"/>
      <c r="JJH59" s="468"/>
      <c r="JJI59" s="468"/>
      <c r="JJJ59" s="468"/>
      <c r="JJK59" s="468"/>
      <c r="JJL59" s="468"/>
      <c r="JJM59" s="468"/>
      <c r="JJN59" s="468"/>
      <c r="JJO59" s="468"/>
      <c r="JJP59" s="468"/>
      <c r="JJQ59" s="468"/>
      <c r="JJR59" s="468"/>
      <c r="JJS59" s="468"/>
      <c r="JJT59" s="468"/>
      <c r="JJU59" s="468"/>
      <c r="JJV59" s="468"/>
      <c r="JJW59" s="468"/>
      <c r="JJX59" s="468"/>
      <c r="JJY59" s="468"/>
      <c r="JJZ59" s="468"/>
      <c r="JKA59" s="468"/>
      <c r="JKB59" s="468"/>
      <c r="JKC59" s="468"/>
      <c r="JKD59" s="468"/>
      <c r="JKE59" s="468"/>
      <c r="JKF59" s="468"/>
      <c r="JKG59" s="468"/>
      <c r="JKH59" s="468"/>
      <c r="JKI59" s="468"/>
      <c r="JKJ59" s="468"/>
      <c r="JKK59" s="468"/>
      <c r="JKL59" s="468"/>
      <c r="JKM59" s="468"/>
      <c r="JKN59" s="468"/>
      <c r="JKO59" s="468"/>
      <c r="JKP59" s="468"/>
      <c r="JKQ59" s="468"/>
      <c r="JKR59" s="468"/>
      <c r="JKS59" s="468"/>
      <c r="JKT59" s="468"/>
      <c r="JKU59" s="468"/>
      <c r="JKV59" s="468"/>
      <c r="JKW59" s="468"/>
      <c r="JKX59" s="468"/>
      <c r="JKY59" s="468"/>
      <c r="JKZ59" s="468"/>
      <c r="JLA59" s="468"/>
      <c r="JLB59" s="468"/>
      <c r="JLC59" s="468"/>
      <c r="JLD59" s="468"/>
      <c r="JLE59" s="468"/>
      <c r="JLF59" s="468"/>
      <c r="JLG59" s="468"/>
      <c r="JLH59" s="468"/>
      <c r="JLI59" s="468"/>
      <c r="JLJ59" s="468"/>
      <c r="JLK59" s="468"/>
      <c r="JLL59" s="468"/>
      <c r="JLM59" s="468"/>
      <c r="JLN59" s="468"/>
      <c r="JLO59" s="468"/>
      <c r="JLP59" s="468"/>
      <c r="JLQ59" s="468"/>
      <c r="JLR59" s="468"/>
      <c r="JLS59" s="468"/>
      <c r="JLT59" s="468"/>
      <c r="JLU59" s="468"/>
      <c r="JLV59" s="468"/>
      <c r="JLW59" s="468"/>
      <c r="JLX59" s="468"/>
      <c r="JLY59" s="468"/>
      <c r="JLZ59" s="468"/>
      <c r="JMA59" s="468"/>
      <c r="JMB59" s="468"/>
      <c r="JMC59" s="468"/>
      <c r="JMD59" s="468"/>
      <c r="JME59" s="468"/>
      <c r="JMF59" s="468"/>
      <c r="JMG59" s="468"/>
      <c r="JMH59" s="468"/>
      <c r="JMI59" s="468"/>
      <c r="JMJ59" s="468"/>
      <c r="JMK59" s="468"/>
      <c r="JML59" s="468"/>
      <c r="JMM59" s="468"/>
      <c r="JMN59" s="468"/>
      <c r="JMO59" s="468"/>
      <c r="JMP59" s="468"/>
      <c r="JMQ59" s="468"/>
      <c r="JMR59" s="468"/>
      <c r="JMS59" s="468"/>
      <c r="JMT59" s="468"/>
      <c r="JMU59" s="468"/>
      <c r="JMV59" s="468"/>
      <c r="JMW59" s="468"/>
      <c r="JMX59" s="468"/>
      <c r="JMY59" s="468"/>
      <c r="JMZ59" s="468"/>
      <c r="JNA59" s="468"/>
      <c r="JNB59" s="468"/>
      <c r="JNC59" s="468"/>
      <c r="JND59" s="468"/>
      <c r="JNE59" s="468"/>
      <c r="JNF59" s="468"/>
      <c r="JNG59" s="468"/>
      <c r="JNH59" s="468"/>
      <c r="JNI59" s="468"/>
      <c r="JNJ59" s="468"/>
      <c r="JNK59" s="468"/>
      <c r="JNL59" s="468"/>
      <c r="JNM59" s="468"/>
      <c r="JNN59" s="468"/>
      <c r="JNO59" s="468"/>
      <c r="JNP59" s="468"/>
      <c r="JNQ59" s="468"/>
      <c r="JNR59" s="468"/>
      <c r="JNS59" s="468"/>
      <c r="JNT59" s="468"/>
      <c r="JNU59" s="468"/>
      <c r="JNV59" s="468"/>
      <c r="JNW59" s="468"/>
      <c r="JNX59" s="468"/>
      <c r="JNY59" s="468"/>
      <c r="JNZ59" s="468"/>
      <c r="JOA59" s="468"/>
      <c r="JOB59" s="468"/>
      <c r="JOC59" s="468"/>
      <c r="JOD59" s="468"/>
      <c r="JOE59" s="468"/>
      <c r="JOF59" s="468"/>
      <c r="JOG59" s="468"/>
      <c r="JOH59" s="468"/>
      <c r="JOI59" s="468"/>
      <c r="JOJ59" s="468"/>
      <c r="JOK59" s="468"/>
      <c r="JOL59" s="468"/>
      <c r="JOM59" s="468"/>
      <c r="JON59" s="468"/>
      <c r="JOO59" s="468"/>
      <c r="JOP59" s="468"/>
      <c r="JOQ59" s="468"/>
      <c r="JOR59" s="468"/>
      <c r="JOS59" s="468"/>
      <c r="JOT59" s="468"/>
      <c r="JOU59" s="468"/>
      <c r="JOV59" s="468"/>
      <c r="JOW59" s="468"/>
      <c r="JOX59" s="468"/>
      <c r="JOY59" s="468"/>
      <c r="JOZ59" s="468"/>
      <c r="JPA59" s="468"/>
      <c r="JPB59" s="468"/>
      <c r="JPC59" s="468"/>
      <c r="JPD59" s="468"/>
      <c r="JPE59" s="468"/>
      <c r="JPF59" s="468"/>
      <c r="JPG59" s="468"/>
      <c r="JPH59" s="468"/>
      <c r="JPI59" s="468"/>
      <c r="JPJ59" s="468"/>
      <c r="JPK59" s="468"/>
      <c r="JPL59" s="468"/>
      <c r="JPM59" s="468"/>
      <c r="JPN59" s="468"/>
      <c r="JPO59" s="468"/>
      <c r="JPP59" s="468"/>
      <c r="JPQ59" s="468"/>
      <c r="JPR59" s="468"/>
      <c r="JPS59" s="468"/>
      <c r="JPT59" s="468"/>
      <c r="JPU59" s="468"/>
      <c r="JPV59" s="468"/>
      <c r="JPW59" s="468"/>
      <c r="JPX59" s="468"/>
      <c r="JPY59" s="468"/>
      <c r="JPZ59" s="468"/>
      <c r="JQA59" s="468"/>
      <c r="JQB59" s="468"/>
      <c r="JQC59" s="468"/>
      <c r="JQD59" s="468"/>
      <c r="JQE59" s="468"/>
      <c r="JQF59" s="468"/>
      <c r="JQG59" s="468"/>
      <c r="JQH59" s="468"/>
      <c r="JQI59" s="468"/>
      <c r="JQJ59" s="468"/>
      <c r="JQK59" s="468"/>
      <c r="JQL59" s="468"/>
      <c r="JQM59" s="468"/>
      <c r="JQN59" s="468"/>
      <c r="JQO59" s="468"/>
      <c r="JQP59" s="468"/>
      <c r="JQQ59" s="468"/>
      <c r="JQR59" s="468"/>
      <c r="JQS59" s="468"/>
      <c r="JQT59" s="468"/>
      <c r="JQU59" s="468"/>
      <c r="JQV59" s="468"/>
      <c r="JQW59" s="468"/>
      <c r="JQX59" s="468"/>
      <c r="JQY59" s="468"/>
      <c r="JQZ59" s="468"/>
      <c r="JRA59" s="468"/>
      <c r="JRB59" s="468"/>
      <c r="JRC59" s="468"/>
      <c r="JRD59" s="468"/>
      <c r="JRE59" s="468"/>
      <c r="JRF59" s="468"/>
      <c r="JRG59" s="468"/>
      <c r="JRH59" s="468"/>
      <c r="JRI59" s="468"/>
      <c r="JRJ59" s="468"/>
      <c r="JRK59" s="468"/>
      <c r="JRL59" s="468"/>
      <c r="JRM59" s="468"/>
      <c r="JRN59" s="468"/>
      <c r="JRO59" s="468"/>
      <c r="JRP59" s="468"/>
      <c r="JRQ59" s="468"/>
      <c r="JRR59" s="468"/>
      <c r="JRS59" s="468"/>
      <c r="JRT59" s="468"/>
      <c r="JRU59" s="468"/>
      <c r="JRV59" s="468"/>
      <c r="JRW59" s="468"/>
      <c r="JRX59" s="468"/>
      <c r="JRY59" s="468"/>
      <c r="JRZ59" s="468"/>
      <c r="JSA59" s="468"/>
      <c r="JSB59" s="468"/>
      <c r="JSC59" s="468"/>
      <c r="JSD59" s="468"/>
      <c r="JSE59" s="468"/>
      <c r="JSF59" s="468"/>
      <c r="JSG59" s="468"/>
      <c r="JSH59" s="468"/>
      <c r="JSI59" s="468"/>
      <c r="JSJ59" s="468"/>
      <c r="JSK59" s="468"/>
      <c r="JSL59" s="468"/>
      <c r="JSM59" s="468"/>
      <c r="JSN59" s="468"/>
      <c r="JSO59" s="468"/>
      <c r="JSP59" s="468"/>
      <c r="JSQ59" s="468"/>
      <c r="JSR59" s="468"/>
      <c r="JSS59" s="468"/>
      <c r="JST59" s="468"/>
      <c r="JSU59" s="468"/>
      <c r="JSV59" s="468"/>
      <c r="JSW59" s="468"/>
      <c r="JSX59" s="468"/>
      <c r="JSY59" s="468"/>
      <c r="JSZ59" s="468"/>
      <c r="JTA59" s="468"/>
      <c r="JTB59" s="468"/>
      <c r="JTC59" s="468"/>
      <c r="JTD59" s="468"/>
      <c r="JTE59" s="468"/>
      <c r="JTF59" s="468"/>
      <c r="JTG59" s="468"/>
      <c r="JTH59" s="468"/>
      <c r="JTI59" s="468"/>
      <c r="JTJ59" s="468"/>
      <c r="JTK59" s="468"/>
      <c r="JTL59" s="468"/>
      <c r="JTM59" s="468"/>
      <c r="JTN59" s="468"/>
      <c r="JTO59" s="468"/>
      <c r="JTP59" s="468"/>
      <c r="JTQ59" s="468"/>
      <c r="JTR59" s="468"/>
      <c r="JTS59" s="468"/>
      <c r="JTT59" s="468"/>
      <c r="JTU59" s="468"/>
      <c r="JTV59" s="468"/>
      <c r="JTW59" s="468"/>
      <c r="JTX59" s="468"/>
      <c r="JTY59" s="468"/>
      <c r="JTZ59" s="468"/>
      <c r="JUA59" s="468"/>
      <c r="JUB59" s="468"/>
      <c r="JUC59" s="468"/>
      <c r="JUD59" s="468"/>
      <c r="JUE59" s="468"/>
      <c r="JUF59" s="468"/>
      <c r="JUG59" s="468"/>
      <c r="JUH59" s="468"/>
      <c r="JUI59" s="468"/>
      <c r="JUJ59" s="468"/>
      <c r="JUK59" s="468"/>
      <c r="JUL59" s="468"/>
      <c r="JUM59" s="468"/>
      <c r="JUN59" s="468"/>
      <c r="JUO59" s="468"/>
      <c r="JUP59" s="468"/>
      <c r="JUQ59" s="468"/>
      <c r="JUR59" s="468"/>
      <c r="JUS59" s="468"/>
      <c r="JUT59" s="468"/>
      <c r="JUU59" s="468"/>
      <c r="JUV59" s="468"/>
      <c r="JUW59" s="468"/>
      <c r="JUX59" s="468"/>
      <c r="JUY59" s="468"/>
      <c r="JUZ59" s="468"/>
      <c r="JVA59" s="468"/>
      <c r="JVB59" s="468"/>
      <c r="JVC59" s="468"/>
      <c r="JVD59" s="468"/>
      <c r="JVE59" s="468"/>
      <c r="JVF59" s="468"/>
      <c r="JVG59" s="468"/>
      <c r="JVH59" s="468"/>
      <c r="JVI59" s="468"/>
      <c r="JVJ59" s="468"/>
      <c r="JVK59" s="468"/>
      <c r="JVL59" s="468"/>
      <c r="JVM59" s="468"/>
      <c r="JVN59" s="468"/>
      <c r="JVO59" s="468"/>
      <c r="JVP59" s="468"/>
      <c r="JVQ59" s="468"/>
      <c r="JVR59" s="468"/>
      <c r="JVS59" s="468"/>
      <c r="JVT59" s="468"/>
      <c r="JVU59" s="468"/>
      <c r="JVV59" s="468"/>
      <c r="JVW59" s="468"/>
      <c r="JVX59" s="468"/>
      <c r="JVY59" s="468"/>
      <c r="JVZ59" s="468"/>
      <c r="JWA59" s="468"/>
      <c r="JWB59" s="468"/>
      <c r="JWC59" s="468"/>
      <c r="JWD59" s="468"/>
      <c r="JWE59" s="468"/>
      <c r="JWF59" s="468"/>
      <c r="JWG59" s="468"/>
      <c r="JWH59" s="468"/>
      <c r="JWI59" s="468"/>
      <c r="JWJ59" s="468"/>
      <c r="JWK59" s="468"/>
      <c r="JWL59" s="468"/>
      <c r="JWM59" s="468"/>
      <c r="JWN59" s="468"/>
      <c r="JWO59" s="468"/>
      <c r="JWP59" s="468"/>
      <c r="JWQ59" s="468"/>
      <c r="JWR59" s="468"/>
      <c r="JWS59" s="468"/>
      <c r="JWT59" s="468"/>
      <c r="JWU59" s="468"/>
      <c r="JWV59" s="468"/>
      <c r="JWW59" s="468"/>
      <c r="JWX59" s="468"/>
      <c r="JWY59" s="468"/>
      <c r="JWZ59" s="468"/>
      <c r="JXA59" s="468"/>
      <c r="JXB59" s="468"/>
      <c r="JXC59" s="468"/>
      <c r="JXD59" s="468"/>
      <c r="JXE59" s="468"/>
      <c r="JXF59" s="468"/>
      <c r="JXG59" s="468"/>
      <c r="JXH59" s="468"/>
      <c r="JXI59" s="468"/>
      <c r="JXJ59" s="468"/>
      <c r="JXK59" s="468"/>
      <c r="JXL59" s="468"/>
      <c r="JXM59" s="468"/>
      <c r="JXN59" s="468"/>
      <c r="JXO59" s="468"/>
      <c r="JXP59" s="468"/>
      <c r="JXQ59" s="468"/>
      <c r="JXR59" s="468"/>
      <c r="JXS59" s="468"/>
      <c r="JXT59" s="468"/>
      <c r="JXU59" s="468"/>
      <c r="JXV59" s="468"/>
      <c r="JXW59" s="468"/>
      <c r="JXX59" s="468"/>
      <c r="JXY59" s="468"/>
      <c r="JXZ59" s="468"/>
      <c r="JYA59" s="468"/>
      <c r="JYB59" s="468"/>
      <c r="JYC59" s="468"/>
      <c r="JYD59" s="468"/>
      <c r="JYE59" s="468"/>
      <c r="JYF59" s="468"/>
      <c r="JYG59" s="468"/>
      <c r="JYH59" s="468"/>
      <c r="JYI59" s="468"/>
      <c r="JYJ59" s="468"/>
      <c r="JYK59" s="468"/>
      <c r="JYL59" s="468"/>
      <c r="JYM59" s="468"/>
      <c r="JYN59" s="468"/>
      <c r="JYO59" s="468"/>
      <c r="JYP59" s="468"/>
      <c r="JYQ59" s="468"/>
      <c r="JYR59" s="468"/>
      <c r="JYS59" s="468"/>
      <c r="JYT59" s="468"/>
      <c r="JYU59" s="468"/>
      <c r="JYV59" s="468"/>
      <c r="JYW59" s="468"/>
      <c r="JYX59" s="468"/>
      <c r="JYY59" s="468"/>
      <c r="JYZ59" s="468"/>
      <c r="JZA59" s="468"/>
      <c r="JZB59" s="468"/>
      <c r="JZC59" s="468"/>
      <c r="JZD59" s="468"/>
      <c r="JZE59" s="468"/>
      <c r="JZF59" s="468"/>
      <c r="JZG59" s="468"/>
      <c r="JZH59" s="468"/>
      <c r="JZI59" s="468"/>
      <c r="JZJ59" s="468"/>
      <c r="JZK59" s="468"/>
      <c r="JZL59" s="468"/>
      <c r="JZM59" s="468"/>
      <c r="JZN59" s="468"/>
      <c r="JZO59" s="468"/>
      <c r="JZP59" s="468"/>
      <c r="JZQ59" s="468"/>
      <c r="JZR59" s="468"/>
      <c r="JZS59" s="468"/>
      <c r="JZT59" s="468"/>
      <c r="JZU59" s="468"/>
      <c r="JZV59" s="468"/>
      <c r="JZW59" s="468"/>
      <c r="JZX59" s="468"/>
      <c r="JZY59" s="468"/>
      <c r="JZZ59" s="468"/>
      <c r="KAA59" s="468"/>
      <c r="KAB59" s="468"/>
      <c r="KAC59" s="468"/>
      <c r="KAD59" s="468"/>
      <c r="KAE59" s="468"/>
      <c r="KAF59" s="468"/>
      <c r="KAG59" s="468"/>
      <c r="KAH59" s="468"/>
      <c r="KAI59" s="468"/>
      <c r="KAJ59" s="468"/>
      <c r="KAK59" s="468"/>
      <c r="KAL59" s="468"/>
      <c r="KAM59" s="468"/>
      <c r="KAN59" s="468"/>
      <c r="KAO59" s="468"/>
      <c r="KAP59" s="468"/>
      <c r="KAQ59" s="468"/>
      <c r="KAR59" s="468"/>
      <c r="KAS59" s="468"/>
      <c r="KAT59" s="468"/>
      <c r="KAU59" s="468"/>
      <c r="KAV59" s="468"/>
      <c r="KAW59" s="468"/>
      <c r="KAX59" s="468"/>
      <c r="KAY59" s="468"/>
      <c r="KAZ59" s="468"/>
      <c r="KBA59" s="468"/>
      <c r="KBB59" s="468"/>
      <c r="KBC59" s="468"/>
      <c r="KBD59" s="468"/>
      <c r="KBE59" s="468"/>
      <c r="KBF59" s="468"/>
      <c r="KBG59" s="468"/>
      <c r="KBH59" s="468"/>
      <c r="KBI59" s="468"/>
      <c r="KBJ59" s="468"/>
      <c r="KBK59" s="468"/>
      <c r="KBL59" s="468"/>
      <c r="KBM59" s="468"/>
      <c r="KBN59" s="468"/>
      <c r="KBO59" s="468"/>
      <c r="KBP59" s="468"/>
      <c r="KBQ59" s="468"/>
      <c r="KBR59" s="468"/>
      <c r="KBS59" s="468"/>
      <c r="KBT59" s="468"/>
      <c r="KBU59" s="468"/>
      <c r="KBV59" s="468"/>
      <c r="KBW59" s="468"/>
      <c r="KBX59" s="468"/>
      <c r="KBY59" s="468"/>
      <c r="KBZ59" s="468"/>
      <c r="KCA59" s="468"/>
      <c r="KCB59" s="468"/>
      <c r="KCC59" s="468"/>
      <c r="KCD59" s="468"/>
      <c r="KCE59" s="468"/>
      <c r="KCF59" s="468"/>
      <c r="KCG59" s="468"/>
      <c r="KCH59" s="468"/>
      <c r="KCI59" s="468"/>
      <c r="KCJ59" s="468"/>
      <c r="KCK59" s="468"/>
      <c r="KCL59" s="468"/>
      <c r="KCM59" s="468"/>
      <c r="KCN59" s="468"/>
      <c r="KCO59" s="468"/>
      <c r="KCP59" s="468"/>
      <c r="KCQ59" s="468"/>
      <c r="KCR59" s="468"/>
      <c r="KCS59" s="468"/>
      <c r="KCT59" s="468"/>
      <c r="KCU59" s="468"/>
      <c r="KCV59" s="468"/>
      <c r="KCW59" s="468"/>
      <c r="KCX59" s="468"/>
      <c r="KCY59" s="468"/>
      <c r="KCZ59" s="468"/>
      <c r="KDA59" s="468"/>
      <c r="KDB59" s="468"/>
      <c r="KDC59" s="468"/>
      <c r="KDD59" s="468"/>
      <c r="KDE59" s="468"/>
      <c r="KDF59" s="468"/>
      <c r="KDG59" s="468"/>
      <c r="KDH59" s="468"/>
      <c r="KDI59" s="468"/>
      <c r="KDJ59" s="468"/>
      <c r="KDK59" s="468"/>
      <c r="KDL59" s="468"/>
      <c r="KDM59" s="468"/>
      <c r="KDN59" s="468"/>
      <c r="KDO59" s="468"/>
      <c r="KDP59" s="468"/>
      <c r="KDQ59" s="468"/>
      <c r="KDR59" s="468"/>
      <c r="KDS59" s="468"/>
      <c r="KDT59" s="468"/>
      <c r="KDU59" s="468"/>
      <c r="KDV59" s="468"/>
      <c r="KDW59" s="468"/>
      <c r="KDX59" s="468"/>
      <c r="KDY59" s="468"/>
      <c r="KDZ59" s="468"/>
      <c r="KEA59" s="468"/>
      <c r="KEB59" s="468"/>
      <c r="KEC59" s="468"/>
      <c r="KED59" s="468"/>
      <c r="KEE59" s="468"/>
      <c r="KEF59" s="468"/>
      <c r="KEG59" s="468"/>
      <c r="KEH59" s="468"/>
      <c r="KEI59" s="468"/>
      <c r="KEJ59" s="468"/>
      <c r="KEK59" s="468"/>
      <c r="KEL59" s="468"/>
      <c r="KEM59" s="468"/>
      <c r="KEN59" s="468"/>
      <c r="KEO59" s="468"/>
      <c r="KEP59" s="468"/>
      <c r="KEQ59" s="468"/>
      <c r="KER59" s="468"/>
      <c r="KES59" s="468"/>
      <c r="KET59" s="468"/>
      <c r="KEU59" s="468"/>
      <c r="KEV59" s="468"/>
      <c r="KEW59" s="468"/>
      <c r="KEX59" s="468"/>
      <c r="KEY59" s="468"/>
      <c r="KEZ59" s="468"/>
      <c r="KFA59" s="468"/>
      <c r="KFB59" s="468"/>
      <c r="KFC59" s="468"/>
      <c r="KFD59" s="468"/>
      <c r="KFE59" s="468"/>
      <c r="KFF59" s="468"/>
      <c r="KFG59" s="468"/>
      <c r="KFH59" s="468"/>
      <c r="KFI59" s="468"/>
      <c r="KFJ59" s="468"/>
      <c r="KFK59" s="468"/>
      <c r="KFL59" s="468"/>
      <c r="KFM59" s="468"/>
      <c r="KFN59" s="468"/>
      <c r="KFO59" s="468"/>
      <c r="KFP59" s="468"/>
      <c r="KFQ59" s="468"/>
      <c r="KFR59" s="468"/>
      <c r="KFS59" s="468"/>
      <c r="KFT59" s="468"/>
      <c r="KFU59" s="468"/>
      <c r="KFV59" s="468"/>
      <c r="KFW59" s="468"/>
      <c r="KFX59" s="468"/>
      <c r="KFY59" s="468"/>
      <c r="KFZ59" s="468"/>
      <c r="KGA59" s="468"/>
      <c r="KGB59" s="468"/>
      <c r="KGC59" s="468"/>
      <c r="KGD59" s="468"/>
      <c r="KGE59" s="468"/>
      <c r="KGF59" s="468"/>
      <c r="KGG59" s="468"/>
      <c r="KGH59" s="468"/>
      <c r="KGI59" s="468"/>
      <c r="KGJ59" s="468"/>
      <c r="KGK59" s="468"/>
      <c r="KGL59" s="468"/>
      <c r="KGM59" s="468"/>
      <c r="KGN59" s="468"/>
      <c r="KGO59" s="468"/>
      <c r="KGP59" s="468"/>
      <c r="KGQ59" s="468"/>
      <c r="KGR59" s="468"/>
      <c r="KGS59" s="468"/>
      <c r="KGT59" s="468"/>
      <c r="KGU59" s="468"/>
      <c r="KGV59" s="468"/>
      <c r="KGW59" s="468"/>
      <c r="KGX59" s="468"/>
      <c r="KGY59" s="468"/>
      <c r="KGZ59" s="468"/>
      <c r="KHA59" s="468"/>
      <c r="KHB59" s="468"/>
      <c r="KHC59" s="468"/>
      <c r="KHD59" s="468"/>
      <c r="KHE59" s="468"/>
      <c r="KHF59" s="468"/>
      <c r="KHG59" s="468"/>
      <c r="KHH59" s="468"/>
      <c r="KHI59" s="468"/>
      <c r="KHJ59" s="468"/>
      <c r="KHK59" s="468"/>
      <c r="KHL59" s="468"/>
      <c r="KHM59" s="468"/>
      <c r="KHN59" s="468"/>
      <c r="KHO59" s="468"/>
      <c r="KHP59" s="468"/>
      <c r="KHQ59" s="468"/>
      <c r="KHR59" s="468"/>
      <c r="KHS59" s="468"/>
      <c r="KHT59" s="468"/>
      <c r="KHU59" s="468"/>
      <c r="KHV59" s="468"/>
      <c r="KHW59" s="468"/>
      <c r="KHX59" s="468"/>
      <c r="KHY59" s="468"/>
      <c r="KHZ59" s="468"/>
      <c r="KIA59" s="468"/>
      <c r="KIB59" s="468"/>
      <c r="KIC59" s="468"/>
      <c r="KID59" s="468"/>
      <c r="KIE59" s="468"/>
      <c r="KIF59" s="468"/>
      <c r="KIG59" s="468"/>
      <c r="KIH59" s="468"/>
      <c r="KII59" s="468"/>
      <c r="KIJ59" s="468"/>
      <c r="KIK59" s="468"/>
      <c r="KIL59" s="468"/>
      <c r="KIM59" s="468"/>
      <c r="KIN59" s="468"/>
      <c r="KIO59" s="468"/>
      <c r="KIP59" s="468"/>
      <c r="KIQ59" s="468"/>
      <c r="KIR59" s="468"/>
      <c r="KIS59" s="468"/>
      <c r="KIT59" s="468"/>
      <c r="KIU59" s="468"/>
      <c r="KIV59" s="468"/>
      <c r="KIW59" s="468"/>
      <c r="KIX59" s="468"/>
      <c r="KIY59" s="468"/>
      <c r="KIZ59" s="468"/>
      <c r="KJA59" s="468"/>
      <c r="KJB59" s="468"/>
      <c r="KJC59" s="468"/>
      <c r="KJD59" s="468"/>
      <c r="KJE59" s="468"/>
      <c r="KJF59" s="468"/>
      <c r="KJG59" s="468"/>
      <c r="KJH59" s="468"/>
      <c r="KJI59" s="468"/>
      <c r="KJJ59" s="468"/>
      <c r="KJK59" s="468"/>
      <c r="KJL59" s="468"/>
      <c r="KJM59" s="468"/>
      <c r="KJN59" s="468"/>
      <c r="KJO59" s="468"/>
      <c r="KJP59" s="468"/>
      <c r="KJQ59" s="468"/>
      <c r="KJR59" s="468"/>
      <c r="KJS59" s="468"/>
      <c r="KJT59" s="468"/>
      <c r="KJU59" s="468"/>
      <c r="KJV59" s="468"/>
      <c r="KJW59" s="468"/>
      <c r="KJX59" s="468"/>
      <c r="KJY59" s="468"/>
      <c r="KJZ59" s="468"/>
      <c r="KKA59" s="468"/>
      <c r="KKB59" s="468"/>
      <c r="KKC59" s="468"/>
      <c r="KKD59" s="468"/>
      <c r="KKE59" s="468"/>
      <c r="KKF59" s="468"/>
      <c r="KKG59" s="468"/>
      <c r="KKH59" s="468"/>
      <c r="KKI59" s="468"/>
      <c r="KKJ59" s="468"/>
      <c r="KKK59" s="468"/>
      <c r="KKL59" s="468"/>
      <c r="KKM59" s="468"/>
      <c r="KKN59" s="468"/>
      <c r="KKO59" s="468"/>
      <c r="KKP59" s="468"/>
      <c r="KKQ59" s="468"/>
      <c r="KKR59" s="468"/>
      <c r="KKS59" s="468"/>
      <c r="KKT59" s="468"/>
      <c r="KKU59" s="468"/>
      <c r="KKV59" s="468"/>
      <c r="KKW59" s="468"/>
      <c r="KKX59" s="468"/>
      <c r="KKY59" s="468"/>
      <c r="KKZ59" s="468"/>
      <c r="KLA59" s="468"/>
      <c r="KLB59" s="468"/>
      <c r="KLC59" s="468"/>
      <c r="KLD59" s="468"/>
      <c r="KLE59" s="468"/>
      <c r="KLF59" s="468"/>
      <c r="KLG59" s="468"/>
      <c r="KLH59" s="468"/>
      <c r="KLI59" s="468"/>
      <c r="KLJ59" s="468"/>
      <c r="KLK59" s="468"/>
      <c r="KLL59" s="468"/>
      <c r="KLM59" s="468"/>
      <c r="KLN59" s="468"/>
      <c r="KLO59" s="468"/>
      <c r="KLP59" s="468"/>
      <c r="KLQ59" s="468"/>
      <c r="KLR59" s="468"/>
      <c r="KLS59" s="468"/>
      <c r="KLT59" s="468"/>
      <c r="KLU59" s="468"/>
      <c r="KLV59" s="468"/>
      <c r="KLW59" s="468"/>
      <c r="KLX59" s="468"/>
      <c r="KLY59" s="468"/>
      <c r="KLZ59" s="468"/>
      <c r="KMA59" s="468"/>
      <c r="KMB59" s="468"/>
      <c r="KMC59" s="468"/>
      <c r="KMD59" s="468"/>
      <c r="KME59" s="468"/>
      <c r="KMF59" s="468"/>
      <c r="KMG59" s="468"/>
      <c r="KMH59" s="468"/>
      <c r="KMI59" s="468"/>
      <c r="KMJ59" s="468"/>
      <c r="KMK59" s="468"/>
      <c r="KML59" s="468"/>
      <c r="KMM59" s="468"/>
      <c r="KMN59" s="468"/>
      <c r="KMO59" s="468"/>
      <c r="KMP59" s="468"/>
      <c r="KMQ59" s="468"/>
      <c r="KMR59" s="468"/>
      <c r="KMS59" s="468"/>
      <c r="KMT59" s="468"/>
      <c r="KMU59" s="468"/>
      <c r="KMV59" s="468"/>
      <c r="KMW59" s="468"/>
      <c r="KMX59" s="468"/>
      <c r="KMY59" s="468"/>
      <c r="KMZ59" s="468"/>
      <c r="KNA59" s="468"/>
      <c r="KNB59" s="468"/>
      <c r="KNC59" s="468"/>
      <c r="KND59" s="468"/>
      <c r="KNE59" s="468"/>
      <c r="KNF59" s="468"/>
      <c r="KNG59" s="468"/>
      <c r="KNH59" s="468"/>
      <c r="KNI59" s="468"/>
      <c r="KNJ59" s="468"/>
      <c r="KNK59" s="468"/>
      <c r="KNL59" s="468"/>
      <c r="KNM59" s="468"/>
      <c r="KNN59" s="468"/>
      <c r="KNO59" s="468"/>
      <c r="KNP59" s="468"/>
      <c r="KNQ59" s="468"/>
      <c r="KNR59" s="468"/>
      <c r="KNS59" s="468"/>
      <c r="KNT59" s="468"/>
      <c r="KNU59" s="468"/>
      <c r="KNV59" s="468"/>
      <c r="KNW59" s="468"/>
      <c r="KNX59" s="468"/>
      <c r="KNY59" s="468"/>
      <c r="KNZ59" s="468"/>
      <c r="KOA59" s="468"/>
      <c r="KOB59" s="468"/>
      <c r="KOC59" s="468"/>
      <c r="KOD59" s="468"/>
      <c r="KOE59" s="468"/>
      <c r="KOF59" s="468"/>
      <c r="KOG59" s="468"/>
      <c r="KOH59" s="468"/>
      <c r="KOI59" s="468"/>
      <c r="KOJ59" s="468"/>
      <c r="KOK59" s="468"/>
      <c r="KOL59" s="468"/>
      <c r="KOM59" s="468"/>
      <c r="KON59" s="468"/>
      <c r="KOO59" s="468"/>
      <c r="KOP59" s="468"/>
      <c r="KOQ59" s="468"/>
      <c r="KOR59" s="468"/>
      <c r="KOS59" s="468"/>
      <c r="KOT59" s="468"/>
      <c r="KOU59" s="468"/>
      <c r="KOV59" s="468"/>
      <c r="KOW59" s="468"/>
      <c r="KOX59" s="468"/>
      <c r="KOY59" s="468"/>
      <c r="KOZ59" s="468"/>
      <c r="KPA59" s="468"/>
      <c r="KPB59" s="468"/>
      <c r="KPC59" s="468"/>
      <c r="KPD59" s="468"/>
      <c r="KPE59" s="468"/>
      <c r="KPF59" s="468"/>
      <c r="KPG59" s="468"/>
      <c r="KPH59" s="468"/>
      <c r="KPI59" s="468"/>
      <c r="KPJ59" s="468"/>
      <c r="KPK59" s="468"/>
      <c r="KPL59" s="468"/>
      <c r="KPM59" s="468"/>
      <c r="KPN59" s="468"/>
      <c r="KPO59" s="468"/>
      <c r="KPP59" s="468"/>
      <c r="KPQ59" s="468"/>
      <c r="KPR59" s="468"/>
      <c r="KPS59" s="468"/>
      <c r="KPT59" s="468"/>
      <c r="KPU59" s="468"/>
      <c r="KPV59" s="468"/>
      <c r="KPW59" s="468"/>
      <c r="KPX59" s="468"/>
      <c r="KPY59" s="468"/>
      <c r="KPZ59" s="468"/>
      <c r="KQA59" s="468"/>
      <c r="KQB59" s="468"/>
      <c r="KQC59" s="468"/>
      <c r="KQD59" s="468"/>
      <c r="KQE59" s="468"/>
      <c r="KQF59" s="468"/>
      <c r="KQG59" s="468"/>
      <c r="KQH59" s="468"/>
      <c r="KQI59" s="468"/>
      <c r="KQJ59" s="468"/>
      <c r="KQK59" s="468"/>
      <c r="KQL59" s="468"/>
      <c r="KQM59" s="468"/>
      <c r="KQN59" s="468"/>
      <c r="KQO59" s="468"/>
      <c r="KQP59" s="468"/>
      <c r="KQQ59" s="468"/>
      <c r="KQR59" s="468"/>
      <c r="KQS59" s="468"/>
      <c r="KQT59" s="468"/>
      <c r="KQU59" s="468"/>
      <c r="KQV59" s="468"/>
      <c r="KQW59" s="468"/>
      <c r="KQX59" s="468"/>
      <c r="KQY59" s="468"/>
      <c r="KQZ59" s="468"/>
      <c r="KRA59" s="468"/>
      <c r="KRB59" s="468"/>
      <c r="KRC59" s="468"/>
      <c r="KRD59" s="468"/>
      <c r="KRE59" s="468"/>
      <c r="KRF59" s="468"/>
      <c r="KRG59" s="468"/>
      <c r="KRH59" s="468"/>
      <c r="KRI59" s="468"/>
      <c r="KRJ59" s="468"/>
      <c r="KRK59" s="468"/>
      <c r="KRL59" s="468"/>
      <c r="KRM59" s="468"/>
      <c r="KRN59" s="468"/>
      <c r="KRO59" s="468"/>
      <c r="KRP59" s="468"/>
      <c r="KRQ59" s="468"/>
      <c r="KRR59" s="468"/>
      <c r="KRS59" s="468"/>
      <c r="KRT59" s="468"/>
      <c r="KRU59" s="468"/>
      <c r="KRV59" s="468"/>
      <c r="KRW59" s="468"/>
      <c r="KRX59" s="468"/>
      <c r="KRY59" s="468"/>
      <c r="KRZ59" s="468"/>
      <c r="KSA59" s="468"/>
      <c r="KSB59" s="468"/>
      <c r="KSC59" s="468"/>
      <c r="KSD59" s="468"/>
      <c r="KSE59" s="468"/>
      <c r="KSF59" s="468"/>
      <c r="KSG59" s="468"/>
      <c r="KSH59" s="468"/>
      <c r="KSI59" s="468"/>
      <c r="KSJ59" s="468"/>
      <c r="KSK59" s="468"/>
      <c r="KSL59" s="468"/>
      <c r="KSM59" s="468"/>
      <c r="KSN59" s="468"/>
      <c r="KSO59" s="468"/>
      <c r="KSP59" s="468"/>
      <c r="KSQ59" s="468"/>
      <c r="KSR59" s="468"/>
      <c r="KSS59" s="468"/>
      <c r="KST59" s="468"/>
      <c r="KSU59" s="468"/>
      <c r="KSV59" s="468"/>
      <c r="KSW59" s="468"/>
      <c r="KSX59" s="468"/>
      <c r="KSY59" s="468"/>
      <c r="KSZ59" s="468"/>
      <c r="KTA59" s="468"/>
      <c r="KTB59" s="468"/>
      <c r="KTC59" s="468"/>
      <c r="KTD59" s="468"/>
      <c r="KTE59" s="468"/>
      <c r="KTF59" s="468"/>
      <c r="KTG59" s="468"/>
      <c r="KTH59" s="468"/>
      <c r="KTI59" s="468"/>
      <c r="KTJ59" s="468"/>
      <c r="KTK59" s="468"/>
      <c r="KTL59" s="468"/>
      <c r="KTM59" s="468"/>
      <c r="KTN59" s="468"/>
      <c r="KTO59" s="468"/>
      <c r="KTP59" s="468"/>
      <c r="KTQ59" s="468"/>
      <c r="KTR59" s="468"/>
      <c r="KTS59" s="468"/>
      <c r="KTT59" s="468"/>
      <c r="KTU59" s="468"/>
      <c r="KTV59" s="468"/>
      <c r="KTW59" s="468"/>
      <c r="KTX59" s="468"/>
      <c r="KTY59" s="468"/>
      <c r="KTZ59" s="468"/>
      <c r="KUA59" s="468"/>
      <c r="KUB59" s="468"/>
      <c r="KUC59" s="468"/>
      <c r="KUD59" s="468"/>
      <c r="KUE59" s="468"/>
      <c r="KUF59" s="468"/>
      <c r="KUG59" s="468"/>
      <c r="KUH59" s="468"/>
      <c r="KUI59" s="468"/>
      <c r="KUJ59" s="468"/>
      <c r="KUK59" s="468"/>
      <c r="KUL59" s="468"/>
      <c r="KUM59" s="468"/>
      <c r="KUN59" s="468"/>
      <c r="KUO59" s="468"/>
      <c r="KUP59" s="468"/>
      <c r="KUQ59" s="468"/>
      <c r="KUR59" s="468"/>
      <c r="KUS59" s="468"/>
      <c r="KUT59" s="468"/>
      <c r="KUU59" s="468"/>
      <c r="KUV59" s="468"/>
      <c r="KUW59" s="468"/>
      <c r="KUX59" s="468"/>
      <c r="KUY59" s="468"/>
      <c r="KUZ59" s="468"/>
      <c r="KVA59" s="468"/>
      <c r="KVB59" s="468"/>
      <c r="KVC59" s="468"/>
      <c r="KVD59" s="468"/>
      <c r="KVE59" s="468"/>
      <c r="KVF59" s="468"/>
      <c r="KVG59" s="468"/>
      <c r="KVH59" s="468"/>
      <c r="KVI59" s="468"/>
      <c r="KVJ59" s="468"/>
      <c r="KVK59" s="468"/>
      <c r="KVL59" s="468"/>
      <c r="KVM59" s="468"/>
      <c r="KVN59" s="468"/>
      <c r="KVO59" s="468"/>
      <c r="KVP59" s="468"/>
      <c r="KVQ59" s="468"/>
      <c r="KVR59" s="468"/>
      <c r="KVS59" s="468"/>
      <c r="KVT59" s="468"/>
      <c r="KVU59" s="468"/>
      <c r="KVV59" s="468"/>
      <c r="KVW59" s="468"/>
      <c r="KVX59" s="468"/>
      <c r="KVY59" s="468"/>
      <c r="KVZ59" s="468"/>
      <c r="KWA59" s="468"/>
      <c r="KWB59" s="468"/>
      <c r="KWC59" s="468"/>
      <c r="KWD59" s="468"/>
      <c r="KWE59" s="468"/>
      <c r="KWF59" s="468"/>
      <c r="KWG59" s="468"/>
      <c r="KWH59" s="468"/>
      <c r="KWI59" s="468"/>
      <c r="KWJ59" s="468"/>
      <c r="KWK59" s="468"/>
      <c r="KWL59" s="468"/>
      <c r="KWM59" s="468"/>
      <c r="KWN59" s="468"/>
      <c r="KWO59" s="468"/>
      <c r="KWP59" s="468"/>
      <c r="KWQ59" s="468"/>
      <c r="KWR59" s="468"/>
      <c r="KWS59" s="468"/>
      <c r="KWT59" s="468"/>
      <c r="KWU59" s="468"/>
      <c r="KWV59" s="468"/>
      <c r="KWW59" s="468"/>
      <c r="KWX59" s="468"/>
      <c r="KWY59" s="468"/>
      <c r="KWZ59" s="468"/>
      <c r="KXA59" s="468"/>
      <c r="KXB59" s="468"/>
      <c r="KXC59" s="468"/>
      <c r="KXD59" s="468"/>
      <c r="KXE59" s="468"/>
      <c r="KXF59" s="468"/>
      <c r="KXG59" s="468"/>
      <c r="KXH59" s="468"/>
      <c r="KXI59" s="468"/>
      <c r="KXJ59" s="468"/>
      <c r="KXK59" s="468"/>
      <c r="KXL59" s="468"/>
      <c r="KXM59" s="468"/>
      <c r="KXN59" s="468"/>
      <c r="KXO59" s="468"/>
      <c r="KXP59" s="468"/>
      <c r="KXQ59" s="468"/>
      <c r="KXR59" s="468"/>
      <c r="KXS59" s="468"/>
      <c r="KXT59" s="468"/>
      <c r="KXU59" s="468"/>
      <c r="KXV59" s="468"/>
      <c r="KXW59" s="468"/>
      <c r="KXX59" s="468"/>
      <c r="KXY59" s="468"/>
      <c r="KXZ59" s="468"/>
      <c r="KYA59" s="468"/>
      <c r="KYB59" s="468"/>
      <c r="KYC59" s="468"/>
      <c r="KYD59" s="468"/>
      <c r="KYE59" s="468"/>
      <c r="KYF59" s="468"/>
      <c r="KYG59" s="468"/>
      <c r="KYH59" s="468"/>
      <c r="KYI59" s="468"/>
      <c r="KYJ59" s="468"/>
      <c r="KYK59" s="468"/>
      <c r="KYL59" s="468"/>
      <c r="KYM59" s="468"/>
      <c r="KYN59" s="468"/>
      <c r="KYO59" s="468"/>
      <c r="KYP59" s="468"/>
      <c r="KYQ59" s="468"/>
      <c r="KYR59" s="468"/>
      <c r="KYS59" s="468"/>
      <c r="KYT59" s="468"/>
      <c r="KYU59" s="468"/>
      <c r="KYV59" s="468"/>
      <c r="KYW59" s="468"/>
      <c r="KYX59" s="468"/>
      <c r="KYY59" s="468"/>
      <c r="KYZ59" s="468"/>
      <c r="KZA59" s="468"/>
      <c r="KZB59" s="468"/>
      <c r="KZC59" s="468"/>
      <c r="KZD59" s="468"/>
      <c r="KZE59" s="468"/>
      <c r="KZF59" s="468"/>
      <c r="KZG59" s="468"/>
      <c r="KZH59" s="468"/>
      <c r="KZI59" s="468"/>
      <c r="KZJ59" s="468"/>
      <c r="KZK59" s="468"/>
      <c r="KZL59" s="468"/>
      <c r="KZM59" s="468"/>
      <c r="KZN59" s="468"/>
      <c r="KZO59" s="468"/>
      <c r="KZP59" s="468"/>
      <c r="KZQ59" s="468"/>
      <c r="KZR59" s="468"/>
      <c r="KZS59" s="468"/>
      <c r="KZT59" s="468"/>
      <c r="KZU59" s="468"/>
      <c r="KZV59" s="468"/>
      <c r="KZW59" s="468"/>
      <c r="KZX59" s="468"/>
      <c r="KZY59" s="468"/>
      <c r="KZZ59" s="468"/>
      <c r="LAA59" s="468"/>
      <c r="LAB59" s="468"/>
      <c r="LAC59" s="468"/>
      <c r="LAD59" s="468"/>
      <c r="LAE59" s="468"/>
      <c r="LAF59" s="468"/>
      <c r="LAG59" s="468"/>
      <c r="LAH59" s="468"/>
      <c r="LAI59" s="468"/>
      <c r="LAJ59" s="468"/>
      <c r="LAK59" s="468"/>
      <c r="LAL59" s="468"/>
      <c r="LAM59" s="468"/>
      <c r="LAN59" s="468"/>
      <c r="LAO59" s="468"/>
      <c r="LAP59" s="468"/>
      <c r="LAQ59" s="468"/>
      <c r="LAR59" s="468"/>
      <c r="LAS59" s="468"/>
      <c r="LAT59" s="468"/>
      <c r="LAU59" s="468"/>
      <c r="LAV59" s="468"/>
      <c r="LAW59" s="468"/>
      <c r="LAX59" s="468"/>
      <c r="LAY59" s="468"/>
      <c r="LAZ59" s="468"/>
      <c r="LBA59" s="468"/>
      <c r="LBB59" s="468"/>
      <c r="LBC59" s="468"/>
      <c r="LBD59" s="468"/>
      <c r="LBE59" s="468"/>
      <c r="LBF59" s="468"/>
      <c r="LBG59" s="468"/>
      <c r="LBH59" s="468"/>
      <c r="LBI59" s="468"/>
      <c r="LBJ59" s="468"/>
      <c r="LBK59" s="468"/>
      <c r="LBL59" s="468"/>
      <c r="LBM59" s="468"/>
      <c r="LBN59" s="468"/>
      <c r="LBO59" s="468"/>
      <c r="LBP59" s="468"/>
      <c r="LBQ59" s="468"/>
      <c r="LBR59" s="468"/>
      <c r="LBS59" s="468"/>
      <c r="LBT59" s="468"/>
      <c r="LBU59" s="468"/>
      <c r="LBV59" s="468"/>
      <c r="LBW59" s="468"/>
      <c r="LBX59" s="468"/>
      <c r="LBY59" s="468"/>
      <c r="LBZ59" s="468"/>
      <c r="LCA59" s="468"/>
      <c r="LCB59" s="468"/>
      <c r="LCC59" s="468"/>
      <c r="LCD59" s="468"/>
      <c r="LCE59" s="468"/>
      <c r="LCF59" s="468"/>
      <c r="LCG59" s="468"/>
      <c r="LCH59" s="468"/>
      <c r="LCI59" s="468"/>
      <c r="LCJ59" s="468"/>
      <c r="LCK59" s="468"/>
      <c r="LCL59" s="468"/>
      <c r="LCM59" s="468"/>
      <c r="LCN59" s="468"/>
      <c r="LCO59" s="468"/>
      <c r="LCP59" s="468"/>
      <c r="LCQ59" s="468"/>
      <c r="LCR59" s="468"/>
      <c r="LCS59" s="468"/>
      <c r="LCT59" s="468"/>
      <c r="LCU59" s="468"/>
      <c r="LCV59" s="468"/>
      <c r="LCW59" s="468"/>
      <c r="LCX59" s="468"/>
      <c r="LCY59" s="468"/>
      <c r="LCZ59" s="468"/>
      <c r="LDA59" s="468"/>
      <c r="LDB59" s="468"/>
      <c r="LDC59" s="468"/>
      <c r="LDD59" s="468"/>
      <c r="LDE59" s="468"/>
      <c r="LDF59" s="468"/>
      <c r="LDG59" s="468"/>
      <c r="LDH59" s="468"/>
      <c r="LDI59" s="468"/>
      <c r="LDJ59" s="468"/>
      <c r="LDK59" s="468"/>
      <c r="LDL59" s="468"/>
      <c r="LDM59" s="468"/>
      <c r="LDN59" s="468"/>
      <c r="LDO59" s="468"/>
      <c r="LDP59" s="468"/>
      <c r="LDQ59" s="468"/>
      <c r="LDR59" s="468"/>
      <c r="LDS59" s="468"/>
      <c r="LDT59" s="468"/>
      <c r="LDU59" s="468"/>
      <c r="LDV59" s="468"/>
      <c r="LDW59" s="468"/>
      <c r="LDX59" s="468"/>
      <c r="LDY59" s="468"/>
      <c r="LDZ59" s="468"/>
      <c r="LEA59" s="468"/>
      <c r="LEB59" s="468"/>
      <c r="LEC59" s="468"/>
      <c r="LED59" s="468"/>
      <c r="LEE59" s="468"/>
      <c r="LEF59" s="468"/>
      <c r="LEG59" s="468"/>
      <c r="LEH59" s="468"/>
      <c r="LEI59" s="468"/>
      <c r="LEJ59" s="468"/>
      <c r="LEK59" s="468"/>
      <c r="LEL59" s="468"/>
      <c r="LEM59" s="468"/>
      <c r="LEN59" s="468"/>
      <c r="LEO59" s="468"/>
      <c r="LEP59" s="468"/>
      <c r="LEQ59" s="468"/>
      <c r="LER59" s="468"/>
      <c r="LES59" s="468"/>
      <c r="LET59" s="468"/>
      <c r="LEU59" s="468"/>
      <c r="LEV59" s="468"/>
      <c r="LEW59" s="468"/>
      <c r="LEX59" s="468"/>
      <c r="LEY59" s="468"/>
      <c r="LEZ59" s="468"/>
      <c r="LFA59" s="468"/>
      <c r="LFB59" s="468"/>
      <c r="LFC59" s="468"/>
      <c r="LFD59" s="468"/>
      <c r="LFE59" s="468"/>
      <c r="LFF59" s="468"/>
      <c r="LFG59" s="468"/>
      <c r="LFH59" s="468"/>
      <c r="LFI59" s="468"/>
      <c r="LFJ59" s="468"/>
      <c r="LFK59" s="468"/>
      <c r="LFL59" s="468"/>
      <c r="LFM59" s="468"/>
      <c r="LFN59" s="468"/>
      <c r="LFO59" s="468"/>
      <c r="LFP59" s="468"/>
      <c r="LFQ59" s="468"/>
      <c r="LFR59" s="468"/>
      <c r="LFS59" s="468"/>
      <c r="LFT59" s="468"/>
      <c r="LFU59" s="468"/>
      <c r="LFV59" s="468"/>
      <c r="LFW59" s="468"/>
      <c r="LFX59" s="468"/>
      <c r="LFY59" s="468"/>
      <c r="LFZ59" s="468"/>
      <c r="LGA59" s="468"/>
      <c r="LGB59" s="468"/>
      <c r="LGC59" s="468"/>
      <c r="LGD59" s="468"/>
      <c r="LGE59" s="468"/>
      <c r="LGF59" s="468"/>
      <c r="LGG59" s="468"/>
      <c r="LGH59" s="468"/>
      <c r="LGI59" s="468"/>
      <c r="LGJ59" s="468"/>
      <c r="LGK59" s="468"/>
      <c r="LGL59" s="468"/>
      <c r="LGM59" s="468"/>
      <c r="LGN59" s="468"/>
      <c r="LGO59" s="468"/>
      <c r="LGP59" s="468"/>
      <c r="LGQ59" s="468"/>
      <c r="LGR59" s="468"/>
      <c r="LGS59" s="468"/>
      <c r="LGT59" s="468"/>
      <c r="LGU59" s="468"/>
      <c r="LGV59" s="468"/>
      <c r="LGW59" s="468"/>
      <c r="LGX59" s="468"/>
      <c r="LGY59" s="468"/>
      <c r="LGZ59" s="468"/>
      <c r="LHA59" s="468"/>
      <c r="LHB59" s="468"/>
      <c r="LHC59" s="468"/>
      <c r="LHD59" s="468"/>
      <c r="LHE59" s="468"/>
      <c r="LHF59" s="468"/>
      <c r="LHG59" s="468"/>
      <c r="LHH59" s="468"/>
      <c r="LHI59" s="468"/>
      <c r="LHJ59" s="468"/>
      <c r="LHK59" s="468"/>
      <c r="LHL59" s="468"/>
      <c r="LHM59" s="468"/>
      <c r="LHN59" s="468"/>
      <c r="LHO59" s="468"/>
      <c r="LHP59" s="468"/>
      <c r="LHQ59" s="468"/>
      <c r="LHR59" s="468"/>
      <c r="LHS59" s="468"/>
      <c r="LHT59" s="468"/>
      <c r="LHU59" s="468"/>
      <c r="LHV59" s="468"/>
      <c r="LHW59" s="468"/>
      <c r="LHX59" s="468"/>
      <c r="LHY59" s="468"/>
      <c r="LHZ59" s="468"/>
      <c r="LIA59" s="468"/>
      <c r="LIB59" s="468"/>
      <c r="LIC59" s="468"/>
      <c r="LID59" s="468"/>
      <c r="LIE59" s="468"/>
      <c r="LIF59" s="468"/>
      <c r="LIG59" s="468"/>
      <c r="LIH59" s="468"/>
      <c r="LII59" s="468"/>
      <c r="LIJ59" s="468"/>
      <c r="LIK59" s="468"/>
      <c r="LIL59" s="468"/>
      <c r="LIM59" s="468"/>
      <c r="LIN59" s="468"/>
      <c r="LIO59" s="468"/>
      <c r="LIP59" s="468"/>
      <c r="LIQ59" s="468"/>
      <c r="LIR59" s="468"/>
      <c r="LIS59" s="468"/>
      <c r="LIT59" s="468"/>
      <c r="LIU59" s="468"/>
      <c r="LIV59" s="468"/>
      <c r="LIW59" s="468"/>
      <c r="LIX59" s="468"/>
      <c r="LIY59" s="468"/>
      <c r="LIZ59" s="468"/>
      <c r="LJA59" s="468"/>
      <c r="LJB59" s="468"/>
      <c r="LJC59" s="468"/>
      <c r="LJD59" s="468"/>
      <c r="LJE59" s="468"/>
      <c r="LJF59" s="468"/>
      <c r="LJG59" s="468"/>
      <c r="LJH59" s="468"/>
      <c r="LJI59" s="468"/>
      <c r="LJJ59" s="468"/>
      <c r="LJK59" s="468"/>
      <c r="LJL59" s="468"/>
      <c r="LJM59" s="468"/>
      <c r="LJN59" s="468"/>
      <c r="LJO59" s="468"/>
      <c r="LJP59" s="468"/>
      <c r="LJQ59" s="468"/>
      <c r="LJR59" s="468"/>
      <c r="LJS59" s="468"/>
      <c r="LJT59" s="468"/>
      <c r="LJU59" s="468"/>
      <c r="LJV59" s="468"/>
      <c r="LJW59" s="468"/>
      <c r="LJX59" s="468"/>
      <c r="LJY59" s="468"/>
      <c r="LJZ59" s="468"/>
      <c r="LKA59" s="468"/>
      <c r="LKB59" s="468"/>
      <c r="LKC59" s="468"/>
      <c r="LKD59" s="468"/>
      <c r="LKE59" s="468"/>
      <c r="LKF59" s="468"/>
      <c r="LKG59" s="468"/>
      <c r="LKH59" s="468"/>
      <c r="LKI59" s="468"/>
      <c r="LKJ59" s="468"/>
      <c r="LKK59" s="468"/>
      <c r="LKL59" s="468"/>
      <c r="LKM59" s="468"/>
      <c r="LKN59" s="468"/>
      <c r="LKO59" s="468"/>
      <c r="LKP59" s="468"/>
      <c r="LKQ59" s="468"/>
      <c r="LKR59" s="468"/>
      <c r="LKS59" s="468"/>
      <c r="LKT59" s="468"/>
      <c r="LKU59" s="468"/>
      <c r="LKV59" s="468"/>
      <c r="LKW59" s="468"/>
      <c r="LKX59" s="468"/>
      <c r="LKY59" s="468"/>
      <c r="LKZ59" s="468"/>
      <c r="LLA59" s="468"/>
      <c r="LLB59" s="468"/>
      <c r="LLC59" s="468"/>
      <c r="LLD59" s="468"/>
      <c r="LLE59" s="468"/>
      <c r="LLF59" s="468"/>
      <c r="LLG59" s="468"/>
      <c r="LLH59" s="468"/>
      <c r="LLI59" s="468"/>
      <c r="LLJ59" s="468"/>
      <c r="LLK59" s="468"/>
      <c r="LLL59" s="468"/>
      <c r="LLM59" s="468"/>
      <c r="LLN59" s="468"/>
      <c r="LLO59" s="468"/>
      <c r="LLP59" s="468"/>
      <c r="LLQ59" s="468"/>
      <c r="LLR59" s="468"/>
      <c r="LLS59" s="468"/>
      <c r="LLT59" s="468"/>
      <c r="LLU59" s="468"/>
      <c r="LLV59" s="468"/>
      <c r="LLW59" s="468"/>
      <c r="LLX59" s="468"/>
      <c r="LLY59" s="468"/>
      <c r="LLZ59" s="468"/>
      <c r="LMA59" s="468"/>
      <c r="LMB59" s="468"/>
      <c r="LMC59" s="468"/>
      <c r="LMD59" s="468"/>
      <c r="LME59" s="468"/>
      <c r="LMF59" s="468"/>
      <c r="LMG59" s="468"/>
      <c r="LMH59" s="468"/>
      <c r="LMI59" s="468"/>
      <c r="LMJ59" s="468"/>
      <c r="LMK59" s="468"/>
      <c r="LML59" s="468"/>
      <c r="LMM59" s="468"/>
      <c r="LMN59" s="468"/>
      <c r="LMO59" s="468"/>
      <c r="LMP59" s="468"/>
      <c r="LMQ59" s="468"/>
      <c r="LMR59" s="468"/>
      <c r="LMS59" s="468"/>
      <c r="LMT59" s="468"/>
      <c r="LMU59" s="468"/>
      <c r="LMV59" s="468"/>
      <c r="LMW59" s="468"/>
      <c r="LMX59" s="468"/>
      <c r="LMY59" s="468"/>
      <c r="LMZ59" s="468"/>
      <c r="LNA59" s="468"/>
      <c r="LNB59" s="468"/>
      <c r="LNC59" s="468"/>
      <c r="LND59" s="468"/>
      <c r="LNE59" s="468"/>
      <c r="LNF59" s="468"/>
      <c r="LNG59" s="468"/>
      <c r="LNH59" s="468"/>
      <c r="LNI59" s="468"/>
      <c r="LNJ59" s="468"/>
      <c r="LNK59" s="468"/>
      <c r="LNL59" s="468"/>
      <c r="LNM59" s="468"/>
      <c r="LNN59" s="468"/>
      <c r="LNO59" s="468"/>
      <c r="LNP59" s="468"/>
      <c r="LNQ59" s="468"/>
      <c r="LNR59" s="468"/>
      <c r="LNS59" s="468"/>
      <c r="LNT59" s="468"/>
      <c r="LNU59" s="468"/>
      <c r="LNV59" s="468"/>
      <c r="LNW59" s="468"/>
      <c r="LNX59" s="468"/>
      <c r="LNY59" s="468"/>
      <c r="LNZ59" s="468"/>
      <c r="LOA59" s="468"/>
      <c r="LOB59" s="468"/>
      <c r="LOC59" s="468"/>
      <c r="LOD59" s="468"/>
      <c r="LOE59" s="468"/>
      <c r="LOF59" s="468"/>
      <c r="LOG59" s="468"/>
      <c r="LOH59" s="468"/>
      <c r="LOI59" s="468"/>
      <c r="LOJ59" s="468"/>
      <c r="LOK59" s="468"/>
      <c r="LOL59" s="468"/>
      <c r="LOM59" s="468"/>
      <c r="LON59" s="468"/>
      <c r="LOO59" s="468"/>
      <c r="LOP59" s="468"/>
      <c r="LOQ59" s="468"/>
      <c r="LOR59" s="468"/>
      <c r="LOS59" s="468"/>
      <c r="LOT59" s="468"/>
      <c r="LOU59" s="468"/>
      <c r="LOV59" s="468"/>
      <c r="LOW59" s="468"/>
      <c r="LOX59" s="468"/>
      <c r="LOY59" s="468"/>
      <c r="LOZ59" s="468"/>
      <c r="LPA59" s="468"/>
      <c r="LPB59" s="468"/>
      <c r="LPC59" s="468"/>
      <c r="LPD59" s="468"/>
      <c r="LPE59" s="468"/>
      <c r="LPF59" s="468"/>
      <c r="LPG59" s="468"/>
      <c r="LPH59" s="468"/>
      <c r="LPI59" s="468"/>
      <c r="LPJ59" s="468"/>
      <c r="LPK59" s="468"/>
      <c r="LPL59" s="468"/>
      <c r="LPM59" s="468"/>
      <c r="LPN59" s="468"/>
      <c r="LPO59" s="468"/>
      <c r="LPP59" s="468"/>
      <c r="LPQ59" s="468"/>
      <c r="LPR59" s="468"/>
      <c r="LPS59" s="468"/>
      <c r="LPT59" s="468"/>
      <c r="LPU59" s="468"/>
      <c r="LPV59" s="468"/>
      <c r="LPW59" s="468"/>
      <c r="LPX59" s="468"/>
      <c r="LPY59" s="468"/>
      <c r="LPZ59" s="468"/>
      <c r="LQA59" s="468"/>
      <c r="LQB59" s="468"/>
      <c r="LQC59" s="468"/>
      <c r="LQD59" s="468"/>
      <c r="LQE59" s="468"/>
      <c r="LQF59" s="468"/>
      <c r="LQG59" s="468"/>
      <c r="LQH59" s="468"/>
      <c r="LQI59" s="468"/>
      <c r="LQJ59" s="468"/>
      <c r="LQK59" s="468"/>
      <c r="LQL59" s="468"/>
      <c r="LQM59" s="468"/>
      <c r="LQN59" s="468"/>
      <c r="LQO59" s="468"/>
      <c r="LQP59" s="468"/>
      <c r="LQQ59" s="468"/>
      <c r="LQR59" s="468"/>
      <c r="LQS59" s="468"/>
      <c r="LQT59" s="468"/>
      <c r="LQU59" s="468"/>
      <c r="LQV59" s="468"/>
      <c r="LQW59" s="468"/>
      <c r="LQX59" s="468"/>
      <c r="LQY59" s="468"/>
      <c r="LQZ59" s="468"/>
      <c r="LRA59" s="468"/>
      <c r="LRB59" s="468"/>
      <c r="LRC59" s="468"/>
      <c r="LRD59" s="468"/>
      <c r="LRE59" s="468"/>
      <c r="LRF59" s="468"/>
      <c r="LRG59" s="468"/>
      <c r="LRH59" s="468"/>
      <c r="LRI59" s="468"/>
      <c r="LRJ59" s="468"/>
      <c r="LRK59" s="468"/>
      <c r="LRL59" s="468"/>
      <c r="LRM59" s="468"/>
      <c r="LRN59" s="468"/>
      <c r="LRO59" s="468"/>
      <c r="LRP59" s="468"/>
      <c r="LRQ59" s="468"/>
      <c r="LRR59" s="468"/>
      <c r="LRS59" s="468"/>
      <c r="LRT59" s="468"/>
      <c r="LRU59" s="468"/>
      <c r="LRV59" s="468"/>
      <c r="LRW59" s="468"/>
      <c r="LRX59" s="468"/>
      <c r="LRY59" s="468"/>
      <c r="LRZ59" s="468"/>
      <c r="LSA59" s="468"/>
      <c r="LSB59" s="468"/>
      <c r="LSC59" s="468"/>
      <c r="LSD59" s="468"/>
      <c r="LSE59" s="468"/>
      <c r="LSF59" s="468"/>
      <c r="LSG59" s="468"/>
      <c r="LSH59" s="468"/>
      <c r="LSI59" s="468"/>
      <c r="LSJ59" s="468"/>
      <c r="LSK59" s="468"/>
      <c r="LSL59" s="468"/>
      <c r="LSM59" s="468"/>
      <c r="LSN59" s="468"/>
      <c r="LSO59" s="468"/>
      <c r="LSP59" s="468"/>
      <c r="LSQ59" s="468"/>
      <c r="LSR59" s="468"/>
      <c r="LSS59" s="468"/>
      <c r="LST59" s="468"/>
      <c r="LSU59" s="468"/>
      <c r="LSV59" s="468"/>
      <c r="LSW59" s="468"/>
      <c r="LSX59" s="468"/>
      <c r="LSY59" s="468"/>
      <c r="LSZ59" s="468"/>
      <c r="LTA59" s="468"/>
      <c r="LTB59" s="468"/>
      <c r="LTC59" s="468"/>
      <c r="LTD59" s="468"/>
      <c r="LTE59" s="468"/>
      <c r="LTF59" s="468"/>
      <c r="LTG59" s="468"/>
      <c r="LTH59" s="468"/>
      <c r="LTI59" s="468"/>
      <c r="LTJ59" s="468"/>
      <c r="LTK59" s="468"/>
      <c r="LTL59" s="468"/>
      <c r="LTM59" s="468"/>
      <c r="LTN59" s="468"/>
      <c r="LTO59" s="468"/>
      <c r="LTP59" s="468"/>
      <c r="LTQ59" s="468"/>
      <c r="LTR59" s="468"/>
      <c r="LTS59" s="468"/>
      <c r="LTT59" s="468"/>
      <c r="LTU59" s="468"/>
      <c r="LTV59" s="468"/>
      <c r="LTW59" s="468"/>
      <c r="LTX59" s="468"/>
      <c r="LTY59" s="468"/>
      <c r="LTZ59" s="468"/>
      <c r="LUA59" s="468"/>
      <c r="LUB59" s="468"/>
      <c r="LUC59" s="468"/>
      <c r="LUD59" s="468"/>
      <c r="LUE59" s="468"/>
      <c r="LUF59" s="468"/>
      <c r="LUG59" s="468"/>
      <c r="LUH59" s="468"/>
      <c r="LUI59" s="468"/>
      <c r="LUJ59" s="468"/>
      <c r="LUK59" s="468"/>
      <c r="LUL59" s="468"/>
      <c r="LUM59" s="468"/>
      <c r="LUN59" s="468"/>
      <c r="LUO59" s="468"/>
      <c r="LUP59" s="468"/>
      <c r="LUQ59" s="468"/>
      <c r="LUR59" s="468"/>
      <c r="LUS59" s="468"/>
      <c r="LUT59" s="468"/>
      <c r="LUU59" s="468"/>
      <c r="LUV59" s="468"/>
      <c r="LUW59" s="468"/>
      <c r="LUX59" s="468"/>
      <c r="LUY59" s="468"/>
      <c r="LUZ59" s="468"/>
      <c r="LVA59" s="468"/>
      <c r="LVB59" s="468"/>
      <c r="LVC59" s="468"/>
      <c r="LVD59" s="468"/>
      <c r="LVE59" s="468"/>
      <c r="LVF59" s="468"/>
      <c r="LVG59" s="468"/>
      <c r="LVH59" s="468"/>
      <c r="LVI59" s="468"/>
      <c r="LVJ59" s="468"/>
      <c r="LVK59" s="468"/>
      <c r="LVL59" s="468"/>
      <c r="LVM59" s="468"/>
      <c r="LVN59" s="468"/>
      <c r="LVO59" s="468"/>
      <c r="LVP59" s="468"/>
      <c r="LVQ59" s="468"/>
      <c r="LVR59" s="468"/>
      <c r="LVS59" s="468"/>
      <c r="LVT59" s="468"/>
      <c r="LVU59" s="468"/>
      <c r="LVV59" s="468"/>
      <c r="LVW59" s="468"/>
      <c r="LVX59" s="468"/>
      <c r="LVY59" s="468"/>
      <c r="LVZ59" s="468"/>
      <c r="LWA59" s="468"/>
      <c r="LWB59" s="468"/>
      <c r="LWC59" s="468"/>
      <c r="LWD59" s="468"/>
      <c r="LWE59" s="468"/>
      <c r="LWF59" s="468"/>
      <c r="LWG59" s="468"/>
      <c r="LWH59" s="468"/>
      <c r="LWI59" s="468"/>
      <c r="LWJ59" s="468"/>
      <c r="LWK59" s="468"/>
      <c r="LWL59" s="468"/>
      <c r="LWM59" s="468"/>
      <c r="LWN59" s="468"/>
      <c r="LWO59" s="468"/>
      <c r="LWP59" s="468"/>
      <c r="LWQ59" s="468"/>
      <c r="LWR59" s="468"/>
      <c r="LWS59" s="468"/>
      <c r="LWT59" s="468"/>
      <c r="LWU59" s="468"/>
      <c r="LWV59" s="468"/>
      <c r="LWW59" s="468"/>
      <c r="LWX59" s="468"/>
      <c r="LWY59" s="468"/>
      <c r="LWZ59" s="468"/>
      <c r="LXA59" s="468"/>
      <c r="LXB59" s="468"/>
      <c r="LXC59" s="468"/>
      <c r="LXD59" s="468"/>
      <c r="LXE59" s="468"/>
      <c r="LXF59" s="468"/>
      <c r="LXG59" s="468"/>
      <c r="LXH59" s="468"/>
      <c r="LXI59" s="468"/>
      <c r="LXJ59" s="468"/>
      <c r="LXK59" s="468"/>
      <c r="LXL59" s="468"/>
      <c r="LXM59" s="468"/>
      <c r="LXN59" s="468"/>
      <c r="LXO59" s="468"/>
      <c r="LXP59" s="468"/>
      <c r="LXQ59" s="468"/>
      <c r="LXR59" s="468"/>
      <c r="LXS59" s="468"/>
      <c r="LXT59" s="468"/>
      <c r="LXU59" s="468"/>
      <c r="LXV59" s="468"/>
      <c r="LXW59" s="468"/>
      <c r="LXX59" s="468"/>
      <c r="LXY59" s="468"/>
      <c r="LXZ59" s="468"/>
      <c r="LYA59" s="468"/>
      <c r="LYB59" s="468"/>
      <c r="LYC59" s="468"/>
      <c r="LYD59" s="468"/>
      <c r="LYE59" s="468"/>
      <c r="LYF59" s="468"/>
      <c r="LYG59" s="468"/>
      <c r="LYH59" s="468"/>
      <c r="LYI59" s="468"/>
      <c r="LYJ59" s="468"/>
      <c r="LYK59" s="468"/>
      <c r="LYL59" s="468"/>
      <c r="LYM59" s="468"/>
      <c r="LYN59" s="468"/>
      <c r="LYO59" s="468"/>
      <c r="LYP59" s="468"/>
      <c r="LYQ59" s="468"/>
      <c r="LYR59" s="468"/>
      <c r="LYS59" s="468"/>
      <c r="LYT59" s="468"/>
      <c r="LYU59" s="468"/>
      <c r="LYV59" s="468"/>
      <c r="LYW59" s="468"/>
      <c r="LYX59" s="468"/>
      <c r="LYY59" s="468"/>
      <c r="LYZ59" s="468"/>
      <c r="LZA59" s="468"/>
      <c r="LZB59" s="468"/>
      <c r="LZC59" s="468"/>
      <c r="LZD59" s="468"/>
      <c r="LZE59" s="468"/>
      <c r="LZF59" s="468"/>
      <c r="LZG59" s="468"/>
      <c r="LZH59" s="468"/>
      <c r="LZI59" s="468"/>
      <c r="LZJ59" s="468"/>
      <c r="LZK59" s="468"/>
      <c r="LZL59" s="468"/>
      <c r="LZM59" s="468"/>
      <c r="LZN59" s="468"/>
      <c r="LZO59" s="468"/>
      <c r="LZP59" s="468"/>
      <c r="LZQ59" s="468"/>
      <c r="LZR59" s="468"/>
      <c r="LZS59" s="468"/>
      <c r="LZT59" s="468"/>
      <c r="LZU59" s="468"/>
      <c r="LZV59" s="468"/>
      <c r="LZW59" s="468"/>
      <c r="LZX59" s="468"/>
      <c r="LZY59" s="468"/>
      <c r="LZZ59" s="468"/>
      <c r="MAA59" s="468"/>
      <c r="MAB59" s="468"/>
      <c r="MAC59" s="468"/>
      <c r="MAD59" s="468"/>
      <c r="MAE59" s="468"/>
      <c r="MAF59" s="468"/>
      <c r="MAG59" s="468"/>
      <c r="MAH59" s="468"/>
      <c r="MAI59" s="468"/>
      <c r="MAJ59" s="468"/>
      <c r="MAK59" s="468"/>
      <c r="MAL59" s="468"/>
      <c r="MAM59" s="468"/>
      <c r="MAN59" s="468"/>
      <c r="MAO59" s="468"/>
      <c r="MAP59" s="468"/>
      <c r="MAQ59" s="468"/>
      <c r="MAR59" s="468"/>
      <c r="MAS59" s="468"/>
      <c r="MAT59" s="468"/>
      <c r="MAU59" s="468"/>
      <c r="MAV59" s="468"/>
      <c r="MAW59" s="468"/>
      <c r="MAX59" s="468"/>
      <c r="MAY59" s="468"/>
      <c r="MAZ59" s="468"/>
      <c r="MBA59" s="468"/>
      <c r="MBB59" s="468"/>
      <c r="MBC59" s="468"/>
      <c r="MBD59" s="468"/>
      <c r="MBE59" s="468"/>
      <c r="MBF59" s="468"/>
      <c r="MBG59" s="468"/>
      <c r="MBH59" s="468"/>
      <c r="MBI59" s="468"/>
      <c r="MBJ59" s="468"/>
      <c r="MBK59" s="468"/>
      <c r="MBL59" s="468"/>
      <c r="MBM59" s="468"/>
      <c r="MBN59" s="468"/>
      <c r="MBO59" s="468"/>
      <c r="MBP59" s="468"/>
      <c r="MBQ59" s="468"/>
      <c r="MBR59" s="468"/>
      <c r="MBS59" s="468"/>
      <c r="MBT59" s="468"/>
      <c r="MBU59" s="468"/>
      <c r="MBV59" s="468"/>
      <c r="MBW59" s="468"/>
      <c r="MBX59" s="468"/>
      <c r="MBY59" s="468"/>
      <c r="MBZ59" s="468"/>
      <c r="MCA59" s="468"/>
      <c r="MCB59" s="468"/>
      <c r="MCC59" s="468"/>
      <c r="MCD59" s="468"/>
      <c r="MCE59" s="468"/>
      <c r="MCF59" s="468"/>
      <c r="MCG59" s="468"/>
      <c r="MCH59" s="468"/>
      <c r="MCI59" s="468"/>
      <c r="MCJ59" s="468"/>
      <c r="MCK59" s="468"/>
      <c r="MCL59" s="468"/>
      <c r="MCM59" s="468"/>
      <c r="MCN59" s="468"/>
      <c r="MCO59" s="468"/>
      <c r="MCP59" s="468"/>
      <c r="MCQ59" s="468"/>
      <c r="MCR59" s="468"/>
      <c r="MCS59" s="468"/>
      <c r="MCT59" s="468"/>
      <c r="MCU59" s="468"/>
      <c r="MCV59" s="468"/>
      <c r="MCW59" s="468"/>
      <c r="MCX59" s="468"/>
      <c r="MCY59" s="468"/>
      <c r="MCZ59" s="468"/>
      <c r="MDA59" s="468"/>
      <c r="MDB59" s="468"/>
      <c r="MDC59" s="468"/>
      <c r="MDD59" s="468"/>
      <c r="MDE59" s="468"/>
      <c r="MDF59" s="468"/>
      <c r="MDG59" s="468"/>
      <c r="MDH59" s="468"/>
      <c r="MDI59" s="468"/>
      <c r="MDJ59" s="468"/>
      <c r="MDK59" s="468"/>
      <c r="MDL59" s="468"/>
      <c r="MDM59" s="468"/>
      <c r="MDN59" s="468"/>
      <c r="MDO59" s="468"/>
      <c r="MDP59" s="468"/>
      <c r="MDQ59" s="468"/>
      <c r="MDR59" s="468"/>
      <c r="MDS59" s="468"/>
      <c r="MDT59" s="468"/>
      <c r="MDU59" s="468"/>
      <c r="MDV59" s="468"/>
      <c r="MDW59" s="468"/>
      <c r="MDX59" s="468"/>
      <c r="MDY59" s="468"/>
      <c r="MDZ59" s="468"/>
      <c r="MEA59" s="468"/>
      <c r="MEB59" s="468"/>
      <c r="MEC59" s="468"/>
      <c r="MED59" s="468"/>
      <c r="MEE59" s="468"/>
      <c r="MEF59" s="468"/>
      <c r="MEG59" s="468"/>
      <c r="MEH59" s="468"/>
      <c r="MEI59" s="468"/>
      <c r="MEJ59" s="468"/>
      <c r="MEK59" s="468"/>
      <c r="MEL59" s="468"/>
      <c r="MEM59" s="468"/>
      <c r="MEN59" s="468"/>
      <c r="MEO59" s="468"/>
      <c r="MEP59" s="468"/>
      <c r="MEQ59" s="468"/>
      <c r="MER59" s="468"/>
      <c r="MES59" s="468"/>
      <c r="MET59" s="468"/>
      <c r="MEU59" s="468"/>
      <c r="MEV59" s="468"/>
      <c r="MEW59" s="468"/>
      <c r="MEX59" s="468"/>
      <c r="MEY59" s="468"/>
      <c r="MEZ59" s="468"/>
      <c r="MFA59" s="468"/>
      <c r="MFB59" s="468"/>
      <c r="MFC59" s="468"/>
      <c r="MFD59" s="468"/>
      <c r="MFE59" s="468"/>
      <c r="MFF59" s="468"/>
      <c r="MFG59" s="468"/>
      <c r="MFH59" s="468"/>
      <c r="MFI59" s="468"/>
      <c r="MFJ59" s="468"/>
      <c r="MFK59" s="468"/>
      <c r="MFL59" s="468"/>
      <c r="MFM59" s="468"/>
      <c r="MFN59" s="468"/>
      <c r="MFO59" s="468"/>
      <c r="MFP59" s="468"/>
      <c r="MFQ59" s="468"/>
      <c r="MFR59" s="468"/>
      <c r="MFS59" s="468"/>
      <c r="MFT59" s="468"/>
      <c r="MFU59" s="468"/>
      <c r="MFV59" s="468"/>
      <c r="MFW59" s="468"/>
      <c r="MFX59" s="468"/>
      <c r="MFY59" s="468"/>
      <c r="MFZ59" s="468"/>
      <c r="MGA59" s="468"/>
      <c r="MGB59" s="468"/>
      <c r="MGC59" s="468"/>
      <c r="MGD59" s="468"/>
      <c r="MGE59" s="468"/>
      <c r="MGF59" s="468"/>
      <c r="MGG59" s="468"/>
      <c r="MGH59" s="468"/>
      <c r="MGI59" s="468"/>
      <c r="MGJ59" s="468"/>
      <c r="MGK59" s="468"/>
      <c r="MGL59" s="468"/>
      <c r="MGM59" s="468"/>
      <c r="MGN59" s="468"/>
      <c r="MGO59" s="468"/>
      <c r="MGP59" s="468"/>
      <c r="MGQ59" s="468"/>
      <c r="MGR59" s="468"/>
      <c r="MGS59" s="468"/>
      <c r="MGT59" s="468"/>
      <c r="MGU59" s="468"/>
      <c r="MGV59" s="468"/>
      <c r="MGW59" s="468"/>
      <c r="MGX59" s="468"/>
      <c r="MGY59" s="468"/>
      <c r="MGZ59" s="468"/>
      <c r="MHA59" s="468"/>
      <c r="MHB59" s="468"/>
      <c r="MHC59" s="468"/>
      <c r="MHD59" s="468"/>
      <c r="MHE59" s="468"/>
      <c r="MHF59" s="468"/>
      <c r="MHG59" s="468"/>
      <c r="MHH59" s="468"/>
      <c r="MHI59" s="468"/>
      <c r="MHJ59" s="468"/>
      <c r="MHK59" s="468"/>
      <c r="MHL59" s="468"/>
      <c r="MHM59" s="468"/>
      <c r="MHN59" s="468"/>
      <c r="MHO59" s="468"/>
      <c r="MHP59" s="468"/>
      <c r="MHQ59" s="468"/>
      <c r="MHR59" s="468"/>
      <c r="MHS59" s="468"/>
      <c r="MHT59" s="468"/>
      <c r="MHU59" s="468"/>
      <c r="MHV59" s="468"/>
      <c r="MHW59" s="468"/>
      <c r="MHX59" s="468"/>
      <c r="MHY59" s="468"/>
      <c r="MHZ59" s="468"/>
      <c r="MIA59" s="468"/>
      <c r="MIB59" s="468"/>
      <c r="MIC59" s="468"/>
      <c r="MID59" s="468"/>
      <c r="MIE59" s="468"/>
      <c r="MIF59" s="468"/>
      <c r="MIG59" s="468"/>
      <c r="MIH59" s="468"/>
      <c r="MII59" s="468"/>
      <c r="MIJ59" s="468"/>
      <c r="MIK59" s="468"/>
      <c r="MIL59" s="468"/>
      <c r="MIM59" s="468"/>
      <c r="MIN59" s="468"/>
      <c r="MIO59" s="468"/>
      <c r="MIP59" s="468"/>
      <c r="MIQ59" s="468"/>
      <c r="MIR59" s="468"/>
      <c r="MIS59" s="468"/>
      <c r="MIT59" s="468"/>
      <c r="MIU59" s="468"/>
      <c r="MIV59" s="468"/>
      <c r="MIW59" s="468"/>
      <c r="MIX59" s="468"/>
      <c r="MIY59" s="468"/>
      <c r="MIZ59" s="468"/>
      <c r="MJA59" s="468"/>
      <c r="MJB59" s="468"/>
      <c r="MJC59" s="468"/>
      <c r="MJD59" s="468"/>
      <c r="MJE59" s="468"/>
      <c r="MJF59" s="468"/>
      <c r="MJG59" s="468"/>
      <c r="MJH59" s="468"/>
      <c r="MJI59" s="468"/>
      <c r="MJJ59" s="468"/>
      <c r="MJK59" s="468"/>
      <c r="MJL59" s="468"/>
      <c r="MJM59" s="468"/>
      <c r="MJN59" s="468"/>
      <c r="MJO59" s="468"/>
      <c r="MJP59" s="468"/>
      <c r="MJQ59" s="468"/>
      <c r="MJR59" s="468"/>
      <c r="MJS59" s="468"/>
      <c r="MJT59" s="468"/>
      <c r="MJU59" s="468"/>
      <c r="MJV59" s="468"/>
      <c r="MJW59" s="468"/>
      <c r="MJX59" s="468"/>
      <c r="MJY59" s="468"/>
      <c r="MJZ59" s="468"/>
      <c r="MKA59" s="468"/>
      <c r="MKB59" s="468"/>
      <c r="MKC59" s="468"/>
      <c r="MKD59" s="468"/>
      <c r="MKE59" s="468"/>
      <c r="MKF59" s="468"/>
      <c r="MKG59" s="468"/>
      <c r="MKH59" s="468"/>
      <c r="MKI59" s="468"/>
      <c r="MKJ59" s="468"/>
      <c r="MKK59" s="468"/>
      <c r="MKL59" s="468"/>
      <c r="MKM59" s="468"/>
      <c r="MKN59" s="468"/>
      <c r="MKO59" s="468"/>
      <c r="MKP59" s="468"/>
      <c r="MKQ59" s="468"/>
      <c r="MKR59" s="468"/>
      <c r="MKS59" s="468"/>
      <c r="MKT59" s="468"/>
      <c r="MKU59" s="468"/>
      <c r="MKV59" s="468"/>
      <c r="MKW59" s="468"/>
      <c r="MKX59" s="468"/>
      <c r="MKY59" s="468"/>
      <c r="MKZ59" s="468"/>
      <c r="MLA59" s="468"/>
      <c r="MLB59" s="468"/>
      <c r="MLC59" s="468"/>
      <c r="MLD59" s="468"/>
      <c r="MLE59" s="468"/>
      <c r="MLF59" s="468"/>
      <c r="MLG59" s="468"/>
      <c r="MLH59" s="468"/>
      <c r="MLI59" s="468"/>
      <c r="MLJ59" s="468"/>
      <c r="MLK59" s="468"/>
      <c r="MLL59" s="468"/>
      <c r="MLM59" s="468"/>
      <c r="MLN59" s="468"/>
      <c r="MLO59" s="468"/>
      <c r="MLP59" s="468"/>
      <c r="MLQ59" s="468"/>
      <c r="MLR59" s="468"/>
      <c r="MLS59" s="468"/>
      <c r="MLT59" s="468"/>
      <c r="MLU59" s="468"/>
      <c r="MLV59" s="468"/>
      <c r="MLW59" s="468"/>
      <c r="MLX59" s="468"/>
      <c r="MLY59" s="468"/>
      <c r="MLZ59" s="468"/>
      <c r="MMA59" s="468"/>
      <c r="MMB59" s="468"/>
      <c r="MMC59" s="468"/>
      <c r="MMD59" s="468"/>
      <c r="MME59" s="468"/>
      <c r="MMF59" s="468"/>
      <c r="MMG59" s="468"/>
      <c r="MMH59" s="468"/>
      <c r="MMI59" s="468"/>
      <c r="MMJ59" s="468"/>
      <c r="MMK59" s="468"/>
      <c r="MML59" s="468"/>
      <c r="MMM59" s="468"/>
      <c r="MMN59" s="468"/>
      <c r="MMO59" s="468"/>
      <c r="MMP59" s="468"/>
      <c r="MMQ59" s="468"/>
      <c r="MMR59" s="468"/>
      <c r="MMS59" s="468"/>
      <c r="MMT59" s="468"/>
      <c r="MMU59" s="468"/>
      <c r="MMV59" s="468"/>
      <c r="MMW59" s="468"/>
      <c r="MMX59" s="468"/>
      <c r="MMY59" s="468"/>
      <c r="MMZ59" s="468"/>
      <c r="MNA59" s="468"/>
      <c r="MNB59" s="468"/>
      <c r="MNC59" s="468"/>
      <c r="MND59" s="468"/>
      <c r="MNE59" s="468"/>
      <c r="MNF59" s="468"/>
      <c r="MNG59" s="468"/>
      <c r="MNH59" s="468"/>
      <c r="MNI59" s="468"/>
      <c r="MNJ59" s="468"/>
      <c r="MNK59" s="468"/>
      <c r="MNL59" s="468"/>
      <c r="MNM59" s="468"/>
      <c r="MNN59" s="468"/>
      <c r="MNO59" s="468"/>
      <c r="MNP59" s="468"/>
      <c r="MNQ59" s="468"/>
      <c r="MNR59" s="468"/>
      <c r="MNS59" s="468"/>
      <c r="MNT59" s="468"/>
      <c r="MNU59" s="468"/>
      <c r="MNV59" s="468"/>
      <c r="MNW59" s="468"/>
      <c r="MNX59" s="468"/>
      <c r="MNY59" s="468"/>
      <c r="MNZ59" s="468"/>
      <c r="MOA59" s="468"/>
      <c r="MOB59" s="468"/>
      <c r="MOC59" s="468"/>
      <c r="MOD59" s="468"/>
      <c r="MOE59" s="468"/>
      <c r="MOF59" s="468"/>
      <c r="MOG59" s="468"/>
      <c r="MOH59" s="468"/>
      <c r="MOI59" s="468"/>
      <c r="MOJ59" s="468"/>
      <c r="MOK59" s="468"/>
      <c r="MOL59" s="468"/>
      <c r="MOM59" s="468"/>
      <c r="MON59" s="468"/>
      <c r="MOO59" s="468"/>
      <c r="MOP59" s="468"/>
      <c r="MOQ59" s="468"/>
      <c r="MOR59" s="468"/>
      <c r="MOS59" s="468"/>
      <c r="MOT59" s="468"/>
      <c r="MOU59" s="468"/>
      <c r="MOV59" s="468"/>
      <c r="MOW59" s="468"/>
      <c r="MOX59" s="468"/>
      <c r="MOY59" s="468"/>
      <c r="MOZ59" s="468"/>
      <c r="MPA59" s="468"/>
      <c r="MPB59" s="468"/>
      <c r="MPC59" s="468"/>
      <c r="MPD59" s="468"/>
      <c r="MPE59" s="468"/>
      <c r="MPF59" s="468"/>
      <c r="MPG59" s="468"/>
      <c r="MPH59" s="468"/>
      <c r="MPI59" s="468"/>
      <c r="MPJ59" s="468"/>
      <c r="MPK59" s="468"/>
      <c r="MPL59" s="468"/>
      <c r="MPM59" s="468"/>
      <c r="MPN59" s="468"/>
      <c r="MPO59" s="468"/>
      <c r="MPP59" s="468"/>
      <c r="MPQ59" s="468"/>
      <c r="MPR59" s="468"/>
      <c r="MPS59" s="468"/>
      <c r="MPT59" s="468"/>
      <c r="MPU59" s="468"/>
      <c r="MPV59" s="468"/>
      <c r="MPW59" s="468"/>
      <c r="MPX59" s="468"/>
      <c r="MPY59" s="468"/>
      <c r="MPZ59" s="468"/>
      <c r="MQA59" s="468"/>
      <c r="MQB59" s="468"/>
      <c r="MQC59" s="468"/>
      <c r="MQD59" s="468"/>
      <c r="MQE59" s="468"/>
      <c r="MQF59" s="468"/>
      <c r="MQG59" s="468"/>
      <c r="MQH59" s="468"/>
      <c r="MQI59" s="468"/>
      <c r="MQJ59" s="468"/>
      <c r="MQK59" s="468"/>
      <c r="MQL59" s="468"/>
      <c r="MQM59" s="468"/>
      <c r="MQN59" s="468"/>
      <c r="MQO59" s="468"/>
      <c r="MQP59" s="468"/>
      <c r="MQQ59" s="468"/>
      <c r="MQR59" s="468"/>
      <c r="MQS59" s="468"/>
      <c r="MQT59" s="468"/>
      <c r="MQU59" s="468"/>
      <c r="MQV59" s="468"/>
      <c r="MQW59" s="468"/>
      <c r="MQX59" s="468"/>
      <c r="MQY59" s="468"/>
      <c r="MQZ59" s="468"/>
      <c r="MRA59" s="468"/>
      <c r="MRB59" s="468"/>
      <c r="MRC59" s="468"/>
      <c r="MRD59" s="468"/>
      <c r="MRE59" s="468"/>
      <c r="MRF59" s="468"/>
      <c r="MRG59" s="468"/>
      <c r="MRH59" s="468"/>
      <c r="MRI59" s="468"/>
      <c r="MRJ59" s="468"/>
      <c r="MRK59" s="468"/>
      <c r="MRL59" s="468"/>
      <c r="MRM59" s="468"/>
      <c r="MRN59" s="468"/>
      <c r="MRO59" s="468"/>
      <c r="MRP59" s="468"/>
      <c r="MRQ59" s="468"/>
      <c r="MRR59" s="468"/>
      <c r="MRS59" s="468"/>
      <c r="MRT59" s="468"/>
      <c r="MRU59" s="468"/>
      <c r="MRV59" s="468"/>
      <c r="MRW59" s="468"/>
      <c r="MRX59" s="468"/>
      <c r="MRY59" s="468"/>
      <c r="MRZ59" s="468"/>
      <c r="MSA59" s="468"/>
      <c r="MSB59" s="468"/>
      <c r="MSC59" s="468"/>
      <c r="MSD59" s="468"/>
      <c r="MSE59" s="468"/>
      <c r="MSF59" s="468"/>
      <c r="MSG59" s="468"/>
      <c r="MSH59" s="468"/>
      <c r="MSI59" s="468"/>
      <c r="MSJ59" s="468"/>
      <c r="MSK59" s="468"/>
      <c r="MSL59" s="468"/>
      <c r="MSM59" s="468"/>
      <c r="MSN59" s="468"/>
      <c r="MSO59" s="468"/>
      <c r="MSP59" s="468"/>
      <c r="MSQ59" s="468"/>
      <c r="MSR59" s="468"/>
      <c r="MSS59" s="468"/>
      <c r="MST59" s="468"/>
      <c r="MSU59" s="468"/>
      <c r="MSV59" s="468"/>
      <c r="MSW59" s="468"/>
      <c r="MSX59" s="468"/>
      <c r="MSY59" s="468"/>
      <c r="MSZ59" s="468"/>
      <c r="MTA59" s="468"/>
      <c r="MTB59" s="468"/>
      <c r="MTC59" s="468"/>
      <c r="MTD59" s="468"/>
      <c r="MTE59" s="468"/>
      <c r="MTF59" s="468"/>
      <c r="MTG59" s="468"/>
      <c r="MTH59" s="468"/>
      <c r="MTI59" s="468"/>
      <c r="MTJ59" s="468"/>
      <c r="MTK59" s="468"/>
      <c r="MTL59" s="468"/>
      <c r="MTM59" s="468"/>
      <c r="MTN59" s="468"/>
      <c r="MTO59" s="468"/>
      <c r="MTP59" s="468"/>
      <c r="MTQ59" s="468"/>
      <c r="MTR59" s="468"/>
      <c r="MTS59" s="468"/>
      <c r="MTT59" s="468"/>
      <c r="MTU59" s="468"/>
      <c r="MTV59" s="468"/>
      <c r="MTW59" s="468"/>
      <c r="MTX59" s="468"/>
      <c r="MTY59" s="468"/>
      <c r="MTZ59" s="468"/>
      <c r="MUA59" s="468"/>
      <c r="MUB59" s="468"/>
      <c r="MUC59" s="468"/>
      <c r="MUD59" s="468"/>
      <c r="MUE59" s="468"/>
      <c r="MUF59" s="468"/>
      <c r="MUG59" s="468"/>
      <c r="MUH59" s="468"/>
      <c r="MUI59" s="468"/>
      <c r="MUJ59" s="468"/>
      <c r="MUK59" s="468"/>
      <c r="MUL59" s="468"/>
      <c r="MUM59" s="468"/>
      <c r="MUN59" s="468"/>
      <c r="MUO59" s="468"/>
      <c r="MUP59" s="468"/>
      <c r="MUQ59" s="468"/>
      <c r="MUR59" s="468"/>
      <c r="MUS59" s="468"/>
      <c r="MUT59" s="468"/>
      <c r="MUU59" s="468"/>
      <c r="MUV59" s="468"/>
      <c r="MUW59" s="468"/>
      <c r="MUX59" s="468"/>
      <c r="MUY59" s="468"/>
      <c r="MUZ59" s="468"/>
      <c r="MVA59" s="468"/>
      <c r="MVB59" s="468"/>
      <c r="MVC59" s="468"/>
      <c r="MVD59" s="468"/>
      <c r="MVE59" s="468"/>
      <c r="MVF59" s="468"/>
      <c r="MVG59" s="468"/>
      <c r="MVH59" s="468"/>
      <c r="MVI59" s="468"/>
      <c r="MVJ59" s="468"/>
      <c r="MVK59" s="468"/>
      <c r="MVL59" s="468"/>
      <c r="MVM59" s="468"/>
      <c r="MVN59" s="468"/>
      <c r="MVO59" s="468"/>
      <c r="MVP59" s="468"/>
      <c r="MVQ59" s="468"/>
      <c r="MVR59" s="468"/>
      <c r="MVS59" s="468"/>
      <c r="MVT59" s="468"/>
      <c r="MVU59" s="468"/>
      <c r="MVV59" s="468"/>
      <c r="MVW59" s="468"/>
      <c r="MVX59" s="468"/>
      <c r="MVY59" s="468"/>
      <c r="MVZ59" s="468"/>
      <c r="MWA59" s="468"/>
      <c r="MWB59" s="468"/>
      <c r="MWC59" s="468"/>
      <c r="MWD59" s="468"/>
      <c r="MWE59" s="468"/>
      <c r="MWF59" s="468"/>
      <c r="MWG59" s="468"/>
      <c r="MWH59" s="468"/>
      <c r="MWI59" s="468"/>
      <c r="MWJ59" s="468"/>
      <c r="MWK59" s="468"/>
      <c r="MWL59" s="468"/>
      <c r="MWM59" s="468"/>
      <c r="MWN59" s="468"/>
      <c r="MWO59" s="468"/>
      <c r="MWP59" s="468"/>
      <c r="MWQ59" s="468"/>
      <c r="MWR59" s="468"/>
      <c r="MWS59" s="468"/>
      <c r="MWT59" s="468"/>
      <c r="MWU59" s="468"/>
      <c r="MWV59" s="468"/>
      <c r="MWW59" s="468"/>
      <c r="MWX59" s="468"/>
      <c r="MWY59" s="468"/>
      <c r="MWZ59" s="468"/>
      <c r="MXA59" s="468"/>
      <c r="MXB59" s="468"/>
      <c r="MXC59" s="468"/>
      <c r="MXD59" s="468"/>
      <c r="MXE59" s="468"/>
      <c r="MXF59" s="468"/>
      <c r="MXG59" s="468"/>
      <c r="MXH59" s="468"/>
      <c r="MXI59" s="468"/>
      <c r="MXJ59" s="468"/>
      <c r="MXK59" s="468"/>
      <c r="MXL59" s="468"/>
      <c r="MXM59" s="468"/>
      <c r="MXN59" s="468"/>
      <c r="MXO59" s="468"/>
      <c r="MXP59" s="468"/>
      <c r="MXQ59" s="468"/>
      <c r="MXR59" s="468"/>
      <c r="MXS59" s="468"/>
      <c r="MXT59" s="468"/>
      <c r="MXU59" s="468"/>
      <c r="MXV59" s="468"/>
      <c r="MXW59" s="468"/>
      <c r="MXX59" s="468"/>
      <c r="MXY59" s="468"/>
      <c r="MXZ59" s="468"/>
      <c r="MYA59" s="468"/>
      <c r="MYB59" s="468"/>
      <c r="MYC59" s="468"/>
      <c r="MYD59" s="468"/>
      <c r="MYE59" s="468"/>
      <c r="MYF59" s="468"/>
      <c r="MYG59" s="468"/>
      <c r="MYH59" s="468"/>
      <c r="MYI59" s="468"/>
      <c r="MYJ59" s="468"/>
      <c r="MYK59" s="468"/>
      <c r="MYL59" s="468"/>
      <c r="MYM59" s="468"/>
      <c r="MYN59" s="468"/>
      <c r="MYO59" s="468"/>
      <c r="MYP59" s="468"/>
      <c r="MYQ59" s="468"/>
      <c r="MYR59" s="468"/>
      <c r="MYS59" s="468"/>
      <c r="MYT59" s="468"/>
      <c r="MYU59" s="468"/>
      <c r="MYV59" s="468"/>
      <c r="MYW59" s="468"/>
      <c r="MYX59" s="468"/>
      <c r="MYY59" s="468"/>
      <c r="MYZ59" s="468"/>
      <c r="MZA59" s="468"/>
      <c r="MZB59" s="468"/>
      <c r="MZC59" s="468"/>
      <c r="MZD59" s="468"/>
      <c r="MZE59" s="468"/>
      <c r="MZF59" s="468"/>
      <c r="MZG59" s="468"/>
      <c r="MZH59" s="468"/>
      <c r="MZI59" s="468"/>
      <c r="MZJ59" s="468"/>
      <c r="MZK59" s="468"/>
      <c r="MZL59" s="468"/>
      <c r="MZM59" s="468"/>
      <c r="MZN59" s="468"/>
      <c r="MZO59" s="468"/>
      <c r="MZP59" s="468"/>
      <c r="MZQ59" s="468"/>
      <c r="MZR59" s="468"/>
      <c r="MZS59" s="468"/>
      <c r="MZT59" s="468"/>
      <c r="MZU59" s="468"/>
      <c r="MZV59" s="468"/>
      <c r="MZW59" s="468"/>
      <c r="MZX59" s="468"/>
      <c r="MZY59" s="468"/>
      <c r="MZZ59" s="468"/>
      <c r="NAA59" s="468"/>
      <c r="NAB59" s="468"/>
      <c r="NAC59" s="468"/>
      <c r="NAD59" s="468"/>
      <c r="NAE59" s="468"/>
      <c r="NAF59" s="468"/>
      <c r="NAG59" s="468"/>
      <c r="NAH59" s="468"/>
      <c r="NAI59" s="468"/>
      <c r="NAJ59" s="468"/>
      <c r="NAK59" s="468"/>
      <c r="NAL59" s="468"/>
      <c r="NAM59" s="468"/>
      <c r="NAN59" s="468"/>
      <c r="NAO59" s="468"/>
      <c r="NAP59" s="468"/>
      <c r="NAQ59" s="468"/>
      <c r="NAR59" s="468"/>
      <c r="NAS59" s="468"/>
      <c r="NAT59" s="468"/>
      <c r="NAU59" s="468"/>
      <c r="NAV59" s="468"/>
      <c r="NAW59" s="468"/>
      <c r="NAX59" s="468"/>
      <c r="NAY59" s="468"/>
      <c r="NAZ59" s="468"/>
      <c r="NBA59" s="468"/>
      <c r="NBB59" s="468"/>
      <c r="NBC59" s="468"/>
      <c r="NBD59" s="468"/>
      <c r="NBE59" s="468"/>
      <c r="NBF59" s="468"/>
      <c r="NBG59" s="468"/>
      <c r="NBH59" s="468"/>
      <c r="NBI59" s="468"/>
      <c r="NBJ59" s="468"/>
      <c r="NBK59" s="468"/>
      <c r="NBL59" s="468"/>
      <c r="NBM59" s="468"/>
      <c r="NBN59" s="468"/>
      <c r="NBO59" s="468"/>
      <c r="NBP59" s="468"/>
      <c r="NBQ59" s="468"/>
      <c r="NBR59" s="468"/>
      <c r="NBS59" s="468"/>
      <c r="NBT59" s="468"/>
      <c r="NBU59" s="468"/>
      <c r="NBV59" s="468"/>
      <c r="NBW59" s="468"/>
      <c r="NBX59" s="468"/>
      <c r="NBY59" s="468"/>
      <c r="NBZ59" s="468"/>
      <c r="NCA59" s="468"/>
      <c r="NCB59" s="468"/>
      <c r="NCC59" s="468"/>
      <c r="NCD59" s="468"/>
      <c r="NCE59" s="468"/>
      <c r="NCF59" s="468"/>
      <c r="NCG59" s="468"/>
      <c r="NCH59" s="468"/>
      <c r="NCI59" s="468"/>
      <c r="NCJ59" s="468"/>
      <c r="NCK59" s="468"/>
      <c r="NCL59" s="468"/>
      <c r="NCM59" s="468"/>
      <c r="NCN59" s="468"/>
      <c r="NCO59" s="468"/>
      <c r="NCP59" s="468"/>
      <c r="NCQ59" s="468"/>
      <c r="NCR59" s="468"/>
      <c r="NCS59" s="468"/>
      <c r="NCT59" s="468"/>
      <c r="NCU59" s="468"/>
      <c r="NCV59" s="468"/>
      <c r="NCW59" s="468"/>
      <c r="NCX59" s="468"/>
      <c r="NCY59" s="468"/>
      <c r="NCZ59" s="468"/>
      <c r="NDA59" s="468"/>
      <c r="NDB59" s="468"/>
      <c r="NDC59" s="468"/>
      <c r="NDD59" s="468"/>
      <c r="NDE59" s="468"/>
      <c r="NDF59" s="468"/>
      <c r="NDG59" s="468"/>
      <c r="NDH59" s="468"/>
      <c r="NDI59" s="468"/>
      <c r="NDJ59" s="468"/>
      <c r="NDK59" s="468"/>
      <c r="NDL59" s="468"/>
      <c r="NDM59" s="468"/>
      <c r="NDN59" s="468"/>
      <c r="NDO59" s="468"/>
      <c r="NDP59" s="468"/>
      <c r="NDQ59" s="468"/>
      <c r="NDR59" s="468"/>
      <c r="NDS59" s="468"/>
      <c r="NDT59" s="468"/>
      <c r="NDU59" s="468"/>
      <c r="NDV59" s="468"/>
      <c r="NDW59" s="468"/>
      <c r="NDX59" s="468"/>
      <c r="NDY59" s="468"/>
      <c r="NDZ59" s="468"/>
      <c r="NEA59" s="468"/>
      <c r="NEB59" s="468"/>
      <c r="NEC59" s="468"/>
      <c r="NED59" s="468"/>
      <c r="NEE59" s="468"/>
      <c r="NEF59" s="468"/>
      <c r="NEG59" s="468"/>
      <c r="NEH59" s="468"/>
      <c r="NEI59" s="468"/>
      <c r="NEJ59" s="468"/>
      <c r="NEK59" s="468"/>
      <c r="NEL59" s="468"/>
      <c r="NEM59" s="468"/>
      <c r="NEN59" s="468"/>
      <c r="NEO59" s="468"/>
      <c r="NEP59" s="468"/>
      <c r="NEQ59" s="468"/>
      <c r="NER59" s="468"/>
      <c r="NES59" s="468"/>
      <c r="NET59" s="468"/>
      <c r="NEU59" s="468"/>
      <c r="NEV59" s="468"/>
      <c r="NEW59" s="468"/>
      <c r="NEX59" s="468"/>
      <c r="NEY59" s="468"/>
      <c r="NEZ59" s="468"/>
      <c r="NFA59" s="468"/>
      <c r="NFB59" s="468"/>
      <c r="NFC59" s="468"/>
      <c r="NFD59" s="468"/>
      <c r="NFE59" s="468"/>
      <c r="NFF59" s="468"/>
      <c r="NFG59" s="468"/>
      <c r="NFH59" s="468"/>
      <c r="NFI59" s="468"/>
      <c r="NFJ59" s="468"/>
      <c r="NFK59" s="468"/>
      <c r="NFL59" s="468"/>
      <c r="NFM59" s="468"/>
      <c r="NFN59" s="468"/>
      <c r="NFO59" s="468"/>
      <c r="NFP59" s="468"/>
      <c r="NFQ59" s="468"/>
      <c r="NFR59" s="468"/>
      <c r="NFS59" s="468"/>
      <c r="NFT59" s="468"/>
      <c r="NFU59" s="468"/>
      <c r="NFV59" s="468"/>
      <c r="NFW59" s="468"/>
      <c r="NFX59" s="468"/>
      <c r="NFY59" s="468"/>
      <c r="NFZ59" s="468"/>
      <c r="NGA59" s="468"/>
      <c r="NGB59" s="468"/>
      <c r="NGC59" s="468"/>
      <c r="NGD59" s="468"/>
      <c r="NGE59" s="468"/>
      <c r="NGF59" s="468"/>
      <c r="NGG59" s="468"/>
      <c r="NGH59" s="468"/>
      <c r="NGI59" s="468"/>
      <c r="NGJ59" s="468"/>
      <c r="NGK59" s="468"/>
      <c r="NGL59" s="468"/>
      <c r="NGM59" s="468"/>
      <c r="NGN59" s="468"/>
      <c r="NGO59" s="468"/>
      <c r="NGP59" s="468"/>
      <c r="NGQ59" s="468"/>
      <c r="NGR59" s="468"/>
      <c r="NGS59" s="468"/>
      <c r="NGT59" s="468"/>
      <c r="NGU59" s="468"/>
      <c r="NGV59" s="468"/>
      <c r="NGW59" s="468"/>
      <c r="NGX59" s="468"/>
      <c r="NGY59" s="468"/>
      <c r="NGZ59" s="468"/>
      <c r="NHA59" s="468"/>
      <c r="NHB59" s="468"/>
      <c r="NHC59" s="468"/>
      <c r="NHD59" s="468"/>
      <c r="NHE59" s="468"/>
      <c r="NHF59" s="468"/>
      <c r="NHG59" s="468"/>
      <c r="NHH59" s="468"/>
      <c r="NHI59" s="468"/>
      <c r="NHJ59" s="468"/>
      <c r="NHK59" s="468"/>
      <c r="NHL59" s="468"/>
      <c r="NHM59" s="468"/>
      <c r="NHN59" s="468"/>
      <c r="NHO59" s="468"/>
      <c r="NHP59" s="468"/>
      <c r="NHQ59" s="468"/>
      <c r="NHR59" s="468"/>
      <c r="NHS59" s="468"/>
      <c r="NHT59" s="468"/>
      <c r="NHU59" s="468"/>
      <c r="NHV59" s="468"/>
      <c r="NHW59" s="468"/>
      <c r="NHX59" s="468"/>
      <c r="NHY59" s="468"/>
      <c r="NHZ59" s="468"/>
      <c r="NIA59" s="468"/>
      <c r="NIB59" s="468"/>
      <c r="NIC59" s="468"/>
      <c r="NID59" s="468"/>
      <c r="NIE59" s="468"/>
      <c r="NIF59" s="468"/>
      <c r="NIG59" s="468"/>
      <c r="NIH59" s="468"/>
      <c r="NII59" s="468"/>
      <c r="NIJ59" s="468"/>
      <c r="NIK59" s="468"/>
      <c r="NIL59" s="468"/>
      <c r="NIM59" s="468"/>
      <c r="NIN59" s="468"/>
      <c r="NIO59" s="468"/>
      <c r="NIP59" s="468"/>
      <c r="NIQ59" s="468"/>
      <c r="NIR59" s="468"/>
      <c r="NIS59" s="468"/>
      <c r="NIT59" s="468"/>
      <c r="NIU59" s="468"/>
      <c r="NIV59" s="468"/>
      <c r="NIW59" s="468"/>
      <c r="NIX59" s="468"/>
      <c r="NIY59" s="468"/>
      <c r="NIZ59" s="468"/>
      <c r="NJA59" s="468"/>
      <c r="NJB59" s="468"/>
      <c r="NJC59" s="468"/>
      <c r="NJD59" s="468"/>
      <c r="NJE59" s="468"/>
      <c r="NJF59" s="468"/>
      <c r="NJG59" s="468"/>
      <c r="NJH59" s="468"/>
      <c r="NJI59" s="468"/>
      <c r="NJJ59" s="468"/>
      <c r="NJK59" s="468"/>
      <c r="NJL59" s="468"/>
      <c r="NJM59" s="468"/>
      <c r="NJN59" s="468"/>
      <c r="NJO59" s="468"/>
      <c r="NJP59" s="468"/>
      <c r="NJQ59" s="468"/>
      <c r="NJR59" s="468"/>
      <c r="NJS59" s="468"/>
      <c r="NJT59" s="468"/>
      <c r="NJU59" s="468"/>
      <c r="NJV59" s="468"/>
      <c r="NJW59" s="468"/>
      <c r="NJX59" s="468"/>
      <c r="NJY59" s="468"/>
      <c r="NJZ59" s="468"/>
      <c r="NKA59" s="468"/>
      <c r="NKB59" s="468"/>
      <c r="NKC59" s="468"/>
      <c r="NKD59" s="468"/>
      <c r="NKE59" s="468"/>
      <c r="NKF59" s="468"/>
      <c r="NKG59" s="468"/>
      <c r="NKH59" s="468"/>
      <c r="NKI59" s="468"/>
      <c r="NKJ59" s="468"/>
      <c r="NKK59" s="468"/>
      <c r="NKL59" s="468"/>
      <c r="NKM59" s="468"/>
      <c r="NKN59" s="468"/>
      <c r="NKO59" s="468"/>
      <c r="NKP59" s="468"/>
      <c r="NKQ59" s="468"/>
      <c r="NKR59" s="468"/>
      <c r="NKS59" s="468"/>
      <c r="NKT59" s="468"/>
      <c r="NKU59" s="468"/>
      <c r="NKV59" s="468"/>
      <c r="NKW59" s="468"/>
      <c r="NKX59" s="468"/>
      <c r="NKY59" s="468"/>
      <c r="NKZ59" s="468"/>
      <c r="NLA59" s="468"/>
      <c r="NLB59" s="468"/>
      <c r="NLC59" s="468"/>
      <c r="NLD59" s="468"/>
      <c r="NLE59" s="468"/>
      <c r="NLF59" s="468"/>
      <c r="NLG59" s="468"/>
      <c r="NLH59" s="468"/>
      <c r="NLI59" s="468"/>
      <c r="NLJ59" s="468"/>
      <c r="NLK59" s="468"/>
      <c r="NLL59" s="468"/>
      <c r="NLM59" s="468"/>
      <c r="NLN59" s="468"/>
      <c r="NLO59" s="468"/>
      <c r="NLP59" s="468"/>
      <c r="NLQ59" s="468"/>
      <c r="NLR59" s="468"/>
      <c r="NLS59" s="468"/>
      <c r="NLT59" s="468"/>
      <c r="NLU59" s="468"/>
      <c r="NLV59" s="468"/>
      <c r="NLW59" s="468"/>
      <c r="NLX59" s="468"/>
      <c r="NLY59" s="468"/>
      <c r="NLZ59" s="468"/>
      <c r="NMA59" s="468"/>
      <c r="NMB59" s="468"/>
      <c r="NMC59" s="468"/>
      <c r="NMD59" s="468"/>
      <c r="NME59" s="468"/>
      <c r="NMF59" s="468"/>
      <c r="NMG59" s="468"/>
      <c r="NMH59" s="468"/>
      <c r="NMI59" s="468"/>
      <c r="NMJ59" s="468"/>
      <c r="NMK59" s="468"/>
      <c r="NML59" s="468"/>
      <c r="NMM59" s="468"/>
      <c r="NMN59" s="468"/>
      <c r="NMO59" s="468"/>
      <c r="NMP59" s="468"/>
      <c r="NMQ59" s="468"/>
      <c r="NMR59" s="468"/>
      <c r="NMS59" s="468"/>
      <c r="NMT59" s="468"/>
      <c r="NMU59" s="468"/>
      <c r="NMV59" s="468"/>
      <c r="NMW59" s="468"/>
      <c r="NMX59" s="468"/>
      <c r="NMY59" s="468"/>
      <c r="NMZ59" s="468"/>
      <c r="NNA59" s="468"/>
      <c r="NNB59" s="468"/>
      <c r="NNC59" s="468"/>
      <c r="NND59" s="468"/>
      <c r="NNE59" s="468"/>
      <c r="NNF59" s="468"/>
      <c r="NNG59" s="468"/>
      <c r="NNH59" s="468"/>
      <c r="NNI59" s="468"/>
      <c r="NNJ59" s="468"/>
      <c r="NNK59" s="468"/>
      <c r="NNL59" s="468"/>
      <c r="NNM59" s="468"/>
      <c r="NNN59" s="468"/>
      <c r="NNO59" s="468"/>
      <c r="NNP59" s="468"/>
      <c r="NNQ59" s="468"/>
      <c r="NNR59" s="468"/>
      <c r="NNS59" s="468"/>
      <c r="NNT59" s="468"/>
      <c r="NNU59" s="468"/>
      <c r="NNV59" s="468"/>
      <c r="NNW59" s="468"/>
      <c r="NNX59" s="468"/>
      <c r="NNY59" s="468"/>
      <c r="NNZ59" s="468"/>
      <c r="NOA59" s="468"/>
      <c r="NOB59" s="468"/>
      <c r="NOC59" s="468"/>
      <c r="NOD59" s="468"/>
      <c r="NOE59" s="468"/>
      <c r="NOF59" s="468"/>
      <c r="NOG59" s="468"/>
      <c r="NOH59" s="468"/>
      <c r="NOI59" s="468"/>
      <c r="NOJ59" s="468"/>
      <c r="NOK59" s="468"/>
      <c r="NOL59" s="468"/>
      <c r="NOM59" s="468"/>
      <c r="NON59" s="468"/>
      <c r="NOO59" s="468"/>
      <c r="NOP59" s="468"/>
      <c r="NOQ59" s="468"/>
      <c r="NOR59" s="468"/>
      <c r="NOS59" s="468"/>
      <c r="NOT59" s="468"/>
      <c r="NOU59" s="468"/>
      <c r="NOV59" s="468"/>
      <c r="NOW59" s="468"/>
      <c r="NOX59" s="468"/>
      <c r="NOY59" s="468"/>
      <c r="NOZ59" s="468"/>
      <c r="NPA59" s="468"/>
      <c r="NPB59" s="468"/>
      <c r="NPC59" s="468"/>
      <c r="NPD59" s="468"/>
      <c r="NPE59" s="468"/>
      <c r="NPF59" s="468"/>
      <c r="NPG59" s="468"/>
      <c r="NPH59" s="468"/>
      <c r="NPI59" s="468"/>
      <c r="NPJ59" s="468"/>
      <c r="NPK59" s="468"/>
      <c r="NPL59" s="468"/>
      <c r="NPM59" s="468"/>
      <c r="NPN59" s="468"/>
      <c r="NPO59" s="468"/>
      <c r="NPP59" s="468"/>
      <c r="NPQ59" s="468"/>
      <c r="NPR59" s="468"/>
      <c r="NPS59" s="468"/>
      <c r="NPT59" s="468"/>
      <c r="NPU59" s="468"/>
      <c r="NPV59" s="468"/>
      <c r="NPW59" s="468"/>
      <c r="NPX59" s="468"/>
      <c r="NPY59" s="468"/>
      <c r="NPZ59" s="468"/>
      <c r="NQA59" s="468"/>
      <c r="NQB59" s="468"/>
      <c r="NQC59" s="468"/>
      <c r="NQD59" s="468"/>
      <c r="NQE59" s="468"/>
      <c r="NQF59" s="468"/>
      <c r="NQG59" s="468"/>
      <c r="NQH59" s="468"/>
      <c r="NQI59" s="468"/>
      <c r="NQJ59" s="468"/>
      <c r="NQK59" s="468"/>
      <c r="NQL59" s="468"/>
      <c r="NQM59" s="468"/>
      <c r="NQN59" s="468"/>
      <c r="NQO59" s="468"/>
      <c r="NQP59" s="468"/>
      <c r="NQQ59" s="468"/>
      <c r="NQR59" s="468"/>
      <c r="NQS59" s="468"/>
      <c r="NQT59" s="468"/>
      <c r="NQU59" s="468"/>
      <c r="NQV59" s="468"/>
      <c r="NQW59" s="468"/>
      <c r="NQX59" s="468"/>
      <c r="NQY59" s="468"/>
      <c r="NQZ59" s="468"/>
      <c r="NRA59" s="468"/>
      <c r="NRB59" s="468"/>
      <c r="NRC59" s="468"/>
      <c r="NRD59" s="468"/>
      <c r="NRE59" s="468"/>
      <c r="NRF59" s="468"/>
      <c r="NRG59" s="468"/>
      <c r="NRH59" s="468"/>
      <c r="NRI59" s="468"/>
      <c r="NRJ59" s="468"/>
      <c r="NRK59" s="468"/>
      <c r="NRL59" s="468"/>
      <c r="NRM59" s="468"/>
      <c r="NRN59" s="468"/>
      <c r="NRO59" s="468"/>
      <c r="NRP59" s="468"/>
      <c r="NRQ59" s="468"/>
      <c r="NRR59" s="468"/>
      <c r="NRS59" s="468"/>
      <c r="NRT59" s="468"/>
      <c r="NRU59" s="468"/>
      <c r="NRV59" s="468"/>
      <c r="NRW59" s="468"/>
      <c r="NRX59" s="468"/>
      <c r="NRY59" s="468"/>
      <c r="NRZ59" s="468"/>
      <c r="NSA59" s="468"/>
      <c r="NSB59" s="468"/>
      <c r="NSC59" s="468"/>
      <c r="NSD59" s="468"/>
      <c r="NSE59" s="468"/>
      <c r="NSF59" s="468"/>
      <c r="NSG59" s="468"/>
      <c r="NSH59" s="468"/>
      <c r="NSI59" s="468"/>
      <c r="NSJ59" s="468"/>
      <c r="NSK59" s="468"/>
      <c r="NSL59" s="468"/>
      <c r="NSM59" s="468"/>
      <c r="NSN59" s="468"/>
      <c r="NSO59" s="468"/>
      <c r="NSP59" s="468"/>
      <c r="NSQ59" s="468"/>
      <c r="NSR59" s="468"/>
      <c r="NSS59" s="468"/>
      <c r="NST59" s="468"/>
      <c r="NSU59" s="468"/>
      <c r="NSV59" s="468"/>
      <c r="NSW59" s="468"/>
      <c r="NSX59" s="468"/>
      <c r="NSY59" s="468"/>
      <c r="NSZ59" s="468"/>
      <c r="NTA59" s="468"/>
      <c r="NTB59" s="468"/>
      <c r="NTC59" s="468"/>
      <c r="NTD59" s="468"/>
      <c r="NTE59" s="468"/>
      <c r="NTF59" s="468"/>
      <c r="NTG59" s="468"/>
      <c r="NTH59" s="468"/>
      <c r="NTI59" s="468"/>
      <c r="NTJ59" s="468"/>
      <c r="NTK59" s="468"/>
      <c r="NTL59" s="468"/>
      <c r="NTM59" s="468"/>
      <c r="NTN59" s="468"/>
      <c r="NTO59" s="468"/>
      <c r="NTP59" s="468"/>
      <c r="NTQ59" s="468"/>
      <c r="NTR59" s="468"/>
      <c r="NTS59" s="468"/>
      <c r="NTT59" s="468"/>
      <c r="NTU59" s="468"/>
      <c r="NTV59" s="468"/>
      <c r="NTW59" s="468"/>
      <c r="NTX59" s="468"/>
      <c r="NTY59" s="468"/>
      <c r="NTZ59" s="468"/>
      <c r="NUA59" s="468"/>
      <c r="NUB59" s="468"/>
      <c r="NUC59" s="468"/>
      <c r="NUD59" s="468"/>
      <c r="NUE59" s="468"/>
      <c r="NUF59" s="468"/>
      <c r="NUG59" s="468"/>
      <c r="NUH59" s="468"/>
      <c r="NUI59" s="468"/>
      <c r="NUJ59" s="468"/>
      <c r="NUK59" s="468"/>
      <c r="NUL59" s="468"/>
      <c r="NUM59" s="468"/>
      <c r="NUN59" s="468"/>
      <c r="NUO59" s="468"/>
      <c r="NUP59" s="468"/>
      <c r="NUQ59" s="468"/>
      <c r="NUR59" s="468"/>
      <c r="NUS59" s="468"/>
      <c r="NUT59" s="468"/>
      <c r="NUU59" s="468"/>
      <c r="NUV59" s="468"/>
      <c r="NUW59" s="468"/>
      <c r="NUX59" s="468"/>
      <c r="NUY59" s="468"/>
      <c r="NUZ59" s="468"/>
      <c r="NVA59" s="468"/>
      <c r="NVB59" s="468"/>
      <c r="NVC59" s="468"/>
      <c r="NVD59" s="468"/>
      <c r="NVE59" s="468"/>
      <c r="NVF59" s="468"/>
      <c r="NVG59" s="468"/>
      <c r="NVH59" s="468"/>
      <c r="NVI59" s="468"/>
      <c r="NVJ59" s="468"/>
      <c r="NVK59" s="468"/>
      <c r="NVL59" s="468"/>
      <c r="NVM59" s="468"/>
      <c r="NVN59" s="468"/>
      <c r="NVO59" s="468"/>
      <c r="NVP59" s="468"/>
      <c r="NVQ59" s="468"/>
      <c r="NVR59" s="468"/>
      <c r="NVS59" s="468"/>
      <c r="NVT59" s="468"/>
      <c r="NVU59" s="468"/>
      <c r="NVV59" s="468"/>
      <c r="NVW59" s="468"/>
      <c r="NVX59" s="468"/>
      <c r="NVY59" s="468"/>
      <c r="NVZ59" s="468"/>
      <c r="NWA59" s="468"/>
      <c r="NWB59" s="468"/>
      <c r="NWC59" s="468"/>
      <c r="NWD59" s="468"/>
      <c r="NWE59" s="468"/>
      <c r="NWF59" s="468"/>
      <c r="NWG59" s="468"/>
      <c r="NWH59" s="468"/>
      <c r="NWI59" s="468"/>
      <c r="NWJ59" s="468"/>
      <c r="NWK59" s="468"/>
      <c r="NWL59" s="468"/>
      <c r="NWM59" s="468"/>
      <c r="NWN59" s="468"/>
      <c r="NWO59" s="468"/>
      <c r="NWP59" s="468"/>
      <c r="NWQ59" s="468"/>
      <c r="NWR59" s="468"/>
      <c r="NWS59" s="468"/>
      <c r="NWT59" s="468"/>
      <c r="NWU59" s="468"/>
      <c r="NWV59" s="468"/>
      <c r="NWW59" s="468"/>
      <c r="NWX59" s="468"/>
      <c r="NWY59" s="468"/>
      <c r="NWZ59" s="468"/>
      <c r="NXA59" s="468"/>
      <c r="NXB59" s="468"/>
      <c r="NXC59" s="468"/>
      <c r="NXD59" s="468"/>
      <c r="NXE59" s="468"/>
      <c r="NXF59" s="468"/>
      <c r="NXG59" s="468"/>
      <c r="NXH59" s="468"/>
      <c r="NXI59" s="468"/>
      <c r="NXJ59" s="468"/>
      <c r="NXK59" s="468"/>
      <c r="NXL59" s="468"/>
      <c r="NXM59" s="468"/>
      <c r="NXN59" s="468"/>
      <c r="NXO59" s="468"/>
      <c r="NXP59" s="468"/>
      <c r="NXQ59" s="468"/>
      <c r="NXR59" s="468"/>
      <c r="NXS59" s="468"/>
      <c r="NXT59" s="468"/>
      <c r="NXU59" s="468"/>
      <c r="NXV59" s="468"/>
      <c r="NXW59" s="468"/>
      <c r="NXX59" s="468"/>
      <c r="NXY59" s="468"/>
      <c r="NXZ59" s="468"/>
      <c r="NYA59" s="468"/>
      <c r="NYB59" s="468"/>
      <c r="NYC59" s="468"/>
      <c r="NYD59" s="468"/>
      <c r="NYE59" s="468"/>
      <c r="NYF59" s="468"/>
      <c r="NYG59" s="468"/>
      <c r="NYH59" s="468"/>
      <c r="NYI59" s="468"/>
      <c r="NYJ59" s="468"/>
      <c r="NYK59" s="468"/>
      <c r="NYL59" s="468"/>
      <c r="NYM59" s="468"/>
      <c r="NYN59" s="468"/>
      <c r="NYO59" s="468"/>
      <c r="NYP59" s="468"/>
      <c r="NYQ59" s="468"/>
      <c r="NYR59" s="468"/>
      <c r="NYS59" s="468"/>
      <c r="NYT59" s="468"/>
      <c r="NYU59" s="468"/>
      <c r="NYV59" s="468"/>
      <c r="NYW59" s="468"/>
      <c r="NYX59" s="468"/>
      <c r="NYY59" s="468"/>
      <c r="NYZ59" s="468"/>
      <c r="NZA59" s="468"/>
      <c r="NZB59" s="468"/>
      <c r="NZC59" s="468"/>
      <c r="NZD59" s="468"/>
      <c r="NZE59" s="468"/>
      <c r="NZF59" s="468"/>
      <c r="NZG59" s="468"/>
      <c r="NZH59" s="468"/>
      <c r="NZI59" s="468"/>
      <c r="NZJ59" s="468"/>
      <c r="NZK59" s="468"/>
      <c r="NZL59" s="468"/>
      <c r="NZM59" s="468"/>
      <c r="NZN59" s="468"/>
      <c r="NZO59" s="468"/>
      <c r="NZP59" s="468"/>
      <c r="NZQ59" s="468"/>
      <c r="NZR59" s="468"/>
      <c r="NZS59" s="468"/>
      <c r="NZT59" s="468"/>
      <c r="NZU59" s="468"/>
      <c r="NZV59" s="468"/>
      <c r="NZW59" s="468"/>
      <c r="NZX59" s="468"/>
      <c r="NZY59" s="468"/>
      <c r="NZZ59" s="468"/>
      <c r="OAA59" s="468"/>
      <c r="OAB59" s="468"/>
      <c r="OAC59" s="468"/>
      <c r="OAD59" s="468"/>
      <c r="OAE59" s="468"/>
      <c r="OAF59" s="468"/>
      <c r="OAG59" s="468"/>
      <c r="OAH59" s="468"/>
      <c r="OAI59" s="468"/>
      <c r="OAJ59" s="468"/>
      <c r="OAK59" s="468"/>
      <c r="OAL59" s="468"/>
      <c r="OAM59" s="468"/>
      <c r="OAN59" s="468"/>
      <c r="OAO59" s="468"/>
      <c r="OAP59" s="468"/>
      <c r="OAQ59" s="468"/>
      <c r="OAR59" s="468"/>
      <c r="OAS59" s="468"/>
      <c r="OAT59" s="468"/>
      <c r="OAU59" s="468"/>
      <c r="OAV59" s="468"/>
      <c r="OAW59" s="468"/>
      <c r="OAX59" s="468"/>
      <c r="OAY59" s="468"/>
      <c r="OAZ59" s="468"/>
      <c r="OBA59" s="468"/>
      <c r="OBB59" s="468"/>
      <c r="OBC59" s="468"/>
      <c r="OBD59" s="468"/>
      <c r="OBE59" s="468"/>
      <c r="OBF59" s="468"/>
      <c r="OBG59" s="468"/>
      <c r="OBH59" s="468"/>
      <c r="OBI59" s="468"/>
      <c r="OBJ59" s="468"/>
      <c r="OBK59" s="468"/>
      <c r="OBL59" s="468"/>
      <c r="OBM59" s="468"/>
      <c r="OBN59" s="468"/>
      <c r="OBO59" s="468"/>
      <c r="OBP59" s="468"/>
      <c r="OBQ59" s="468"/>
      <c r="OBR59" s="468"/>
      <c r="OBS59" s="468"/>
      <c r="OBT59" s="468"/>
      <c r="OBU59" s="468"/>
      <c r="OBV59" s="468"/>
      <c r="OBW59" s="468"/>
      <c r="OBX59" s="468"/>
      <c r="OBY59" s="468"/>
      <c r="OBZ59" s="468"/>
      <c r="OCA59" s="468"/>
      <c r="OCB59" s="468"/>
      <c r="OCC59" s="468"/>
      <c r="OCD59" s="468"/>
      <c r="OCE59" s="468"/>
      <c r="OCF59" s="468"/>
      <c r="OCG59" s="468"/>
      <c r="OCH59" s="468"/>
      <c r="OCI59" s="468"/>
      <c r="OCJ59" s="468"/>
      <c r="OCK59" s="468"/>
      <c r="OCL59" s="468"/>
      <c r="OCM59" s="468"/>
      <c r="OCN59" s="468"/>
      <c r="OCO59" s="468"/>
      <c r="OCP59" s="468"/>
      <c r="OCQ59" s="468"/>
      <c r="OCR59" s="468"/>
      <c r="OCS59" s="468"/>
      <c r="OCT59" s="468"/>
      <c r="OCU59" s="468"/>
      <c r="OCV59" s="468"/>
      <c r="OCW59" s="468"/>
      <c r="OCX59" s="468"/>
      <c r="OCY59" s="468"/>
      <c r="OCZ59" s="468"/>
      <c r="ODA59" s="468"/>
      <c r="ODB59" s="468"/>
      <c r="ODC59" s="468"/>
      <c r="ODD59" s="468"/>
      <c r="ODE59" s="468"/>
      <c r="ODF59" s="468"/>
      <c r="ODG59" s="468"/>
      <c r="ODH59" s="468"/>
      <c r="ODI59" s="468"/>
      <c r="ODJ59" s="468"/>
      <c r="ODK59" s="468"/>
      <c r="ODL59" s="468"/>
      <c r="ODM59" s="468"/>
      <c r="ODN59" s="468"/>
      <c r="ODO59" s="468"/>
      <c r="ODP59" s="468"/>
      <c r="ODQ59" s="468"/>
      <c r="ODR59" s="468"/>
      <c r="ODS59" s="468"/>
      <c r="ODT59" s="468"/>
      <c r="ODU59" s="468"/>
      <c r="ODV59" s="468"/>
      <c r="ODW59" s="468"/>
      <c r="ODX59" s="468"/>
      <c r="ODY59" s="468"/>
      <c r="ODZ59" s="468"/>
      <c r="OEA59" s="468"/>
      <c r="OEB59" s="468"/>
      <c r="OEC59" s="468"/>
      <c r="OED59" s="468"/>
      <c r="OEE59" s="468"/>
      <c r="OEF59" s="468"/>
      <c r="OEG59" s="468"/>
      <c r="OEH59" s="468"/>
      <c r="OEI59" s="468"/>
      <c r="OEJ59" s="468"/>
      <c r="OEK59" s="468"/>
      <c r="OEL59" s="468"/>
      <c r="OEM59" s="468"/>
      <c r="OEN59" s="468"/>
      <c r="OEO59" s="468"/>
      <c r="OEP59" s="468"/>
      <c r="OEQ59" s="468"/>
      <c r="OER59" s="468"/>
      <c r="OES59" s="468"/>
      <c r="OET59" s="468"/>
      <c r="OEU59" s="468"/>
      <c r="OEV59" s="468"/>
      <c r="OEW59" s="468"/>
      <c r="OEX59" s="468"/>
      <c r="OEY59" s="468"/>
      <c r="OEZ59" s="468"/>
      <c r="OFA59" s="468"/>
      <c r="OFB59" s="468"/>
      <c r="OFC59" s="468"/>
      <c r="OFD59" s="468"/>
      <c r="OFE59" s="468"/>
      <c r="OFF59" s="468"/>
      <c r="OFG59" s="468"/>
      <c r="OFH59" s="468"/>
      <c r="OFI59" s="468"/>
      <c r="OFJ59" s="468"/>
      <c r="OFK59" s="468"/>
      <c r="OFL59" s="468"/>
      <c r="OFM59" s="468"/>
      <c r="OFN59" s="468"/>
      <c r="OFO59" s="468"/>
      <c r="OFP59" s="468"/>
      <c r="OFQ59" s="468"/>
      <c r="OFR59" s="468"/>
      <c r="OFS59" s="468"/>
      <c r="OFT59" s="468"/>
      <c r="OFU59" s="468"/>
      <c r="OFV59" s="468"/>
      <c r="OFW59" s="468"/>
      <c r="OFX59" s="468"/>
      <c r="OFY59" s="468"/>
      <c r="OFZ59" s="468"/>
      <c r="OGA59" s="468"/>
      <c r="OGB59" s="468"/>
      <c r="OGC59" s="468"/>
      <c r="OGD59" s="468"/>
      <c r="OGE59" s="468"/>
      <c r="OGF59" s="468"/>
      <c r="OGG59" s="468"/>
      <c r="OGH59" s="468"/>
      <c r="OGI59" s="468"/>
      <c r="OGJ59" s="468"/>
      <c r="OGK59" s="468"/>
      <c r="OGL59" s="468"/>
      <c r="OGM59" s="468"/>
      <c r="OGN59" s="468"/>
      <c r="OGO59" s="468"/>
      <c r="OGP59" s="468"/>
      <c r="OGQ59" s="468"/>
      <c r="OGR59" s="468"/>
      <c r="OGS59" s="468"/>
      <c r="OGT59" s="468"/>
      <c r="OGU59" s="468"/>
      <c r="OGV59" s="468"/>
      <c r="OGW59" s="468"/>
      <c r="OGX59" s="468"/>
      <c r="OGY59" s="468"/>
      <c r="OGZ59" s="468"/>
      <c r="OHA59" s="468"/>
      <c r="OHB59" s="468"/>
      <c r="OHC59" s="468"/>
      <c r="OHD59" s="468"/>
      <c r="OHE59" s="468"/>
      <c r="OHF59" s="468"/>
      <c r="OHG59" s="468"/>
      <c r="OHH59" s="468"/>
      <c r="OHI59" s="468"/>
      <c r="OHJ59" s="468"/>
      <c r="OHK59" s="468"/>
      <c r="OHL59" s="468"/>
      <c r="OHM59" s="468"/>
      <c r="OHN59" s="468"/>
      <c r="OHO59" s="468"/>
      <c r="OHP59" s="468"/>
      <c r="OHQ59" s="468"/>
      <c r="OHR59" s="468"/>
      <c r="OHS59" s="468"/>
      <c r="OHT59" s="468"/>
      <c r="OHU59" s="468"/>
      <c r="OHV59" s="468"/>
      <c r="OHW59" s="468"/>
      <c r="OHX59" s="468"/>
      <c r="OHY59" s="468"/>
      <c r="OHZ59" s="468"/>
      <c r="OIA59" s="468"/>
      <c r="OIB59" s="468"/>
      <c r="OIC59" s="468"/>
      <c r="OID59" s="468"/>
      <c r="OIE59" s="468"/>
      <c r="OIF59" s="468"/>
      <c r="OIG59" s="468"/>
      <c r="OIH59" s="468"/>
      <c r="OII59" s="468"/>
      <c r="OIJ59" s="468"/>
      <c r="OIK59" s="468"/>
      <c r="OIL59" s="468"/>
      <c r="OIM59" s="468"/>
      <c r="OIN59" s="468"/>
      <c r="OIO59" s="468"/>
      <c r="OIP59" s="468"/>
      <c r="OIQ59" s="468"/>
      <c r="OIR59" s="468"/>
      <c r="OIS59" s="468"/>
      <c r="OIT59" s="468"/>
      <c r="OIU59" s="468"/>
      <c r="OIV59" s="468"/>
      <c r="OIW59" s="468"/>
      <c r="OIX59" s="468"/>
      <c r="OIY59" s="468"/>
      <c r="OIZ59" s="468"/>
      <c r="OJA59" s="468"/>
      <c r="OJB59" s="468"/>
      <c r="OJC59" s="468"/>
      <c r="OJD59" s="468"/>
      <c r="OJE59" s="468"/>
      <c r="OJF59" s="468"/>
      <c r="OJG59" s="468"/>
      <c r="OJH59" s="468"/>
      <c r="OJI59" s="468"/>
      <c r="OJJ59" s="468"/>
      <c r="OJK59" s="468"/>
      <c r="OJL59" s="468"/>
      <c r="OJM59" s="468"/>
      <c r="OJN59" s="468"/>
      <c r="OJO59" s="468"/>
      <c r="OJP59" s="468"/>
      <c r="OJQ59" s="468"/>
      <c r="OJR59" s="468"/>
      <c r="OJS59" s="468"/>
      <c r="OJT59" s="468"/>
      <c r="OJU59" s="468"/>
      <c r="OJV59" s="468"/>
      <c r="OJW59" s="468"/>
      <c r="OJX59" s="468"/>
      <c r="OJY59" s="468"/>
      <c r="OJZ59" s="468"/>
      <c r="OKA59" s="468"/>
      <c r="OKB59" s="468"/>
      <c r="OKC59" s="468"/>
      <c r="OKD59" s="468"/>
      <c r="OKE59" s="468"/>
      <c r="OKF59" s="468"/>
      <c r="OKG59" s="468"/>
      <c r="OKH59" s="468"/>
      <c r="OKI59" s="468"/>
      <c r="OKJ59" s="468"/>
      <c r="OKK59" s="468"/>
      <c r="OKL59" s="468"/>
      <c r="OKM59" s="468"/>
      <c r="OKN59" s="468"/>
      <c r="OKO59" s="468"/>
      <c r="OKP59" s="468"/>
      <c r="OKQ59" s="468"/>
      <c r="OKR59" s="468"/>
      <c r="OKS59" s="468"/>
      <c r="OKT59" s="468"/>
      <c r="OKU59" s="468"/>
      <c r="OKV59" s="468"/>
      <c r="OKW59" s="468"/>
      <c r="OKX59" s="468"/>
      <c r="OKY59" s="468"/>
      <c r="OKZ59" s="468"/>
      <c r="OLA59" s="468"/>
      <c r="OLB59" s="468"/>
      <c r="OLC59" s="468"/>
      <c r="OLD59" s="468"/>
      <c r="OLE59" s="468"/>
      <c r="OLF59" s="468"/>
      <c r="OLG59" s="468"/>
      <c r="OLH59" s="468"/>
      <c r="OLI59" s="468"/>
      <c r="OLJ59" s="468"/>
      <c r="OLK59" s="468"/>
      <c r="OLL59" s="468"/>
      <c r="OLM59" s="468"/>
      <c r="OLN59" s="468"/>
      <c r="OLO59" s="468"/>
      <c r="OLP59" s="468"/>
      <c r="OLQ59" s="468"/>
      <c r="OLR59" s="468"/>
      <c r="OLS59" s="468"/>
      <c r="OLT59" s="468"/>
      <c r="OLU59" s="468"/>
      <c r="OLV59" s="468"/>
      <c r="OLW59" s="468"/>
      <c r="OLX59" s="468"/>
      <c r="OLY59" s="468"/>
      <c r="OLZ59" s="468"/>
      <c r="OMA59" s="468"/>
      <c r="OMB59" s="468"/>
      <c r="OMC59" s="468"/>
      <c r="OMD59" s="468"/>
      <c r="OME59" s="468"/>
      <c r="OMF59" s="468"/>
      <c r="OMG59" s="468"/>
      <c r="OMH59" s="468"/>
      <c r="OMI59" s="468"/>
      <c r="OMJ59" s="468"/>
      <c r="OMK59" s="468"/>
      <c r="OML59" s="468"/>
      <c r="OMM59" s="468"/>
      <c r="OMN59" s="468"/>
      <c r="OMO59" s="468"/>
      <c r="OMP59" s="468"/>
      <c r="OMQ59" s="468"/>
      <c r="OMR59" s="468"/>
      <c r="OMS59" s="468"/>
      <c r="OMT59" s="468"/>
      <c r="OMU59" s="468"/>
      <c r="OMV59" s="468"/>
      <c r="OMW59" s="468"/>
      <c r="OMX59" s="468"/>
      <c r="OMY59" s="468"/>
      <c r="OMZ59" s="468"/>
      <c r="ONA59" s="468"/>
      <c r="ONB59" s="468"/>
      <c r="ONC59" s="468"/>
      <c r="OND59" s="468"/>
      <c r="ONE59" s="468"/>
      <c r="ONF59" s="468"/>
      <c r="ONG59" s="468"/>
      <c r="ONH59" s="468"/>
      <c r="ONI59" s="468"/>
      <c r="ONJ59" s="468"/>
      <c r="ONK59" s="468"/>
      <c r="ONL59" s="468"/>
      <c r="ONM59" s="468"/>
      <c r="ONN59" s="468"/>
      <c r="ONO59" s="468"/>
      <c r="ONP59" s="468"/>
      <c r="ONQ59" s="468"/>
      <c r="ONR59" s="468"/>
      <c r="ONS59" s="468"/>
      <c r="ONT59" s="468"/>
      <c r="ONU59" s="468"/>
      <c r="ONV59" s="468"/>
      <c r="ONW59" s="468"/>
      <c r="ONX59" s="468"/>
      <c r="ONY59" s="468"/>
      <c r="ONZ59" s="468"/>
      <c r="OOA59" s="468"/>
      <c r="OOB59" s="468"/>
      <c r="OOC59" s="468"/>
      <c r="OOD59" s="468"/>
      <c r="OOE59" s="468"/>
      <c r="OOF59" s="468"/>
      <c r="OOG59" s="468"/>
      <c r="OOH59" s="468"/>
      <c r="OOI59" s="468"/>
      <c r="OOJ59" s="468"/>
      <c r="OOK59" s="468"/>
      <c r="OOL59" s="468"/>
      <c r="OOM59" s="468"/>
      <c r="OON59" s="468"/>
      <c r="OOO59" s="468"/>
      <c r="OOP59" s="468"/>
      <c r="OOQ59" s="468"/>
      <c r="OOR59" s="468"/>
      <c r="OOS59" s="468"/>
      <c r="OOT59" s="468"/>
      <c r="OOU59" s="468"/>
      <c r="OOV59" s="468"/>
      <c r="OOW59" s="468"/>
      <c r="OOX59" s="468"/>
      <c r="OOY59" s="468"/>
      <c r="OOZ59" s="468"/>
      <c r="OPA59" s="468"/>
      <c r="OPB59" s="468"/>
      <c r="OPC59" s="468"/>
      <c r="OPD59" s="468"/>
      <c r="OPE59" s="468"/>
      <c r="OPF59" s="468"/>
      <c r="OPG59" s="468"/>
      <c r="OPH59" s="468"/>
      <c r="OPI59" s="468"/>
      <c r="OPJ59" s="468"/>
      <c r="OPK59" s="468"/>
      <c r="OPL59" s="468"/>
      <c r="OPM59" s="468"/>
      <c r="OPN59" s="468"/>
      <c r="OPO59" s="468"/>
      <c r="OPP59" s="468"/>
      <c r="OPQ59" s="468"/>
      <c r="OPR59" s="468"/>
      <c r="OPS59" s="468"/>
      <c r="OPT59" s="468"/>
      <c r="OPU59" s="468"/>
      <c r="OPV59" s="468"/>
      <c r="OPW59" s="468"/>
      <c r="OPX59" s="468"/>
      <c r="OPY59" s="468"/>
      <c r="OPZ59" s="468"/>
      <c r="OQA59" s="468"/>
      <c r="OQB59" s="468"/>
      <c r="OQC59" s="468"/>
      <c r="OQD59" s="468"/>
      <c r="OQE59" s="468"/>
      <c r="OQF59" s="468"/>
      <c r="OQG59" s="468"/>
      <c r="OQH59" s="468"/>
      <c r="OQI59" s="468"/>
      <c r="OQJ59" s="468"/>
      <c r="OQK59" s="468"/>
      <c r="OQL59" s="468"/>
      <c r="OQM59" s="468"/>
      <c r="OQN59" s="468"/>
      <c r="OQO59" s="468"/>
      <c r="OQP59" s="468"/>
      <c r="OQQ59" s="468"/>
      <c r="OQR59" s="468"/>
      <c r="OQS59" s="468"/>
      <c r="OQT59" s="468"/>
      <c r="OQU59" s="468"/>
      <c r="OQV59" s="468"/>
      <c r="OQW59" s="468"/>
      <c r="OQX59" s="468"/>
      <c r="OQY59" s="468"/>
      <c r="OQZ59" s="468"/>
      <c r="ORA59" s="468"/>
      <c r="ORB59" s="468"/>
      <c r="ORC59" s="468"/>
      <c r="ORD59" s="468"/>
      <c r="ORE59" s="468"/>
      <c r="ORF59" s="468"/>
      <c r="ORG59" s="468"/>
      <c r="ORH59" s="468"/>
      <c r="ORI59" s="468"/>
      <c r="ORJ59" s="468"/>
      <c r="ORK59" s="468"/>
      <c r="ORL59" s="468"/>
      <c r="ORM59" s="468"/>
      <c r="ORN59" s="468"/>
      <c r="ORO59" s="468"/>
      <c r="ORP59" s="468"/>
      <c r="ORQ59" s="468"/>
      <c r="ORR59" s="468"/>
      <c r="ORS59" s="468"/>
      <c r="ORT59" s="468"/>
      <c r="ORU59" s="468"/>
      <c r="ORV59" s="468"/>
      <c r="ORW59" s="468"/>
      <c r="ORX59" s="468"/>
      <c r="ORY59" s="468"/>
      <c r="ORZ59" s="468"/>
      <c r="OSA59" s="468"/>
      <c r="OSB59" s="468"/>
      <c r="OSC59" s="468"/>
      <c r="OSD59" s="468"/>
      <c r="OSE59" s="468"/>
      <c r="OSF59" s="468"/>
      <c r="OSG59" s="468"/>
      <c r="OSH59" s="468"/>
      <c r="OSI59" s="468"/>
      <c r="OSJ59" s="468"/>
      <c r="OSK59" s="468"/>
      <c r="OSL59" s="468"/>
      <c r="OSM59" s="468"/>
      <c r="OSN59" s="468"/>
      <c r="OSO59" s="468"/>
      <c r="OSP59" s="468"/>
      <c r="OSQ59" s="468"/>
      <c r="OSR59" s="468"/>
      <c r="OSS59" s="468"/>
      <c r="OST59" s="468"/>
      <c r="OSU59" s="468"/>
      <c r="OSV59" s="468"/>
      <c r="OSW59" s="468"/>
      <c r="OSX59" s="468"/>
      <c r="OSY59" s="468"/>
      <c r="OSZ59" s="468"/>
      <c r="OTA59" s="468"/>
      <c r="OTB59" s="468"/>
      <c r="OTC59" s="468"/>
      <c r="OTD59" s="468"/>
      <c r="OTE59" s="468"/>
      <c r="OTF59" s="468"/>
      <c r="OTG59" s="468"/>
      <c r="OTH59" s="468"/>
      <c r="OTI59" s="468"/>
      <c r="OTJ59" s="468"/>
      <c r="OTK59" s="468"/>
      <c r="OTL59" s="468"/>
      <c r="OTM59" s="468"/>
      <c r="OTN59" s="468"/>
      <c r="OTO59" s="468"/>
      <c r="OTP59" s="468"/>
      <c r="OTQ59" s="468"/>
      <c r="OTR59" s="468"/>
      <c r="OTS59" s="468"/>
      <c r="OTT59" s="468"/>
      <c r="OTU59" s="468"/>
      <c r="OTV59" s="468"/>
      <c r="OTW59" s="468"/>
      <c r="OTX59" s="468"/>
      <c r="OTY59" s="468"/>
      <c r="OTZ59" s="468"/>
      <c r="OUA59" s="468"/>
      <c r="OUB59" s="468"/>
      <c r="OUC59" s="468"/>
      <c r="OUD59" s="468"/>
      <c r="OUE59" s="468"/>
      <c r="OUF59" s="468"/>
      <c r="OUG59" s="468"/>
      <c r="OUH59" s="468"/>
      <c r="OUI59" s="468"/>
      <c r="OUJ59" s="468"/>
      <c r="OUK59" s="468"/>
      <c r="OUL59" s="468"/>
      <c r="OUM59" s="468"/>
      <c r="OUN59" s="468"/>
      <c r="OUO59" s="468"/>
      <c r="OUP59" s="468"/>
      <c r="OUQ59" s="468"/>
      <c r="OUR59" s="468"/>
      <c r="OUS59" s="468"/>
      <c r="OUT59" s="468"/>
      <c r="OUU59" s="468"/>
      <c r="OUV59" s="468"/>
      <c r="OUW59" s="468"/>
      <c r="OUX59" s="468"/>
      <c r="OUY59" s="468"/>
      <c r="OUZ59" s="468"/>
      <c r="OVA59" s="468"/>
      <c r="OVB59" s="468"/>
      <c r="OVC59" s="468"/>
      <c r="OVD59" s="468"/>
      <c r="OVE59" s="468"/>
      <c r="OVF59" s="468"/>
      <c r="OVG59" s="468"/>
      <c r="OVH59" s="468"/>
      <c r="OVI59" s="468"/>
      <c r="OVJ59" s="468"/>
      <c r="OVK59" s="468"/>
      <c r="OVL59" s="468"/>
      <c r="OVM59" s="468"/>
      <c r="OVN59" s="468"/>
      <c r="OVO59" s="468"/>
      <c r="OVP59" s="468"/>
      <c r="OVQ59" s="468"/>
      <c r="OVR59" s="468"/>
      <c r="OVS59" s="468"/>
      <c r="OVT59" s="468"/>
      <c r="OVU59" s="468"/>
      <c r="OVV59" s="468"/>
      <c r="OVW59" s="468"/>
      <c r="OVX59" s="468"/>
      <c r="OVY59" s="468"/>
      <c r="OVZ59" s="468"/>
      <c r="OWA59" s="468"/>
      <c r="OWB59" s="468"/>
      <c r="OWC59" s="468"/>
      <c r="OWD59" s="468"/>
      <c r="OWE59" s="468"/>
      <c r="OWF59" s="468"/>
      <c r="OWG59" s="468"/>
      <c r="OWH59" s="468"/>
      <c r="OWI59" s="468"/>
      <c r="OWJ59" s="468"/>
      <c r="OWK59" s="468"/>
      <c r="OWL59" s="468"/>
      <c r="OWM59" s="468"/>
      <c r="OWN59" s="468"/>
      <c r="OWO59" s="468"/>
      <c r="OWP59" s="468"/>
      <c r="OWQ59" s="468"/>
      <c r="OWR59" s="468"/>
      <c r="OWS59" s="468"/>
      <c r="OWT59" s="468"/>
      <c r="OWU59" s="468"/>
      <c r="OWV59" s="468"/>
      <c r="OWW59" s="468"/>
      <c r="OWX59" s="468"/>
      <c r="OWY59" s="468"/>
      <c r="OWZ59" s="468"/>
      <c r="OXA59" s="468"/>
      <c r="OXB59" s="468"/>
      <c r="OXC59" s="468"/>
      <c r="OXD59" s="468"/>
      <c r="OXE59" s="468"/>
      <c r="OXF59" s="468"/>
      <c r="OXG59" s="468"/>
      <c r="OXH59" s="468"/>
      <c r="OXI59" s="468"/>
      <c r="OXJ59" s="468"/>
      <c r="OXK59" s="468"/>
      <c r="OXL59" s="468"/>
      <c r="OXM59" s="468"/>
      <c r="OXN59" s="468"/>
      <c r="OXO59" s="468"/>
      <c r="OXP59" s="468"/>
      <c r="OXQ59" s="468"/>
      <c r="OXR59" s="468"/>
      <c r="OXS59" s="468"/>
      <c r="OXT59" s="468"/>
      <c r="OXU59" s="468"/>
      <c r="OXV59" s="468"/>
      <c r="OXW59" s="468"/>
      <c r="OXX59" s="468"/>
      <c r="OXY59" s="468"/>
      <c r="OXZ59" s="468"/>
      <c r="OYA59" s="468"/>
      <c r="OYB59" s="468"/>
      <c r="OYC59" s="468"/>
      <c r="OYD59" s="468"/>
      <c r="OYE59" s="468"/>
      <c r="OYF59" s="468"/>
      <c r="OYG59" s="468"/>
      <c r="OYH59" s="468"/>
      <c r="OYI59" s="468"/>
      <c r="OYJ59" s="468"/>
      <c r="OYK59" s="468"/>
      <c r="OYL59" s="468"/>
      <c r="OYM59" s="468"/>
      <c r="OYN59" s="468"/>
      <c r="OYO59" s="468"/>
      <c r="OYP59" s="468"/>
      <c r="OYQ59" s="468"/>
      <c r="OYR59" s="468"/>
      <c r="OYS59" s="468"/>
      <c r="OYT59" s="468"/>
      <c r="OYU59" s="468"/>
      <c r="OYV59" s="468"/>
      <c r="OYW59" s="468"/>
      <c r="OYX59" s="468"/>
      <c r="OYY59" s="468"/>
      <c r="OYZ59" s="468"/>
      <c r="OZA59" s="468"/>
      <c r="OZB59" s="468"/>
      <c r="OZC59" s="468"/>
      <c r="OZD59" s="468"/>
      <c r="OZE59" s="468"/>
      <c r="OZF59" s="468"/>
      <c r="OZG59" s="468"/>
      <c r="OZH59" s="468"/>
      <c r="OZI59" s="468"/>
      <c r="OZJ59" s="468"/>
      <c r="OZK59" s="468"/>
      <c r="OZL59" s="468"/>
      <c r="OZM59" s="468"/>
      <c r="OZN59" s="468"/>
      <c r="OZO59" s="468"/>
      <c r="OZP59" s="468"/>
      <c r="OZQ59" s="468"/>
      <c r="OZR59" s="468"/>
      <c r="OZS59" s="468"/>
      <c r="OZT59" s="468"/>
      <c r="OZU59" s="468"/>
      <c r="OZV59" s="468"/>
      <c r="OZW59" s="468"/>
      <c r="OZX59" s="468"/>
      <c r="OZY59" s="468"/>
      <c r="OZZ59" s="468"/>
      <c r="PAA59" s="468"/>
      <c r="PAB59" s="468"/>
      <c r="PAC59" s="468"/>
      <c r="PAD59" s="468"/>
      <c r="PAE59" s="468"/>
      <c r="PAF59" s="468"/>
      <c r="PAG59" s="468"/>
      <c r="PAH59" s="468"/>
      <c r="PAI59" s="468"/>
      <c r="PAJ59" s="468"/>
      <c r="PAK59" s="468"/>
      <c r="PAL59" s="468"/>
      <c r="PAM59" s="468"/>
      <c r="PAN59" s="468"/>
      <c r="PAO59" s="468"/>
      <c r="PAP59" s="468"/>
      <c r="PAQ59" s="468"/>
      <c r="PAR59" s="468"/>
      <c r="PAS59" s="468"/>
      <c r="PAT59" s="468"/>
      <c r="PAU59" s="468"/>
      <c r="PAV59" s="468"/>
      <c r="PAW59" s="468"/>
      <c r="PAX59" s="468"/>
      <c r="PAY59" s="468"/>
      <c r="PAZ59" s="468"/>
      <c r="PBA59" s="468"/>
      <c r="PBB59" s="468"/>
      <c r="PBC59" s="468"/>
      <c r="PBD59" s="468"/>
      <c r="PBE59" s="468"/>
      <c r="PBF59" s="468"/>
      <c r="PBG59" s="468"/>
      <c r="PBH59" s="468"/>
      <c r="PBI59" s="468"/>
      <c r="PBJ59" s="468"/>
      <c r="PBK59" s="468"/>
      <c r="PBL59" s="468"/>
      <c r="PBM59" s="468"/>
      <c r="PBN59" s="468"/>
      <c r="PBO59" s="468"/>
      <c r="PBP59" s="468"/>
      <c r="PBQ59" s="468"/>
      <c r="PBR59" s="468"/>
      <c r="PBS59" s="468"/>
      <c r="PBT59" s="468"/>
      <c r="PBU59" s="468"/>
      <c r="PBV59" s="468"/>
      <c r="PBW59" s="468"/>
      <c r="PBX59" s="468"/>
      <c r="PBY59" s="468"/>
      <c r="PBZ59" s="468"/>
      <c r="PCA59" s="468"/>
      <c r="PCB59" s="468"/>
      <c r="PCC59" s="468"/>
      <c r="PCD59" s="468"/>
      <c r="PCE59" s="468"/>
      <c r="PCF59" s="468"/>
      <c r="PCG59" s="468"/>
      <c r="PCH59" s="468"/>
      <c r="PCI59" s="468"/>
      <c r="PCJ59" s="468"/>
      <c r="PCK59" s="468"/>
      <c r="PCL59" s="468"/>
      <c r="PCM59" s="468"/>
      <c r="PCN59" s="468"/>
      <c r="PCO59" s="468"/>
      <c r="PCP59" s="468"/>
      <c r="PCQ59" s="468"/>
      <c r="PCR59" s="468"/>
      <c r="PCS59" s="468"/>
      <c r="PCT59" s="468"/>
      <c r="PCU59" s="468"/>
      <c r="PCV59" s="468"/>
      <c r="PCW59" s="468"/>
      <c r="PCX59" s="468"/>
      <c r="PCY59" s="468"/>
      <c r="PCZ59" s="468"/>
      <c r="PDA59" s="468"/>
      <c r="PDB59" s="468"/>
      <c r="PDC59" s="468"/>
      <c r="PDD59" s="468"/>
      <c r="PDE59" s="468"/>
      <c r="PDF59" s="468"/>
      <c r="PDG59" s="468"/>
      <c r="PDH59" s="468"/>
      <c r="PDI59" s="468"/>
      <c r="PDJ59" s="468"/>
      <c r="PDK59" s="468"/>
      <c r="PDL59" s="468"/>
      <c r="PDM59" s="468"/>
      <c r="PDN59" s="468"/>
      <c r="PDO59" s="468"/>
      <c r="PDP59" s="468"/>
      <c r="PDQ59" s="468"/>
      <c r="PDR59" s="468"/>
      <c r="PDS59" s="468"/>
      <c r="PDT59" s="468"/>
      <c r="PDU59" s="468"/>
      <c r="PDV59" s="468"/>
      <c r="PDW59" s="468"/>
      <c r="PDX59" s="468"/>
      <c r="PDY59" s="468"/>
      <c r="PDZ59" s="468"/>
      <c r="PEA59" s="468"/>
      <c r="PEB59" s="468"/>
      <c r="PEC59" s="468"/>
      <c r="PED59" s="468"/>
      <c r="PEE59" s="468"/>
      <c r="PEF59" s="468"/>
      <c r="PEG59" s="468"/>
      <c r="PEH59" s="468"/>
      <c r="PEI59" s="468"/>
      <c r="PEJ59" s="468"/>
      <c r="PEK59" s="468"/>
      <c r="PEL59" s="468"/>
      <c r="PEM59" s="468"/>
      <c r="PEN59" s="468"/>
      <c r="PEO59" s="468"/>
      <c r="PEP59" s="468"/>
      <c r="PEQ59" s="468"/>
      <c r="PER59" s="468"/>
      <c r="PES59" s="468"/>
      <c r="PET59" s="468"/>
      <c r="PEU59" s="468"/>
      <c r="PEV59" s="468"/>
      <c r="PEW59" s="468"/>
      <c r="PEX59" s="468"/>
      <c r="PEY59" s="468"/>
      <c r="PEZ59" s="468"/>
      <c r="PFA59" s="468"/>
      <c r="PFB59" s="468"/>
      <c r="PFC59" s="468"/>
      <c r="PFD59" s="468"/>
      <c r="PFE59" s="468"/>
      <c r="PFF59" s="468"/>
      <c r="PFG59" s="468"/>
      <c r="PFH59" s="468"/>
      <c r="PFI59" s="468"/>
      <c r="PFJ59" s="468"/>
      <c r="PFK59" s="468"/>
      <c r="PFL59" s="468"/>
      <c r="PFM59" s="468"/>
      <c r="PFN59" s="468"/>
      <c r="PFO59" s="468"/>
      <c r="PFP59" s="468"/>
      <c r="PFQ59" s="468"/>
      <c r="PFR59" s="468"/>
      <c r="PFS59" s="468"/>
      <c r="PFT59" s="468"/>
      <c r="PFU59" s="468"/>
      <c r="PFV59" s="468"/>
      <c r="PFW59" s="468"/>
      <c r="PFX59" s="468"/>
      <c r="PFY59" s="468"/>
      <c r="PFZ59" s="468"/>
      <c r="PGA59" s="468"/>
      <c r="PGB59" s="468"/>
      <c r="PGC59" s="468"/>
      <c r="PGD59" s="468"/>
      <c r="PGE59" s="468"/>
      <c r="PGF59" s="468"/>
      <c r="PGG59" s="468"/>
      <c r="PGH59" s="468"/>
      <c r="PGI59" s="468"/>
      <c r="PGJ59" s="468"/>
      <c r="PGK59" s="468"/>
      <c r="PGL59" s="468"/>
      <c r="PGM59" s="468"/>
      <c r="PGN59" s="468"/>
      <c r="PGO59" s="468"/>
      <c r="PGP59" s="468"/>
      <c r="PGQ59" s="468"/>
      <c r="PGR59" s="468"/>
      <c r="PGS59" s="468"/>
      <c r="PGT59" s="468"/>
      <c r="PGU59" s="468"/>
      <c r="PGV59" s="468"/>
      <c r="PGW59" s="468"/>
      <c r="PGX59" s="468"/>
      <c r="PGY59" s="468"/>
      <c r="PGZ59" s="468"/>
      <c r="PHA59" s="468"/>
      <c r="PHB59" s="468"/>
      <c r="PHC59" s="468"/>
      <c r="PHD59" s="468"/>
      <c r="PHE59" s="468"/>
      <c r="PHF59" s="468"/>
      <c r="PHG59" s="468"/>
      <c r="PHH59" s="468"/>
      <c r="PHI59" s="468"/>
      <c r="PHJ59" s="468"/>
      <c r="PHK59" s="468"/>
      <c r="PHL59" s="468"/>
      <c r="PHM59" s="468"/>
      <c r="PHN59" s="468"/>
      <c r="PHO59" s="468"/>
      <c r="PHP59" s="468"/>
      <c r="PHQ59" s="468"/>
      <c r="PHR59" s="468"/>
      <c r="PHS59" s="468"/>
      <c r="PHT59" s="468"/>
      <c r="PHU59" s="468"/>
      <c r="PHV59" s="468"/>
      <c r="PHW59" s="468"/>
      <c r="PHX59" s="468"/>
      <c r="PHY59" s="468"/>
      <c r="PHZ59" s="468"/>
      <c r="PIA59" s="468"/>
      <c r="PIB59" s="468"/>
      <c r="PIC59" s="468"/>
      <c r="PID59" s="468"/>
      <c r="PIE59" s="468"/>
      <c r="PIF59" s="468"/>
      <c r="PIG59" s="468"/>
      <c r="PIH59" s="468"/>
      <c r="PII59" s="468"/>
      <c r="PIJ59" s="468"/>
      <c r="PIK59" s="468"/>
      <c r="PIL59" s="468"/>
      <c r="PIM59" s="468"/>
      <c r="PIN59" s="468"/>
      <c r="PIO59" s="468"/>
      <c r="PIP59" s="468"/>
      <c r="PIQ59" s="468"/>
      <c r="PIR59" s="468"/>
      <c r="PIS59" s="468"/>
      <c r="PIT59" s="468"/>
      <c r="PIU59" s="468"/>
      <c r="PIV59" s="468"/>
      <c r="PIW59" s="468"/>
      <c r="PIX59" s="468"/>
      <c r="PIY59" s="468"/>
      <c r="PIZ59" s="468"/>
      <c r="PJA59" s="468"/>
      <c r="PJB59" s="468"/>
      <c r="PJC59" s="468"/>
      <c r="PJD59" s="468"/>
      <c r="PJE59" s="468"/>
      <c r="PJF59" s="468"/>
      <c r="PJG59" s="468"/>
      <c r="PJH59" s="468"/>
      <c r="PJI59" s="468"/>
      <c r="PJJ59" s="468"/>
      <c r="PJK59" s="468"/>
      <c r="PJL59" s="468"/>
      <c r="PJM59" s="468"/>
      <c r="PJN59" s="468"/>
      <c r="PJO59" s="468"/>
      <c r="PJP59" s="468"/>
      <c r="PJQ59" s="468"/>
      <c r="PJR59" s="468"/>
      <c r="PJS59" s="468"/>
      <c r="PJT59" s="468"/>
      <c r="PJU59" s="468"/>
      <c r="PJV59" s="468"/>
      <c r="PJW59" s="468"/>
      <c r="PJX59" s="468"/>
      <c r="PJY59" s="468"/>
      <c r="PJZ59" s="468"/>
      <c r="PKA59" s="468"/>
      <c r="PKB59" s="468"/>
      <c r="PKC59" s="468"/>
      <c r="PKD59" s="468"/>
      <c r="PKE59" s="468"/>
      <c r="PKF59" s="468"/>
      <c r="PKG59" s="468"/>
      <c r="PKH59" s="468"/>
      <c r="PKI59" s="468"/>
      <c r="PKJ59" s="468"/>
      <c r="PKK59" s="468"/>
      <c r="PKL59" s="468"/>
      <c r="PKM59" s="468"/>
      <c r="PKN59" s="468"/>
      <c r="PKO59" s="468"/>
      <c r="PKP59" s="468"/>
      <c r="PKQ59" s="468"/>
      <c r="PKR59" s="468"/>
      <c r="PKS59" s="468"/>
      <c r="PKT59" s="468"/>
      <c r="PKU59" s="468"/>
      <c r="PKV59" s="468"/>
      <c r="PKW59" s="468"/>
      <c r="PKX59" s="468"/>
      <c r="PKY59" s="468"/>
      <c r="PKZ59" s="468"/>
      <c r="PLA59" s="468"/>
      <c r="PLB59" s="468"/>
      <c r="PLC59" s="468"/>
      <c r="PLD59" s="468"/>
      <c r="PLE59" s="468"/>
      <c r="PLF59" s="468"/>
      <c r="PLG59" s="468"/>
      <c r="PLH59" s="468"/>
      <c r="PLI59" s="468"/>
      <c r="PLJ59" s="468"/>
      <c r="PLK59" s="468"/>
      <c r="PLL59" s="468"/>
      <c r="PLM59" s="468"/>
      <c r="PLN59" s="468"/>
      <c r="PLO59" s="468"/>
      <c r="PLP59" s="468"/>
      <c r="PLQ59" s="468"/>
      <c r="PLR59" s="468"/>
      <c r="PLS59" s="468"/>
      <c r="PLT59" s="468"/>
      <c r="PLU59" s="468"/>
      <c r="PLV59" s="468"/>
      <c r="PLW59" s="468"/>
      <c r="PLX59" s="468"/>
      <c r="PLY59" s="468"/>
      <c r="PLZ59" s="468"/>
      <c r="PMA59" s="468"/>
      <c r="PMB59" s="468"/>
      <c r="PMC59" s="468"/>
      <c r="PMD59" s="468"/>
      <c r="PME59" s="468"/>
      <c r="PMF59" s="468"/>
      <c r="PMG59" s="468"/>
      <c r="PMH59" s="468"/>
      <c r="PMI59" s="468"/>
      <c r="PMJ59" s="468"/>
      <c r="PMK59" s="468"/>
      <c r="PML59" s="468"/>
      <c r="PMM59" s="468"/>
      <c r="PMN59" s="468"/>
      <c r="PMO59" s="468"/>
      <c r="PMP59" s="468"/>
      <c r="PMQ59" s="468"/>
      <c r="PMR59" s="468"/>
      <c r="PMS59" s="468"/>
      <c r="PMT59" s="468"/>
      <c r="PMU59" s="468"/>
      <c r="PMV59" s="468"/>
      <c r="PMW59" s="468"/>
      <c r="PMX59" s="468"/>
      <c r="PMY59" s="468"/>
      <c r="PMZ59" s="468"/>
      <c r="PNA59" s="468"/>
      <c r="PNB59" s="468"/>
      <c r="PNC59" s="468"/>
      <c r="PND59" s="468"/>
      <c r="PNE59" s="468"/>
      <c r="PNF59" s="468"/>
      <c r="PNG59" s="468"/>
      <c r="PNH59" s="468"/>
      <c r="PNI59" s="468"/>
      <c r="PNJ59" s="468"/>
      <c r="PNK59" s="468"/>
      <c r="PNL59" s="468"/>
      <c r="PNM59" s="468"/>
      <c r="PNN59" s="468"/>
      <c r="PNO59" s="468"/>
      <c r="PNP59" s="468"/>
      <c r="PNQ59" s="468"/>
      <c r="PNR59" s="468"/>
      <c r="PNS59" s="468"/>
      <c r="PNT59" s="468"/>
      <c r="PNU59" s="468"/>
      <c r="PNV59" s="468"/>
      <c r="PNW59" s="468"/>
      <c r="PNX59" s="468"/>
      <c r="PNY59" s="468"/>
      <c r="PNZ59" s="468"/>
      <c r="POA59" s="468"/>
      <c r="POB59" s="468"/>
      <c r="POC59" s="468"/>
      <c r="POD59" s="468"/>
      <c r="POE59" s="468"/>
      <c r="POF59" s="468"/>
      <c r="POG59" s="468"/>
      <c r="POH59" s="468"/>
      <c r="POI59" s="468"/>
      <c r="POJ59" s="468"/>
      <c r="POK59" s="468"/>
      <c r="POL59" s="468"/>
      <c r="POM59" s="468"/>
      <c r="PON59" s="468"/>
      <c r="POO59" s="468"/>
      <c r="POP59" s="468"/>
      <c r="POQ59" s="468"/>
      <c r="POR59" s="468"/>
      <c r="POS59" s="468"/>
      <c r="POT59" s="468"/>
      <c r="POU59" s="468"/>
      <c r="POV59" s="468"/>
      <c r="POW59" s="468"/>
      <c r="POX59" s="468"/>
      <c r="POY59" s="468"/>
      <c r="POZ59" s="468"/>
      <c r="PPA59" s="468"/>
      <c r="PPB59" s="468"/>
      <c r="PPC59" s="468"/>
      <c r="PPD59" s="468"/>
      <c r="PPE59" s="468"/>
      <c r="PPF59" s="468"/>
      <c r="PPG59" s="468"/>
      <c r="PPH59" s="468"/>
      <c r="PPI59" s="468"/>
      <c r="PPJ59" s="468"/>
      <c r="PPK59" s="468"/>
      <c r="PPL59" s="468"/>
      <c r="PPM59" s="468"/>
      <c r="PPN59" s="468"/>
      <c r="PPO59" s="468"/>
      <c r="PPP59" s="468"/>
      <c r="PPQ59" s="468"/>
      <c r="PPR59" s="468"/>
      <c r="PPS59" s="468"/>
      <c r="PPT59" s="468"/>
      <c r="PPU59" s="468"/>
      <c r="PPV59" s="468"/>
      <c r="PPW59" s="468"/>
      <c r="PPX59" s="468"/>
      <c r="PPY59" s="468"/>
      <c r="PPZ59" s="468"/>
      <c r="PQA59" s="468"/>
      <c r="PQB59" s="468"/>
      <c r="PQC59" s="468"/>
      <c r="PQD59" s="468"/>
      <c r="PQE59" s="468"/>
      <c r="PQF59" s="468"/>
      <c r="PQG59" s="468"/>
      <c r="PQH59" s="468"/>
      <c r="PQI59" s="468"/>
      <c r="PQJ59" s="468"/>
      <c r="PQK59" s="468"/>
      <c r="PQL59" s="468"/>
      <c r="PQM59" s="468"/>
      <c r="PQN59" s="468"/>
      <c r="PQO59" s="468"/>
      <c r="PQP59" s="468"/>
      <c r="PQQ59" s="468"/>
      <c r="PQR59" s="468"/>
      <c r="PQS59" s="468"/>
      <c r="PQT59" s="468"/>
      <c r="PQU59" s="468"/>
      <c r="PQV59" s="468"/>
      <c r="PQW59" s="468"/>
      <c r="PQX59" s="468"/>
      <c r="PQY59" s="468"/>
      <c r="PQZ59" s="468"/>
      <c r="PRA59" s="468"/>
      <c r="PRB59" s="468"/>
      <c r="PRC59" s="468"/>
      <c r="PRD59" s="468"/>
      <c r="PRE59" s="468"/>
      <c r="PRF59" s="468"/>
      <c r="PRG59" s="468"/>
      <c r="PRH59" s="468"/>
      <c r="PRI59" s="468"/>
      <c r="PRJ59" s="468"/>
      <c r="PRK59" s="468"/>
      <c r="PRL59" s="468"/>
      <c r="PRM59" s="468"/>
      <c r="PRN59" s="468"/>
      <c r="PRO59" s="468"/>
      <c r="PRP59" s="468"/>
      <c r="PRQ59" s="468"/>
      <c r="PRR59" s="468"/>
      <c r="PRS59" s="468"/>
      <c r="PRT59" s="468"/>
      <c r="PRU59" s="468"/>
      <c r="PRV59" s="468"/>
      <c r="PRW59" s="468"/>
      <c r="PRX59" s="468"/>
      <c r="PRY59" s="468"/>
      <c r="PRZ59" s="468"/>
      <c r="PSA59" s="468"/>
      <c r="PSB59" s="468"/>
      <c r="PSC59" s="468"/>
      <c r="PSD59" s="468"/>
      <c r="PSE59" s="468"/>
      <c r="PSF59" s="468"/>
      <c r="PSG59" s="468"/>
      <c r="PSH59" s="468"/>
      <c r="PSI59" s="468"/>
      <c r="PSJ59" s="468"/>
      <c r="PSK59" s="468"/>
      <c r="PSL59" s="468"/>
      <c r="PSM59" s="468"/>
      <c r="PSN59" s="468"/>
      <c r="PSO59" s="468"/>
      <c r="PSP59" s="468"/>
      <c r="PSQ59" s="468"/>
      <c r="PSR59" s="468"/>
      <c r="PSS59" s="468"/>
      <c r="PST59" s="468"/>
      <c r="PSU59" s="468"/>
      <c r="PSV59" s="468"/>
      <c r="PSW59" s="468"/>
      <c r="PSX59" s="468"/>
      <c r="PSY59" s="468"/>
      <c r="PSZ59" s="468"/>
      <c r="PTA59" s="468"/>
      <c r="PTB59" s="468"/>
      <c r="PTC59" s="468"/>
      <c r="PTD59" s="468"/>
      <c r="PTE59" s="468"/>
      <c r="PTF59" s="468"/>
      <c r="PTG59" s="468"/>
      <c r="PTH59" s="468"/>
      <c r="PTI59" s="468"/>
      <c r="PTJ59" s="468"/>
      <c r="PTK59" s="468"/>
      <c r="PTL59" s="468"/>
      <c r="PTM59" s="468"/>
      <c r="PTN59" s="468"/>
      <c r="PTO59" s="468"/>
      <c r="PTP59" s="468"/>
      <c r="PTQ59" s="468"/>
      <c r="PTR59" s="468"/>
      <c r="PTS59" s="468"/>
      <c r="PTT59" s="468"/>
      <c r="PTU59" s="468"/>
      <c r="PTV59" s="468"/>
      <c r="PTW59" s="468"/>
      <c r="PTX59" s="468"/>
      <c r="PTY59" s="468"/>
      <c r="PTZ59" s="468"/>
      <c r="PUA59" s="468"/>
      <c r="PUB59" s="468"/>
      <c r="PUC59" s="468"/>
      <c r="PUD59" s="468"/>
      <c r="PUE59" s="468"/>
      <c r="PUF59" s="468"/>
      <c r="PUG59" s="468"/>
      <c r="PUH59" s="468"/>
      <c r="PUI59" s="468"/>
      <c r="PUJ59" s="468"/>
      <c r="PUK59" s="468"/>
      <c r="PUL59" s="468"/>
      <c r="PUM59" s="468"/>
      <c r="PUN59" s="468"/>
      <c r="PUO59" s="468"/>
      <c r="PUP59" s="468"/>
      <c r="PUQ59" s="468"/>
      <c r="PUR59" s="468"/>
      <c r="PUS59" s="468"/>
      <c r="PUT59" s="468"/>
      <c r="PUU59" s="468"/>
      <c r="PUV59" s="468"/>
      <c r="PUW59" s="468"/>
      <c r="PUX59" s="468"/>
      <c r="PUY59" s="468"/>
      <c r="PUZ59" s="468"/>
      <c r="PVA59" s="468"/>
      <c r="PVB59" s="468"/>
      <c r="PVC59" s="468"/>
      <c r="PVD59" s="468"/>
      <c r="PVE59" s="468"/>
      <c r="PVF59" s="468"/>
      <c r="PVG59" s="468"/>
      <c r="PVH59" s="468"/>
      <c r="PVI59" s="468"/>
      <c r="PVJ59" s="468"/>
      <c r="PVK59" s="468"/>
      <c r="PVL59" s="468"/>
      <c r="PVM59" s="468"/>
      <c r="PVN59" s="468"/>
      <c r="PVO59" s="468"/>
      <c r="PVP59" s="468"/>
      <c r="PVQ59" s="468"/>
      <c r="PVR59" s="468"/>
      <c r="PVS59" s="468"/>
      <c r="PVT59" s="468"/>
      <c r="PVU59" s="468"/>
      <c r="PVV59" s="468"/>
      <c r="PVW59" s="468"/>
      <c r="PVX59" s="468"/>
      <c r="PVY59" s="468"/>
      <c r="PVZ59" s="468"/>
      <c r="PWA59" s="468"/>
      <c r="PWB59" s="468"/>
      <c r="PWC59" s="468"/>
      <c r="PWD59" s="468"/>
      <c r="PWE59" s="468"/>
      <c r="PWF59" s="468"/>
      <c r="PWG59" s="468"/>
      <c r="PWH59" s="468"/>
      <c r="PWI59" s="468"/>
      <c r="PWJ59" s="468"/>
      <c r="PWK59" s="468"/>
      <c r="PWL59" s="468"/>
      <c r="PWM59" s="468"/>
      <c r="PWN59" s="468"/>
      <c r="PWO59" s="468"/>
      <c r="PWP59" s="468"/>
      <c r="PWQ59" s="468"/>
      <c r="PWR59" s="468"/>
      <c r="PWS59" s="468"/>
      <c r="PWT59" s="468"/>
      <c r="PWU59" s="468"/>
      <c r="PWV59" s="468"/>
      <c r="PWW59" s="468"/>
      <c r="PWX59" s="468"/>
      <c r="PWY59" s="468"/>
      <c r="PWZ59" s="468"/>
      <c r="PXA59" s="468"/>
      <c r="PXB59" s="468"/>
      <c r="PXC59" s="468"/>
      <c r="PXD59" s="468"/>
      <c r="PXE59" s="468"/>
      <c r="PXF59" s="468"/>
      <c r="PXG59" s="468"/>
      <c r="PXH59" s="468"/>
      <c r="PXI59" s="468"/>
      <c r="PXJ59" s="468"/>
      <c r="PXK59" s="468"/>
      <c r="PXL59" s="468"/>
      <c r="PXM59" s="468"/>
      <c r="PXN59" s="468"/>
      <c r="PXO59" s="468"/>
      <c r="PXP59" s="468"/>
      <c r="PXQ59" s="468"/>
      <c r="PXR59" s="468"/>
      <c r="PXS59" s="468"/>
      <c r="PXT59" s="468"/>
      <c r="PXU59" s="468"/>
      <c r="PXV59" s="468"/>
      <c r="PXW59" s="468"/>
      <c r="PXX59" s="468"/>
      <c r="PXY59" s="468"/>
      <c r="PXZ59" s="468"/>
      <c r="PYA59" s="468"/>
      <c r="PYB59" s="468"/>
      <c r="PYC59" s="468"/>
      <c r="PYD59" s="468"/>
      <c r="PYE59" s="468"/>
      <c r="PYF59" s="468"/>
      <c r="PYG59" s="468"/>
      <c r="PYH59" s="468"/>
      <c r="PYI59" s="468"/>
      <c r="PYJ59" s="468"/>
      <c r="PYK59" s="468"/>
      <c r="PYL59" s="468"/>
      <c r="PYM59" s="468"/>
      <c r="PYN59" s="468"/>
      <c r="PYO59" s="468"/>
      <c r="PYP59" s="468"/>
      <c r="PYQ59" s="468"/>
      <c r="PYR59" s="468"/>
      <c r="PYS59" s="468"/>
      <c r="PYT59" s="468"/>
      <c r="PYU59" s="468"/>
      <c r="PYV59" s="468"/>
      <c r="PYW59" s="468"/>
      <c r="PYX59" s="468"/>
      <c r="PYY59" s="468"/>
      <c r="PYZ59" s="468"/>
      <c r="PZA59" s="468"/>
      <c r="PZB59" s="468"/>
      <c r="PZC59" s="468"/>
      <c r="PZD59" s="468"/>
      <c r="PZE59" s="468"/>
      <c r="PZF59" s="468"/>
      <c r="PZG59" s="468"/>
      <c r="PZH59" s="468"/>
      <c r="PZI59" s="468"/>
      <c r="PZJ59" s="468"/>
      <c r="PZK59" s="468"/>
      <c r="PZL59" s="468"/>
      <c r="PZM59" s="468"/>
      <c r="PZN59" s="468"/>
      <c r="PZO59" s="468"/>
      <c r="PZP59" s="468"/>
      <c r="PZQ59" s="468"/>
      <c r="PZR59" s="468"/>
      <c r="PZS59" s="468"/>
      <c r="PZT59" s="468"/>
      <c r="PZU59" s="468"/>
      <c r="PZV59" s="468"/>
      <c r="PZW59" s="468"/>
      <c r="PZX59" s="468"/>
      <c r="PZY59" s="468"/>
      <c r="PZZ59" s="468"/>
      <c r="QAA59" s="468"/>
      <c r="QAB59" s="468"/>
      <c r="QAC59" s="468"/>
      <c r="QAD59" s="468"/>
      <c r="QAE59" s="468"/>
      <c r="QAF59" s="468"/>
      <c r="QAG59" s="468"/>
      <c r="QAH59" s="468"/>
      <c r="QAI59" s="468"/>
      <c r="QAJ59" s="468"/>
      <c r="QAK59" s="468"/>
      <c r="QAL59" s="468"/>
      <c r="QAM59" s="468"/>
      <c r="QAN59" s="468"/>
      <c r="QAO59" s="468"/>
      <c r="QAP59" s="468"/>
      <c r="QAQ59" s="468"/>
      <c r="QAR59" s="468"/>
      <c r="QAS59" s="468"/>
      <c r="QAT59" s="468"/>
      <c r="QAU59" s="468"/>
      <c r="QAV59" s="468"/>
      <c r="QAW59" s="468"/>
      <c r="QAX59" s="468"/>
      <c r="QAY59" s="468"/>
      <c r="QAZ59" s="468"/>
      <c r="QBA59" s="468"/>
      <c r="QBB59" s="468"/>
      <c r="QBC59" s="468"/>
      <c r="QBD59" s="468"/>
      <c r="QBE59" s="468"/>
      <c r="QBF59" s="468"/>
      <c r="QBG59" s="468"/>
      <c r="QBH59" s="468"/>
      <c r="QBI59" s="468"/>
      <c r="QBJ59" s="468"/>
      <c r="QBK59" s="468"/>
      <c r="QBL59" s="468"/>
      <c r="QBM59" s="468"/>
      <c r="QBN59" s="468"/>
      <c r="QBO59" s="468"/>
      <c r="QBP59" s="468"/>
      <c r="QBQ59" s="468"/>
      <c r="QBR59" s="468"/>
      <c r="QBS59" s="468"/>
      <c r="QBT59" s="468"/>
      <c r="QBU59" s="468"/>
      <c r="QBV59" s="468"/>
      <c r="QBW59" s="468"/>
      <c r="QBX59" s="468"/>
      <c r="QBY59" s="468"/>
      <c r="QBZ59" s="468"/>
      <c r="QCA59" s="468"/>
      <c r="QCB59" s="468"/>
      <c r="QCC59" s="468"/>
      <c r="QCD59" s="468"/>
      <c r="QCE59" s="468"/>
      <c r="QCF59" s="468"/>
      <c r="QCG59" s="468"/>
      <c r="QCH59" s="468"/>
      <c r="QCI59" s="468"/>
      <c r="QCJ59" s="468"/>
      <c r="QCK59" s="468"/>
      <c r="QCL59" s="468"/>
      <c r="QCM59" s="468"/>
      <c r="QCN59" s="468"/>
      <c r="QCO59" s="468"/>
      <c r="QCP59" s="468"/>
      <c r="QCQ59" s="468"/>
      <c r="QCR59" s="468"/>
      <c r="QCS59" s="468"/>
      <c r="QCT59" s="468"/>
      <c r="QCU59" s="468"/>
      <c r="QCV59" s="468"/>
      <c r="QCW59" s="468"/>
      <c r="QCX59" s="468"/>
      <c r="QCY59" s="468"/>
      <c r="QCZ59" s="468"/>
      <c r="QDA59" s="468"/>
      <c r="QDB59" s="468"/>
      <c r="QDC59" s="468"/>
      <c r="QDD59" s="468"/>
      <c r="QDE59" s="468"/>
      <c r="QDF59" s="468"/>
      <c r="QDG59" s="468"/>
      <c r="QDH59" s="468"/>
      <c r="QDI59" s="468"/>
      <c r="QDJ59" s="468"/>
      <c r="QDK59" s="468"/>
      <c r="QDL59" s="468"/>
      <c r="QDM59" s="468"/>
      <c r="QDN59" s="468"/>
      <c r="QDO59" s="468"/>
      <c r="QDP59" s="468"/>
      <c r="QDQ59" s="468"/>
      <c r="QDR59" s="468"/>
      <c r="QDS59" s="468"/>
      <c r="QDT59" s="468"/>
      <c r="QDU59" s="468"/>
      <c r="QDV59" s="468"/>
      <c r="QDW59" s="468"/>
      <c r="QDX59" s="468"/>
      <c r="QDY59" s="468"/>
      <c r="QDZ59" s="468"/>
      <c r="QEA59" s="468"/>
      <c r="QEB59" s="468"/>
      <c r="QEC59" s="468"/>
      <c r="QED59" s="468"/>
      <c r="QEE59" s="468"/>
      <c r="QEF59" s="468"/>
      <c r="QEG59" s="468"/>
      <c r="QEH59" s="468"/>
      <c r="QEI59" s="468"/>
      <c r="QEJ59" s="468"/>
      <c r="QEK59" s="468"/>
      <c r="QEL59" s="468"/>
      <c r="QEM59" s="468"/>
      <c r="QEN59" s="468"/>
      <c r="QEO59" s="468"/>
      <c r="QEP59" s="468"/>
      <c r="QEQ59" s="468"/>
      <c r="QER59" s="468"/>
      <c r="QES59" s="468"/>
      <c r="QET59" s="468"/>
      <c r="QEU59" s="468"/>
      <c r="QEV59" s="468"/>
      <c r="QEW59" s="468"/>
      <c r="QEX59" s="468"/>
      <c r="QEY59" s="468"/>
      <c r="QEZ59" s="468"/>
      <c r="QFA59" s="468"/>
      <c r="QFB59" s="468"/>
      <c r="QFC59" s="468"/>
      <c r="QFD59" s="468"/>
      <c r="QFE59" s="468"/>
      <c r="QFF59" s="468"/>
      <c r="QFG59" s="468"/>
      <c r="QFH59" s="468"/>
      <c r="QFI59" s="468"/>
      <c r="QFJ59" s="468"/>
      <c r="QFK59" s="468"/>
      <c r="QFL59" s="468"/>
      <c r="QFM59" s="468"/>
      <c r="QFN59" s="468"/>
      <c r="QFO59" s="468"/>
      <c r="QFP59" s="468"/>
      <c r="QFQ59" s="468"/>
      <c r="QFR59" s="468"/>
      <c r="QFS59" s="468"/>
      <c r="QFT59" s="468"/>
      <c r="QFU59" s="468"/>
      <c r="QFV59" s="468"/>
      <c r="QFW59" s="468"/>
      <c r="QFX59" s="468"/>
      <c r="QFY59" s="468"/>
      <c r="QFZ59" s="468"/>
      <c r="QGA59" s="468"/>
      <c r="QGB59" s="468"/>
      <c r="QGC59" s="468"/>
      <c r="QGD59" s="468"/>
      <c r="QGE59" s="468"/>
      <c r="QGF59" s="468"/>
      <c r="QGG59" s="468"/>
      <c r="QGH59" s="468"/>
      <c r="QGI59" s="468"/>
      <c r="QGJ59" s="468"/>
      <c r="QGK59" s="468"/>
      <c r="QGL59" s="468"/>
      <c r="QGM59" s="468"/>
      <c r="QGN59" s="468"/>
      <c r="QGO59" s="468"/>
      <c r="QGP59" s="468"/>
      <c r="QGQ59" s="468"/>
      <c r="QGR59" s="468"/>
      <c r="QGS59" s="468"/>
      <c r="QGT59" s="468"/>
      <c r="QGU59" s="468"/>
      <c r="QGV59" s="468"/>
      <c r="QGW59" s="468"/>
      <c r="QGX59" s="468"/>
      <c r="QGY59" s="468"/>
      <c r="QGZ59" s="468"/>
      <c r="QHA59" s="468"/>
      <c r="QHB59" s="468"/>
      <c r="QHC59" s="468"/>
      <c r="QHD59" s="468"/>
      <c r="QHE59" s="468"/>
      <c r="QHF59" s="468"/>
      <c r="QHG59" s="468"/>
      <c r="QHH59" s="468"/>
      <c r="QHI59" s="468"/>
      <c r="QHJ59" s="468"/>
      <c r="QHK59" s="468"/>
      <c r="QHL59" s="468"/>
      <c r="QHM59" s="468"/>
      <c r="QHN59" s="468"/>
      <c r="QHO59" s="468"/>
      <c r="QHP59" s="468"/>
      <c r="QHQ59" s="468"/>
      <c r="QHR59" s="468"/>
      <c r="QHS59" s="468"/>
      <c r="QHT59" s="468"/>
      <c r="QHU59" s="468"/>
      <c r="QHV59" s="468"/>
      <c r="QHW59" s="468"/>
      <c r="QHX59" s="468"/>
      <c r="QHY59" s="468"/>
      <c r="QHZ59" s="468"/>
      <c r="QIA59" s="468"/>
      <c r="QIB59" s="468"/>
      <c r="QIC59" s="468"/>
      <c r="QID59" s="468"/>
      <c r="QIE59" s="468"/>
      <c r="QIF59" s="468"/>
      <c r="QIG59" s="468"/>
      <c r="QIH59" s="468"/>
      <c r="QII59" s="468"/>
      <c r="QIJ59" s="468"/>
      <c r="QIK59" s="468"/>
      <c r="QIL59" s="468"/>
      <c r="QIM59" s="468"/>
      <c r="QIN59" s="468"/>
      <c r="QIO59" s="468"/>
      <c r="QIP59" s="468"/>
      <c r="QIQ59" s="468"/>
      <c r="QIR59" s="468"/>
      <c r="QIS59" s="468"/>
      <c r="QIT59" s="468"/>
      <c r="QIU59" s="468"/>
      <c r="QIV59" s="468"/>
      <c r="QIW59" s="468"/>
      <c r="QIX59" s="468"/>
      <c r="QIY59" s="468"/>
      <c r="QIZ59" s="468"/>
      <c r="QJA59" s="468"/>
      <c r="QJB59" s="468"/>
      <c r="QJC59" s="468"/>
      <c r="QJD59" s="468"/>
      <c r="QJE59" s="468"/>
      <c r="QJF59" s="468"/>
      <c r="QJG59" s="468"/>
      <c r="QJH59" s="468"/>
      <c r="QJI59" s="468"/>
      <c r="QJJ59" s="468"/>
      <c r="QJK59" s="468"/>
      <c r="QJL59" s="468"/>
      <c r="QJM59" s="468"/>
      <c r="QJN59" s="468"/>
      <c r="QJO59" s="468"/>
      <c r="QJP59" s="468"/>
      <c r="QJQ59" s="468"/>
      <c r="QJR59" s="468"/>
      <c r="QJS59" s="468"/>
      <c r="QJT59" s="468"/>
      <c r="QJU59" s="468"/>
      <c r="QJV59" s="468"/>
      <c r="QJW59" s="468"/>
      <c r="QJX59" s="468"/>
      <c r="QJY59" s="468"/>
      <c r="QJZ59" s="468"/>
      <c r="QKA59" s="468"/>
      <c r="QKB59" s="468"/>
      <c r="QKC59" s="468"/>
      <c r="QKD59" s="468"/>
      <c r="QKE59" s="468"/>
      <c r="QKF59" s="468"/>
      <c r="QKG59" s="468"/>
      <c r="QKH59" s="468"/>
      <c r="QKI59" s="468"/>
      <c r="QKJ59" s="468"/>
      <c r="QKK59" s="468"/>
      <c r="QKL59" s="468"/>
      <c r="QKM59" s="468"/>
      <c r="QKN59" s="468"/>
      <c r="QKO59" s="468"/>
      <c r="QKP59" s="468"/>
      <c r="QKQ59" s="468"/>
      <c r="QKR59" s="468"/>
      <c r="QKS59" s="468"/>
      <c r="QKT59" s="468"/>
      <c r="QKU59" s="468"/>
      <c r="QKV59" s="468"/>
      <c r="QKW59" s="468"/>
      <c r="QKX59" s="468"/>
      <c r="QKY59" s="468"/>
      <c r="QKZ59" s="468"/>
      <c r="QLA59" s="468"/>
      <c r="QLB59" s="468"/>
      <c r="QLC59" s="468"/>
      <c r="QLD59" s="468"/>
      <c r="QLE59" s="468"/>
      <c r="QLF59" s="468"/>
      <c r="QLG59" s="468"/>
      <c r="QLH59" s="468"/>
      <c r="QLI59" s="468"/>
      <c r="QLJ59" s="468"/>
      <c r="QLK59" s="468"/>
      <c r="QLL59" s="468"/>
      <c r="QLM59" s="468"/>
      <c r="QLN59" s="468"/>
      <c r="QLO59" s="468"/>
      <c r="QLP59" s="468"/>
      <c r="QLQ59" s="468"/>
      <c r="QLR59" s="468"/>
      <c r="QLS59" s="468"/>
      <c r="QLT59" s="468"/>
      <c r="QLU59" s="468"/>
      <c r="QLV59" s="468"/>
      <c r="QLW59" s="468"/>
      <c r="QLX59" s="468"/>
      <c r="QLY59" s="468"/>
      <c r="QLZ59" s="468"/>
      <c r="QMA59" s="468"/>
      <c r="QMB59" s="468"/>
      <c r="QMC59" s="468"/>
      <c r="QMD59" s="468"/>
      <c r="QME59" s="468"/>
      <c r="QMF59" s="468"/>
      <c r="QMG59" s="468"/>
      <c r="QMH59" s="468"/>
      <c r="QMI59" s="468"/>
      <c r="QMJ59" s="468"/>
      <c r="QMK59" s="468"/>
      <c r="QML59" s="468"/>
      <c r="QMM59" s="468"/>
      <c r="QMN59" s="468"/>
      <c r="QMO59" s="468"/>
      <c r="QMP59" s="468"/>
      <c r="QMQ59" s="468"/>
      <c r="QMR59" s="468"/>
      <c r="QMS59" s="468"/>
      <c r="QMT59" s="468"/>
      <c r="QMU59" s="468"/>
      <c r="QMV59" s="468"/>
      <c r="QMW59" s="468"/>
      <c r="QMX59" s="468"/>
      <c r="QMY59" s="468"/>
      <c r="QMZ59" s="468"/>
      <c r="QNA59" s="468"/>
      <c r="QNB59" s="468"/>
      <c r="QNC59" s="468"/>
      <c r="QND59" s="468"/>
      <c r="QNE59" s="468"/>
      <c r="QNF59" s="468"/>
      <c r="QNG59" s="468"/>
      <c r="QNH59" s="468"/>
      <c r="QNI59" s="468"/>
      <c r="QNJ59" s="468"/>
      <c r="QNK59" s="468"/>
      <c r="QNL59" s="468"/>
      <c r="QNM59" s="468"/>
      <c r="QNN59" s="468"/>
      <c r="QNO59" s="468"/>
      <c r="QNP59" s="468"/>
      <c r="QNQ59" s="468"/>
      <c r="QNR59" s="468"/>
      <c r="QNS59" s="468"/>
      <c r="QNT59" s="468"/>
      <c r="QNU59" s="468"/>
      <c r="QNV59" s="468"/>
      <c r="QNW59" s="468"/>
      <c r="QNX59" s="468"/>
      <c r="QNY59" s="468"/>
      <c r="QNZ59" s="468"/>
      <c r="QOA59" s="468"/>
      <c r="QOB59" s="468"/>
      <c r="QOC59" s="468"/>
      <c r="QOD59" s="468"/>
      <c r="QOE59" s="468"/>
      <c r="QOF59" s="468"/>
      <c r="QOG59" s="468"/>
      <c r="QOH59" s="468"/>
      <c r="QOI59" s="468"/>
      <c r="QOJ59" s="468"/>
      <c r="QOK59" s="468"/>
      <c r="QOL59" s="468"/>
      <c r="QOM59" s="468"/>
      <c r="QON59" s="468"/>
      <c r="QOO59" s="468"/>
      <c r="QOP59" s="468"/>
      <c r="QOQ59" s="468"/>
      <c r="QOR59" s="468"/>
      <c r="QOS59" s="468"/>
      <c r="QOT59" s="468"/>
      <c r="QOU59" s="468"/>
      <c r="QOV59" s="468"/>
      <c r="QOW59" s="468"/>
      <c r="QOX59" s="468"/>
      <c r="QOY59" s="468"/>
      <c r="QOZ59" s="468"/>
      <c r="QPA59" s="468"/>
      <c r="QPB59" s="468"/>
      <c r="QPC59" s="468"/>
      <c r="QPD59" s="468"/>
      <c r="QPE59" s="468"/>
      <c r="QPF59" s="468"/>
      <c r="QPG59" s="468"/>
      <c r="QPH59" s="468"/>
      <c r="QPI59" s="468"/>
      <c r="QPJ59" s="468"/>
      <c r="QPK59" s="468"/>
      <c r="QPL59" s="468"/>
      <c r="QPM59" s="468"/>
      <c r="QPN59" s="468"/>
      <c r="QPO59" s="468"/>
      <c r="QPP59" s="468"/>
      <c r="QPQ59" s="468"/>
      <c r="QPR59" s="468"/>
      <c r="QPS59" s="468"/>
      <c r="QPT59" s="468"/>
      <c r="QPU59" s="468"/>
      <c r="QPV59" s="468"/>
      <c r="QPW59" s="468"/>
      <c r="QPX59" s="468"/>
      <c r="QPY59" s="468"/>
      <c r="QPZ59" s="468"/>
      <c r="QQA59" s="468"/>
      <c r="QQB59" s="468"/>
      <c r="QQC59" s="468"/>
      <c r="QQD59" s="468"/>
      <c r="QQE59" s="468"/>
      <c r="QQF59" s="468"/>
      <c r="QQG59" s="468"/>
      <c r="QQH59" s="468"/>
      <c r="QQI59" s="468"/>
      <c r="QQJ59" s="468"/>
      <c r="QQK59" s="468"/>
      <c r="QQL59" s="468"/>
      <c r="QQM59" s="468"/>
      <c r="QQN59" s="468"/>
      <c r="QQO59" s="468"/>
      <c r="QQP59" s="468"/>
      <c r="QQQ59" s="468"/>
      <c r="QQR59" s="468"/>
      <c r="QQS59" s="468"/>
      <c r="QQT59" s="468"/>
      <c r="QQU59" s="468"/>
      <c r="QQV59" s="468"/>
      <c r="QQW59" s="468"/>
      <c r="QQX59" s="468"/>
      <c r="QQY59" s="468"/>
      <c r="QQZ59" s="468"/>
      <c r="QRA59" s="468"/>
      <c r="QRB59" s="468"/>
      <c r="QRC59" s="468"/>
      <c r="QRD59" s="468"/>
      <c r="QRE59" s="468"/>
      <c r="QRF59" s="468"/>
      <c r="QRG59" s="468"/>
      <c r="QRH59" s="468"/>
      <c r="QRI59" s="468"/>
      <c r="QRJ59" s="468"/>
      <c r="QRK59" s="468"/>
      <c r="QRL59" s="468"/>
      <c r="QRM59" s="468"/>
      <c r="QRN59" s="468"/>
      <c r="QRO59" s="468"/>
      <c r="QRP59" s="468"/>
      <c r="QRQ59" s="468"/>
      <c r="QRR59" s="468"/>
      <c r="QRS59" s="468"/>
      <c r="QRT59" s="468"/>
      <c r="QRU59" s="468"/>
      <c r="QRV59" s="468"/>
      <c r="QRW59" s="468"/>
      <c r="QRX59" s="468"/>
      <c r="QRY59" s="468"/>
      <c r="QRZ59" s="468"/>
      <c r="QSA59" s="468"/>
      <c r="QSB59" s="468"/>
      <c r="QSC59" s="468"/>
      <c r="QSD59" s="468"/>
      <c r="QSE59" s="468"/>
      <c r="QSF59" s="468"/>
      <c r="QSG59" s="468"/>
      <c r="QSH59" s="468"/>
      <c r="QSI59" s="468"/>
      <c r="QSJ59" s="468"/>
      <c r="QSK59" s="468"/>
      <c r="QSL59" s="468"/>
      <c r="QSM59" s="468"/>
      <c r="QSN59" s="468"/>
      <c r="QSO59" s="468"/>
      <c r="QSP59" s="468"/>
      <c r="QSQ59" s="468"/>
      <c r="QSR59" s="468"/>
      <c r="QSS59" s="468"/>
      <c r="QST59" s="468"/>
      <c r="QSU59" s="468"/>
      <c r="QSV59" s="468"/>
      <c r="QSW59" s="468"/>
      <c r="QSX59" s="468"/>
      <c r="QSY59" s="468"/>
      <c r="QSZ59" s="468"/>
      <c r="QTA59" s="468"/>
      <c r="QTB59" s="468"/>
      <c r="QTC59" s="468"/>
      <c r="QTD59" s="468"/>
      <c r="QTE59" s="468"/>
      <c r="QTF59" s="468"/>
      <c r="QTG59" s="468"/>
      <c r="QTH59" s="468"/>
      <c r="QTI59" s="468"/>
      <c r="QTJ59" s="468"/>
      <c r="QTK59" s="468"/>
      <c r="QTL59" s="468"/>
      <c r="QTM59" s="468"/>
      <c r="QTN59" s="468"/>
      <c r="QTO59" s="468"/>
      <c r="QTP59" s="468"/>
      <c r="QTQ59" s="468"/>
      <c r="QTR59" s="468"/>
      <c r="QTS59" s="468"/>
      <c r="QTT59" s="468"/>
      <c r="QTU59" s="468"/>
      <c r="QTV59" s="468"/>
      <c r="QTW59" s="468"/>
      <c r="QTX59" s="468"/>
      <c r="QTY59" s="468"/>
      <c r="QTZ59" s="468"/>
      <c r="QUA59" s="468"/>
      <c r="QUB59" s="468"/>
      <c r="QUC59" s="468"/>
      <c r="QUD59" s="468"/>
      <c r="QUE59" s="468"/>
      <c r="QUF59" s="468"/>
      <c r="QUG59" s="468"/>
      <c r="QUH59" s="468"/>
      <c r="QUI59" s="468"/>
      <c r="QUJ59" s="468"/>
      <c r="QUK59" s="468"/>
      <c r="QUL59" s="468"/>
      <c r="QUM59" s="468"/>
      <c r="QUN59" s="468"/>
      <c r="QUO59" s="468"/>
      <c r="QUP59" s="468"/>
      <c r="QUQ59" s="468"/>
      <c r="QUR59" s="468"/>
      <c r="QUS59" s="468"/>
      <c r="QUT59" s="468"/>
      <c r="QUU59" s="468"/>
      <c r="QUV59" s="468"/>
      <c r="QUW59" s="468"/>
      <c r="QUX59" s="468"/>
      <c r="QUY59" s="468"/>
      <c r="QUZ59" s="468"/>
      <c r="QVA59" s="468"/>
      <c r="QVB59" s="468"/>
      <c r="QVC59" s="468"/>
      <c r="QVD59" s="468"/>
      <c r="QVE59" s="468"/>
      <c r="QVF59" s="468"/>
      <c r="QVG59" s="468"/>
      <c r="QVH59" s="468"/>
      <c r="QVI59" s="468"/>
      <c r="QVJ59" s="468"/>
      <c r="QVK59" s="468"/>
      <c r="QVL59" s="468"/>
      <c r="QVM59" s="468"/>
      <c r="QVN59" s="468"/>
      <c r="QVO59" s="468"/>
      <c r="QVP59" s="468"/>
      <c r="QVQ59" s="468"/>
      <c r="QVR59" s="468"/>
      <c r="QVS59" s="468"/>
      <c r="QVT59" s="468"/>
      <c r="QVU59" s="468"/>
      <c r="QVV59" s="468"/>
      <c r="QVW59" s="468"/>
      <c r="QVX59" s="468"/>
      <c r="QVY59" s="468"/>
      <c r="QVZ59" s="468"/>
      <c r="QWA59" s="468"/>
      <c r="QWB59" s="468"/>
      <c r="QWC59" s="468"/>
      <c r="QWD59" s="468"/>
      <c r="QWE59" s="468"/>
      <c r="QWF59" s="468"/>
      <c r="QWG59" s="468"/>
      <c r="QWH59" s="468"/>
      <c r="QWI59" s="468"/>
      <c r="QWJ59" s="468"/>
      <c r="QWK59" s="468"/>
      <c r="QWL59" s="468"/>
      <c r="QWM59" s="468"/>
      <c r="QWN59" s="468"/>
      <c r="QWO59" s="468"/>
      <c r="QWP59" s="468"/>
      <c r="QWQ59" s="468"/>
      <c r="QWR59" s="468"/>
      <c r="QWS59" s="468"/>
      <c r="QWT59" s="468"/>
      <c r="QWU59" s="468"/>
      <c r="QWV59" s="468"/>
      <c r="QWW59" s="468"/>
      <c r="QWX59" s="468"/>
      <c r="QWY59" s="468"/>
      <c r="QWZ59" s="468"/>
      <c r="QXA59" s="468"/>
      <c r="QXB59" s="468"/>
      <c r="QXC59" s="468"/>
      <c r="QXD59" s="468"/>
      <c r="QXE59" s="468"/>
      <c r="QXF59" s="468"/>
      <c r="QXG59" s="468"/>
      <c r="QXH59" s="468"/>
      <c r="QXI59" s="468"/>
      <c r="QXJ59" s="468"/>
      <c r="QXK59" s="468"/>
      <c r="QXL59" s="468"/>
      <c r="QXM59" s="468"/>
      <c r="QXN59" s="468"/>
      <c r="QXO59" s="468"/>
      <c r="QXP59" s="468"/>
      <c r="QXQ59" s="468"/>
      <c r="QXR59" s="468"/>
      <c r="QXS59" s="468"/>
      <c r="QXT59" s="468"/>
      <c r="QXU59" s="468"/>
      <c r="QXV59" s="468"/>
      <c r="QXW59" s="468"/>
      <c r="QXX59" s="468"/>
      <c r="QXY59" s="468"/>
      <c r="QXZ59" s="468"/>
      <c r="QYA59" s="468"/>
      <c r="QYB59" s="468"/>
      <c r="QYC59" s="468"/>
      <c r="QYD59" s="468"/>
      <c r="QYE59" s="468"/>
      <c r="QYF59" s="468"/>
      <c r="QYG59" s="468"/>
      <c r="QYH59" s="468"/>
      <c r="QYI59" s="468"/>
      <c r="QYJ59" s="468"/>
      <c r="QYK59" s="468"/>
      <c r="QYL59" s="468"/>
      <c r="QYM59" s="468"/>
      <c r="QYN59" s="468"/>
      <c r="QYO59" s="468"/>
      <c r="QYP59" s="468"/>
      <c r="QYQ59" s="468"/>
      <c r="QYR59" s="468"/>
      <c r="QYS59" s="468"/>
      <c r="QYT59" s="468"/>
      <c r="QYU59" s="468"/>
      <c r="QYV59" s="468"/>
      <c r="QYW59" s="468"/>
      <c r="QYX59" s="468"/>
      <c r="QYY59" s="468"/>
      <c r="QYZ59" s="468"/>
      <c r="QZA59" s="468"/>
      <c r="QZB59" s="468"/>
      <c r="QZC59" s="468"/>
      <c r="QZD59" s="468"/>
      <c r="QZE59" s="468"/>
      <c r="QZF59" s="468"/>
      <c r="QZG59" s="468"/>
      <c r="QZH59" s="468"/>
      <c r="QZI59" s="468"/>
      <c r="QZJ59" s="468"/>
      <c r="QZK59" s="468"/>
      <c r="QZL59" s="468"/>
      <c r="QZM59" s="468"/>
      <c r="QZN59" s="468"/>
      <c r="QZO59" s="468"/>
      <c r="QZP59" s="468"/>
      <c r="QZQ59" s="468"/>
      <c r="QZR59" s="468"/>
      <c r="QZS59" s="468"/>
      <c r="QZT59" s="468"/>
      <c r="QZU59" s="468"/>
      <c r="QZV59" s="468"/>
      <c r="QZW59" s="468"/>
      <c r="QZX59" s="468"/>
      <c r="QZY59" s="468"/>
      <c r="QZZ59" s="468"/>
      <c r="RAA59" s="468"/>
      <c r="RAB59" s="468"/>
      <c r="RAC59" s="468"/>
      <c r="RAD59" s="468"/>
      <c r="RAE59" s="468"/>
      <c r="RAF59" s="468"/>
      <c r="RAG59" s="468"/>
      <c r="RAH59" s="468"/>
      <c r="RAI59" s="468"/>
      <c r="RAJ59" s="468"/>
      <c r="RAK59" s="468"/>
      <c r="RAL59" s="468"/>
      <c r="RAM59" s="468"/>
      <c r="RAN59" s="468"/>
      <c r="RAO59" s="468"/>
      <c r="RAP59" s="468"/>
      <c r="RAQ59" s="468"/>
      <c r="RAR59" s="468"/>
      <c r="RAS59" s="468"/>
      <c r="RAT59" s="468"/>
      <c r="RAU59" s="468"/>
      <c r="RAV59" s="468"/>
      <c r="RAW59" s="468"/>
      <c r="RAX59" s="468"/>
      <c r="RAY59" s="468"/>
      <c r="RAZ59" s="468"/>
      <c r="RBA59" s="468"/>
      <c r="RBB59" s="468"/>
      <c r="RBC59" s="468"/>
      <c r="RBD59" s="468"/>
      <c r="RBE59" s="468"/>
      <c r="RBF59" s="468"/>
      <c r="RBG59" s="468"/>
      <c r="RBH59" s="468"/>
      <c r="RBI59" s="468"/>
      <c r="RBJ59" s="468"/>
      <c r="RBK59" s="468"/>
      <c r="RBL59" s="468"/>
      <c r="RBM59" s="468"/>
      <c r="RBN59" s="468"/>
      <c r="RBO59" s="468"/>
      <c r="RBP59" s="468"/>
      <c r="RBQ59" s="468"/>
      <c r="RBR59" s="468"/>
      <c r="RBS59" s="468"/>
      <c r="RBT59" s="468"/>
      <c r="RBU59" s="468"/>
      <c r="RBV59" s="468"/>
      <c r="RBW59" s="468"/>
      <c r="RBX59" s="468"/>
      <c r="RBY59" s="468"/>
      <c r="RBZ59" s="468"/>
      <c r="RCA59" s="468"/>
      <c r="RCB59" s="468"/>
      <c r="RCC59" s="468"/>
      <c r="RCD59" s="468"/>
      <c r="RCE59" s="468"/>
      <c r="RCF59" s="468"/>
      <c r="RCG59" s="468"/>
      <c r="RCH59" s="468"/>
      <c r="RCI59" s="468"/>
      <c r="RCJ59" s="468"/>
      <c r="RCK59" s="468"/>
      <c r="RCL59" s="468"/>
      <c r="RCM59" s="468"/>
      <c r="RCN59" s="468"/>
      <c r="RCO59" s="468"/>
      <c r="RCP59" s="468"/>
      <c r="RCQ59" s="468"/>
      <c r="RCR59" s="468"/>
      <c r="RCS59" s="468"/>
      <c r="RCT59" s="468"/>
      <c r="RCU59" s="468"/>
      <c r="RCV59" s="468"/>
      <c r="RCW59" s="468"/>
      <c r="RCX59" s="468"/>
      <c r="RCY59" s="468"/>
      <c r="RCZ59" s="468"/>
      <c r="RDA59" s="468"/>
      <c r="RDB59" s="468"/>
      <c r="RDC59" s="468"/>
      <c r="RDD59" s="468"/>
      <c r="RDE59" s="468"/>
      <c r="RDF59" s="468"/>
      <c r="RDG59" s="468"/>
      <c r="RDH59" s="468"/>
      <c r="RDI59" s="468"/>
      <c r="RDJ59" s="468"/>
      <c r="RDK59" s="468"/>
      <c r="RDL59" s="468"/>
      <c r="RDM59" s="468"/>
      <c r="RDN59" s="468"/>
      <c r="RDO59" s="468"/>
      <c r="RDP59" s="468"/>
      <c r="RDQ59" s="468"/>
      <c r="RDR59" s="468"/>
      <c r="RDS59" s="468"/>
      <c r="RDT59" s="468"/>
      <c r="RDU59" s="468"/>
      <c r="RDV59" s="468"/>
      <c r="RDW59" s="468"/>
      <c r="RDX59" s="468"/>
      <c r="RDY59" s="468"/>
      <c r="RDZ59" s="468"/>
      <c r="REA59" s="468"/>
      <c r="REB59" s="468"/>
      <c r="REC59" s="468"/>
      <c r="RED59" s="468"/>
      <c r="REE59" s="468"/>
      <c r="REF59" s="468"/>
      <c r="REG59" s="468"/>
      <c r="REH59" s="468"/>
      <c r="REI59" s="468"/>
      <c r="REJ59" s="468"/>
      <c r="REK59" s="468"/>
      <c r="REL59" s="468"/>
      <c r="REM59" s="468"/>
      <c r="REN59" s="468"/>
      <c r="REO59" s="468"/>
      <c r="REP59" s="468"/>
      <c r="REQ59" s="468"/>
      <c r="RER59" s="468"/>
      <c r="RES59" s="468"/>
      <c r="RET59" s="468"/>
      <c r="REU59" s="468"/>
      <c r="REV59" s="468"/>
      <c r="REW59" s="468"/>
      <c r="REX59" s="468"/>
      <c r="REY59" s="468"/>
      <c r="REZ59" s="468"/>
      <c r="RFA59" s="468"/>
      <c r="RFB59" s="468"/>
      <c r="RFC59" s="468"/>
      <c r="RFD59" s="468"/>
      <c r="RFE59" s="468"/>
      <c r="RFF59" s="468"/>
      <c r="RFG59" s="468"/>
      <c r="RFH59" s="468"/>
      <c r="RFI59" s="468"/>
      <c r="RFJ59" s="468"/>
      <c r="RFK59" s="468"/>
      <c r="RFL59" s="468"/>
      <c r="RFM59" s="468"/>
      <c r="RFN59" s="468"/>
      <c r="RFO59" s="468"/>
      <c r="RFP59" s="468"/>
      <c r="RFQ59" s="468"/>
      <c r="RFR59" s="468"/>
      <c r="RFS59" s="468"/>
      <c r="RFT59" s="468"/>
      <c r="RFU59" s="468"/>
      <c r="RFV59" s="468"/>
      <c r="RFW59" s="468"/>
      <c r="RFX59" s="468"/>
      <c r="RFY59" s="468"/>
      <c r="RFZ59" s="468"/>
      <c r="RGA59" s="468"/>
      <c r="RGB59" s="468"/>
      <c r="RGC59" s="468"/>
      <c r="RGD59" s="468"/>
      <c r="RGE59" s="468"/>
      <c r="RGF59" s="468"/>
      <c r="RGG59" s="468"/>
      <c r="RGH59" s="468"/>
      <c r="RGI59" s="468"/>
      <c r="RGJ59" s="468"/>
      <c r="RGK59" s="468"/>
      <c r="RGL59" s="468"/>
      <c r="RGM59" s="468"/>
      <c r="RGN59" s="468"/>
      <c r="RGO59" s="468"/>
      <c r="RGP59" s="468"/>
      <c r="RGQ59" s="468"/>
      <c r="RGR59" s="468"/>
      <c r="RGS59" s="468"/>
      <c r="RGT59" s="468"/>
      <c r="RGU59" s="468"/>
      <c r="RGV59" s="468"/>
      <c r="RGW59" s="468"/>
      <c r="RGX59" s="468"/>
      <c r="RGY59" s="468"/>
      <c r="RGZ59" s="468"/>
      <c r="RHA59" s="468"/>
      <c r="RHB59" s="468"/>
      <c r="RHC59" s="468"/>
      <c r="RHD59" s="468"/>
      <c r="RHE59" s="468"/>
      <c r="RHF59" s="468"/>
      <c r="RHG59" s="468"/>
      <c r="RHH59" s="468"/>
      <c r="RHI59" s="468"/>
      <c r="RHJ59" s="468"/>
      <c r="RHK59" s="468"/>
      <c r="RHL59" s="468"/>
      <c r="RHM59" s="468"/>
      <c r="RHN59" s="468"/>
      <c r="RHO59" s="468"/>
      <c r="RHP59" s="468"/>
      <c r="RHQ59" s="468"/>
      <c r="RHR59" s="468"/>
      <c r="RHS59" s="468"/>
      <c r="RHT59" s="468"/>
      <c r="RHU59" s="468"/>
      <c r="RHV59" s="468"/>
      <c r="RHW59" s="468"/>
      <c r="RHX59" s="468"/>
      <c r="RHY59" s="468"/>
      <c r="RHZ59" s="468"/>
      <c r="RIA59" s="468"/>
      <c r="RIB59" s="468"/>
      <c r="RIC59" s="468"/>
      <c r="RID59" s="468"/>
      <c r="RIE59" s="468"/>
      <c r="RIF59" s="468"/>
      <c r="RIG59" s="468"/>
      <c r="RIH59" s="468"/>
      <c r="RII59" s="468"/>
      <c r="RIJ59" s="468"/>
      <c r="RIK59" s="468"/>
      <c r="RIL59" s="468"/>
      <c r="RIM59" s="468"/>
      <c r="RIN59" s="468"/>
      <c r="RIO59" s="468"/>
      <c r="RIP59" s="468"/>
      <c r="RIQ59" s="468"/>
      <c r="RIR59" s="468"/>
      <c r="RIS59" s="468"/>
      <c r="RIT59" s="468"/>
      <c r="RIU59" s="468"/>
      <c r="RIV59" s="468"/>
      <c r="RIW59" s="468"/>
      <c r="RIX59" s="468"/>
      <c r="RIY59" s="468"/>
      <c r="RIZ59" s="468"/>
      <c r="RJA59" s="468"/>
      <c r="RJB59" s="468"/>
      <c r="RJC59" s="468"/>
      <c r="RJD59" s="468"/>
      <c r="RJE59" s="468"/>
      <c r="RJF59" s="468"/>
      <c r="RJG59" s="468"/>
      <c r="RJH59" s="468"/>
      <c r="RJI59" s="468"/>
      <c r="RJJ59" s="468"/>
      <c r="RJK59" s="468"/>
      <c r="RJL59" s="468"/>
      <c r="RJM59" s="468"/>
      <c r="RJN59" s="468"/>
      <c r="RJO59" s="468"/>
      <c r="RJP59" s="468"/>
      <c r="RJQ59" s="468"/>
      <c r="RJR59" s="468"/>
      <c r="RJS59" s="468"/>
      <c r="RJT59" s="468"/>
      <c r="RJU59" s="468"/>
      <c r="RJV59" s="468"/>
      <c r="RJW59" s="468"/>
      <c r="RJX59" s="468"/>
      <c r="RJY59" s="468"/>
      <c r="RJZ59" s="468"/>
      <c r="RKA59" s="468"/>
      <c r="RKB59" s="468"/>
      <c r="RKC59" s="468"/>
      <c r="RKD59" s="468"/>
      <c r="RKE59" s="468"/>
      <c r="RKF59" s="468"/>
      <c r="RKG59" s="468"/>
      <c r="RKH59" s="468"/>
      <c r="RKI59" s="468"/>
      <c r="RKJ59" s="468"/>
      <c r="RKK59" s="468"/>
      <c r="RKL59" s="468"/>
      <c r="RKM59" s="468"/>
      <c r="RKN59" s="468"/>
      <c r="RKO59" s="468"/>
      <c r="RKP59" s="468"/>
      <c r="RKQ59" s="468"/>
      <c r="RKR59" s="468"/>
      <c r="RKS59" s="468"/>
      <c r="RKT59" s="468"/>
      <c r="RKU59" s="468"/>
      <c r="RKV59" s="468"/>
      <c r="RKW59" s="468"/>
      <c r="RKX59" s="468"/>
      <c r="RKY59" s="468"/>
      <c r="RKZ59" s="468"/>
      <c r="RLA59" s="468"/>
      <c r="RLB59" s="468"/>
      <c r="RLC59" s="468"/>
      <c r="RLD59" s="468"/>
      <c r="RLE59" s="468"/>
      <c r="RLF59" s="468"/>
      <c r="RLG59" s="468"/>
      <c r="RLH59" s="468"/>
      <c r="RLI59" s="468"/>
      <c r="RLJ59" s="468"/>
      <c r="RLK59" s="468"/>
      <c r="RLL59" s="468"/>
      <c r="RLM59" s="468"/>
      <c r="RLN59" s="468"/>
      <c r="RLO59" s="468"/>
      <c r="RLP59" s="468"/>
      <c r="RLQ59" s="468"/>
      <c r="RLR59" s="468"/>
      <c r="RLS59" s="468"/>
      <c r="RLT59" s="468"/>
      <c r="RLU59" s="468"/>
      <c r="RLV59" s="468"/>
      <c r="RLW59" s="468"/>
      <c r="RLX59" s="468"/>
      <c r="RLY59" s="468"/>
      <c r="RLZ59" s="468"/>
      <c r="RMA59" s="468"/>
      <c r="RMB59" s="468"/>
      <c r="RMC59" s="468"/>
      <c r="RMD59" s="468"/>
      <c r="RME59" s="468"/>
      <c r="RMF59" s="468"/>
      <c r="RMG59" s="468"/>
      <c r="RMH59" s="468"/>
      <c r="RMI59" s="468"/>
      <c r="RMJ59" s="468"/>
      <c r="RMK59" s="468"/>
      <c r="RML59" s="468"/>
      <c r="RMM59" s="468"/>
      <c r="RMN59" s="468"/>
      <c r="RMO59" s="468"/>
      <c r="RMP59" s="468"/>
      <c r="RMQ59" s="468"/>
      <c r="RMR59" s="468"/>
      <c r="RMS59" s="468"/>
      <c r="RMT59" s="468"/>
      <c r="RMU59" s="468"/>
      <c r="RMV59" s="468"/>
      <c r="RMW59" s="468"/>
      <c r="RMX59" s="468"/>
      <c r="RMY59" s="468"/>
      <c r="RMZ59" s="468"/>
      <c r="RNA59" s="468"/>
      <c r="RNB59" s="468"/>
      <c r="RNC59" s="468"/>
      <c r="RND59" s="468"/>
      <c r="RNE59" s="468"/>
      <c r="RNF59" s="468"/>
      <c r="RNG59" s="468"/>
      <c r="RNH59" s="468"/>
      <c r="RNI59" s="468"/>
      <c r="RNJ59" s="468"/>
      <c r="RNK59" s="468"/>
      <c r="RNL59" s="468"/>
      <c r="RNM59" s="468"/>
      <c r="RNN59" s="468"/>
      <c r="RNO59" s="468"/>
      <c r="RNP59" s="468"/>
      <c r="RNQ59" s="468"/>
      <c r="RNR59" s="468"/>
      <c r="RNS59" s="468"/>
      <c r="RNT59" s="468"/>
      <c r="RNU59" s="468"/>
      <c r="RNV59" s="468"/>
      <c r="RNW59" s="468"/>
      <c r="RNX59" s="468"/>
      <c r="RNY59" s="468"/>
      <c r="RNZ59" s="468"/>
      <c r="ROA59" s="468"/>
      <c r="ROB59" s="468"/>
      <c r="ROC59" s="468"/>
      <c r="ROD59" s="468"/>
      <c r="ROE59" s="468"/>
      <c r="ROF59" s="468"/>
      <c r="ROG59" s="468"/>
      <c r="ROH59" s="468"/>
      <c r="ROI59" s="468"/>
      <c r="ROJ59" s="468"/>
      <c r="ROK59" s="468"/>
      <c r="ROL59" s="468"/>
      <c r="ROM59" s="468"/>
      <c r="RON59" s="468"/>
      <c r="ROO59" s="468"/>
      <c r="ROP59" s="468"/>
      <c r="ROQ59" s="468"/>
      <c r="ROR59" s="468"/>
      <c r="ROS59" s="468"/>
      <c r="ROT59" s="468"/>
      <c r="ROU59" s="468"/>
      <c r="ROV59" s="468"/>
      <c r="ROW59" s="468"/>
      <c r="ROX59" s="468"/>
      <c r="ROY59" s="468"/>
      <c r="ROZ59" s="468"/>
      <c r="RPA59" s="468"/>
      <c r="RPB59" s="468"/>
      <c r="RPC59" s="468"/>
      <c r="RPD59" s="468"/>
      <c r="RPE59" s="468"/>
      <c r="RPF59" s="468"/>
      <c r="RPG59" s="468"/>
      <c r="RPH59" s="468"/>
      <c r="RPI59" s="468"/>
      <c r="RPJ59" s="468"/>
      <c r="RPK59" s="468"/>
      <c r="RPL59" s="468"/>
      <c r="RPM59" s="468"/>
      <c r="RPN59" s="468"/>
      <c r="RPO59" s="468"/>
      <c r="RPP59" s="468"/>
      <c r="RPQ59" s="468"/>
      <c r="RPR59" s="468"/>
      <c r="RPS59" s="468"/>
      <c r="RPT59" s="468"/>
      <c r="RPU59" s="468"/>
      <c r="RPV59" s="468"/>
      <c r="RPW59" s="468"/>
      <c r="RPX59" s="468"/>
      <c r="RPY59" s="468"/>
      <c r="RPZ59" s="468"/>
      <c r="RQA59" s="468"/>
      <c r="RQB59" s="468"/>
      <c r="RQC59" s="468"/>
      <c r="RQD59" s="468"/>
      <c r="RQE59" s="468"/>
      <c r="RQF59" s="468"/>
      <c r="RQG59" s="468"/>
      <c r="RQH59" s="468"/>
      <c r="RQI59" s="468"/>
      <c r="RQJ59" s="468"/>
      <c r="RQK59" s="468"/>
      <c r="RQL59" s="468"/>
      <c r="RQM59" s="468"/>
      <c r="RQN59" s="468"/>
      <c r="RQO59" s="468"/>
      <c r="RQP59" s="468"/>
      <c r="RQQ59" s="468"/>
      <c r="RQR59" s="468"/>
      <c r="RQS59" s="468"/>
      <c r="RQT59" s="468"/>
      <c r="RQU59" s="468"/>
      <c r="RQV59" s="468"/>
      <c r="RQW59" s="468"/>
      <c r="RQX59" s="468"/>
      <c r="RQY59" s="468"/>
      <c r="RQZ59" s="468"/>
      <c r="RRA59" s="468"/>
      <c r="RRB59" s="468"/>
      <c r="RRC59" s="468"/>
      <c r="RRD59" s="468"/>
      <c r="RRE59" s="468"/>
      <c r="RRF59" s="468"/>
      <c r="RRG59" s="468"/>
      <c r="RRH59" s="468"/>
      <c r="RRI59" s="468"/>
      <c r="RRJ59" s="468"/>
      <c r="RRK59" s="468"/>
      <c r="RRL59" s="468"/>
      <c r="RRM59" s="468"/>
      <c r="RRN59" s="468"/>
      <c r="RRO59" s="468"/>
      <c r="RRP59" s="468"/>
      <c r="RRQ59" s="468"/>
      <c r="RRR59" s="468"/>
      <c r="RRS59" s="468"/>
      <c r="RRT59" s="468"/>
      <c r="RRU59" s="468"/>
      <c r="RRV59" s="468"/>
      <c r="RRW59" s="468"/>
      <c r="RRX59" s="468"/>
      <c r="RRY59" s="468"/>
      <c r="RRZ59" s="468"/>
      <c r="RSA59" s="468"/>
      <c r="RSB59" s="468"/>
      <c r="RSC59" s="468"/>
      <c r="RSD59" s="468"/>
      <c r="RSE59" s="468"/>
      <c r="RSF59" s="468"/>
      <c r="RSG59" s="468"/>
      <c r="RSH59" s="468"/>
      <c r="RSI59" s="468"/>
      <c r="RSJ59" s="468"/>
      <c r="RSK59" s="468"/>
      <c r="RSL59" s="468"/>
      <c r="RSM59" s="468"/>
      <c r="RSN59" s="468"/>
      <c r="RSO59" s="468"/>
      <c r="RSP59" s="468"/>
      <c r="RSQ59" s="468"/>
      <c r="RSR59" s="468"/>
      <c r="RSS59" s="468"/>
      <c r="RST59" s="468"/>
      <c r="RSU59" s="468"/>
      <c r="RSV59" s="468"/>
      <c r="RSW59" s="468"/>
      <c r="RSX59" s="468"/>
      <c r="RSY59" s="468"/>
      <c r="RSZ59" s="468"/>
      <c r="RTA59" s="468"/>
      <c r="RTB59" s="468"/>
      <c r="RTC59" s="468"/>
      <c r="RTD59" s="468"/>
      <c r="RTE59" s="468"/>
      <c r="RTF59" s="468"/>
      <c r="RTG59" s="468"/>
      <c r="RTH59" s="468"/>
      <c r="RTI59" s="468"/>
      <c r="RTJ59" s="468"/>
      <c r="RTK59" s="468"/>
      <c r="RTL59" s="468"/>
      <c r="RTM59" s="468"/>
      <c r="RTN59" s="468"/>
      <c r="RTO59" s="468"/>
      <c r="RTP59" s="468"/>
      <c r="RTQ59" s="468"/>
      <c r="RTR59" s="468"/>
      <c r="RTS59" s="468"/>
      <c r="RTT59" s="468"/>
      <c r="RTU59" s="468"/>
      <c r="RTV59" s="468"/>
      <c r="RTW59" s="468"/>
      <c r="RTX59" s="468"/>
      <c r="RTY59" s="468"/>
      <c r="RTZ59" s="468"/>
      <c r="RUA59" s="468"/>
      <c r="RUB59" s="468"/>
      <c r="RUC59" s="468"/>
      <c r="RUD59" s="468"/>
      <c r="RUE59" s="468"/>
      <c r="RUF59" s="468"/>
      <c r="RUG59" s="468"/>
      <c r="RUH59" s="468"/>
      <c r="RUI59" s="468"/>
      <c r="RUJ59" s="468"/>
      <c r="RUK59" s="468"/>
      <c r="RUL59" s="468"/>
      <c r="RUM59" s="468"/>
      <c r="RUN59" s="468"/>
      <c r="RUO59" s="468"/>
      <c r="RUP59" s="468"/>
      <c r="RUQ59" s="468"/>
      <c r="RUR59" s="468"/>
      <c r="RUS59" s="468"/>
      <c r="RUT59" s="468"/>
      <c r="RUU59" s="468"/>
      <c r="RUV59" s="468"/>
      <c r="RUW59" s="468"/>
      <c r="RUX59" s="468"/>
      <c r="RUY59" s="468"/>
      <c r="RUZ59" s="468"/>
      <c r="RVA59" s="468"/>
      <c r="RVB59" s="468"/>
      <c r="RVC59" s="468"/>
      <c r="RVD59" s="468"/>
      <c r="RVE59" s="468"/>
      <c r="RVF59" s="468"/>
      <c r="RVG59" s="468"/>
      <c r="RVH59" s="468"/>
      <c r="RVI59" s="468"/>
      <c r="RVJ59" s="468"/>
      <c r="RVK59" s="468"/>
      <c r="RVL59" s="468"/>
      <c r="RVM59" s="468"/>
      <c r="RVN59" s="468"/>
      <c r="RVO59" s="468"/>
      <c r="RVP59" s="468"/>
      <c r="RVQ59" s="468"/>
      <c r="RVR59" s="468"/>
      <c r="RVS59" s="468"/>
      <c r="RVT59" s="468"/>
      <c r="RVU59" s="468"/>
      <c r="RVV59" s="468"/>
      <c r="RVW59" s="468"/>
      <c r="RVX59" s="468"/>
      <c r="RVY59" s="468"/>
      <c r="RVZ59" s="468"/>
      <c r="RWA59" s="468"/>
      <c r="RWB59" s="468"/>
      <c r="RWC59" s="468"/>
      <c r="RWD59" s="468"/>
      <c r="RWE59" s="468"/>
      <c r="RWF59" s="468"/>
      <c r="RWG59" s="468"/>
      <c r="RWH59" s="468"/>
      <c r="RWI59" s="468"/>
      <c r="RWJ59" s="468"/>
      <c r="RWK59" s="468"/>
      <c r="RWL59" s="468"/>
      <c r="RWM59" s="468"/>
      <c r="RWN59" s="468"/>
      <c r="RWO59" s="468"/>
      <c r="RWP59" s="468"/>
      <c r="RWQ59" s="468"/>
      <c r="RWR59" s="468"/>
      <c r="RWS59" s="468"/>
      <c r="RWT59" s="468"/>
      <c r="RWU59" s="468"/>
      <c r="RWV59" s="468"/>
      <c r="RWW59" s="468"/>
      <c r="RWX59" s="468"/>
      <c r="RWY59" s="468"/>
      <c r="RWZ59" s="468"/>
      <c r="RXA59" s="468"/>
      <c r="RXB59" s="468"/>
      <c r="RXC59" s="468"/>
      <c r="RXD59" s="468"/>
      <c r="RXE59" s="468"/>
      <c r="RXF59" s="468"/>
      <c r="RXG59" s="468"/>
      <c r="RXH59" s="468"/>
      <c r="RXI59" s="468"/>
      <c r="RXJ59" s="468"/>
      <c r="RXK59" s="468"/>
      <c r="RXL59" s="468"/>
      <c r="RXM59" s="468"/>
      <c r="RXN59" s="468"/>
      <c r="RXO59" s="468"/>
      <c r="RXP59" s="468"/>
      <c r="RXQ59" s="468"/>
      <c r="RXR59" s="468"/>
      <c r="RXS59" s="468"/>
      <c r="RXT59" s="468"/>
      <c r="RXU59" s="468"/>
      <c r="RXV59" s="468"/>
      <c r="RXW59" s="468"/>
      <c r="RXX59" s="468"/>
      <c r="RXY59" s="468"/>
      <c r="RXZ59" s="468"/>
      <c r="RYA59" s="468"/>
      <c r="RYB59" s="468"/>
      <c r="RYC59" s="468"/>
      <c r="RYD59" s="468"/>
      <c r="RYE59" s="468"/>
      <c r="RYF59" s="468"/>
      <c r="RYG59" s="468"/>
      <c r="RYH59" s="468"/>
      <c r="RYI59" s="468"/>
      <c r="RYJ59" s="468"/>
      <c r="RYK59" s="468"/>
      <c r="RYL59" s="468"/>
      <c r="RYM59" s="468"/>
      <c r="RYN59" s="468"/>
      <c r="RYO59" s="468"/>
      <c r="RYP59" s="468"/>
      <c r="RYQ59" s="468"/>
      <c r="RYR59" s="468"/>
      <c r="RYS59" s="468"/>
      <c r="RYT59" s="468"/>
      <c r="RYU59" s="468"/>
      <c r="RYV59" s="468"/>
      <c r="RYW59" s="468"/>
      <c r="RYX59" s="468"/>
      <c r="RYY59" s="468"/>
      <c r="RYZ59" s="468"/>
      <c r="RZA59" s="468"/>
      <c r="RZB59" s="468"/>
      <c r="RZC59" s="468"/>
      <c r="RZD59" s="468"/>
      <c r="RZE59" s="468"/>
      <c r="RZF59" s="468"/>
      <c r="RZG59" s="468"/>
      <c r="RZH59" s="468"/>
      <c r="RZI59" s="468"/>
      <c r="RZJ59" s="468"/>
      <c r="RZK59" s="468"/>
      <c r="RZL59" s="468"/>
      <c r="RZM59" s="468"/>
      <c r="RZN59" s="468"/>
      <c r="RZO59" s="468"/>
      <c r="RZP59" s="468"/>
      <c r="RZQ59" s="468"/>
      <c r="RZR59" s="468"/>
      <c r="RZS59" s="468"/>
      <c r="RZT59" s="468"/>
      <c r="RZU59" s="468"/>
      <c r="RZV59" s="468"/>
      <c r="RZW59" s="468"/>
      <c r="RZX59" s="468"/>
      <c r="RZY59" s="468"/>
      <c r="RZZ59" s="468"/>
      <c r="SAA59" s="468"/>
      <c r="SAB59" s="468"/>
      <c r="SAC59" s="468"/>
      <c r="SAD59" s="468"/>
      <c r="SAE59" s="468"/>
      <c r="SAF59" s="468"/>
      <c r="SAG59" s="468"/>
      <c r="SAH59" s="468"/>
      <c r="SAI59" s="468"/>
      <c r="SAJ59" s="468"/>
      <c r="SAK59" s="468"/>
      <c r="SAL59" s="468"/>
      <c r="SAM59" s="468"/>
      <c r="SAN59" s="468"/>
      <c r="SAO59" s="468"/>
      <c r="SAP59" s="468"/>
      <c r="SAQ59" s="468"/>
      <c r="SAR59" s="468"/>
      <c r="SAS59" s="468"/>
      <c r="SAT59" s="468"/>
      <c r="SAU59" s="468"/>
      <c r="SAV59" s="468"/>
      <c r="SAW59" s="468"/>
      <c r="SAX59" s="468"/>
      <c r="SAY59" s="468"/>
      <c r="SAZ59" s="468"/>
      <c r="SBA59" s="468"/>
      <c r="SBB59" s="468"/>
      <c r="SBC59" s="468"/>
      <c r="SBD59" s="468"/>
      <c r="SBE59" s="468"/>
      <c r="SBF59" s="468"/>
      <c r="SBG59" s="468"/>
      <c r="SBH59" s="468"/>
      <c r="SBI59" s="468"/>
      <c r="SBJ59" s="468"/>
      <c r="SBK59" s="468"/>
      <c r="SBL59" s="468"/>
      <c r="SBM59" s="468"/>
      <c r="SBN59" s="468"/>
      <c r="SBO59" s="468"/>
      <c r="SBP59" s="468"/>
      <c r="SBQ59" s="468"/>
      <c r="SBR59" s="468"/>
      <c r="SBS59" s="468"/>
      <c r="SBT59" s="468"/>
      <c r="SBU59" s="468"/>
      <c r="SBV59" s="468"/>
      <c r="SBW59" s="468"/>
      <c r="SBX59" s="468"/>
      <c r="SBY59" s="468"/>
      <c r="SBZ59" s="468"/>
      <c r="SCA59" s="468"/>
      <c r="SCB59" s="468"/>
      <c r="SCC59" s="468"/>
      <c r="SCD59" s="468"/>
      <c r="SCE59" s="468"/>
      <c r="SCF59" s="468"/>
      <c r="SCG59" s="468"/>
      <c r="SCH59" s="468"/>
      <c r="SCI59" s="468"/>
      <c r="SCJ59" s="468"/>
      <c r="SCK59" s="468"/>
      <c r="SCL59" s="468"/>
      <c r="SCM59" s="468"/>
      <c r="SCN59" s="468"/>
      <c r="SCO59" s="468"/>
      <c r="SCP59" s="468"/>
      <c r="SCQ59" s="468"/>
      <c r="SCR59" s="468"/>
      <c r="SCS59" s="468"/>
      <c r="SCT59" s="468"/>
      <c r="SCU59" s="468"/>
      <c r="SCV59" s="468"/>
      <c r="SCW59" s="468"/>
      <c r="SCX59" s="468"/>
      <c r="SCY59" s="468"/>
      <c r="SCZ59" s="468"/>
      <c r="SDA59" s="468"/>
      <c r="SDB59" s="468"/>
      <c r="SDC59" s="468"/>
      <c r="SDD59" s="468"/>
      <c r="SDE59" s="468"/>
      <c r="SDF59" s="468"/>
      <c r="SDG59" s="468"/>
      <c r="SDH59" s="468"/>
      <c r="SDI59" s="468"/>
      <c r="SDJ59" s="468"/>
      <c r="SDK59" s="468"/>
      <c r="SDL59" s="468"/>
      <c r="SDM59" s="468"/>
      <c r="SDN59" s="468"/>
      <c r="SDO59" s="468"/>
      <c r="SDP59" s="468"/>
      <c r="SDQ59" s="468"/>
      <c r="SDR59" s="468"/>
      <c r="SDS59" s="468"/>
      <c r="SDT59" s="468"/>
      <c r="SDU59" s="468"/>
      <c r="SDV59" s="468"/>
      <c r="SDW59" s="468"/>
      <c r="SDX59" s="468"/>
      <c r="SDY59" s="468"/>
      <c r="SDZ59" s="468"/>
      <c r="SEA59" s="468"/>
      <c r="SEB59" s="468"/>
      <c r="SEC59" s="468"/>
      <c r="SED59" s="468"/>
      <c r="SEE59" s="468"/>
      <c r="SEF59" s="468"/>
      <c r="SEG59" s="468"/>
      <c r="SEH59" s="468"/>
      <c r="SEI59" s="468"/>
      <c r="SEJ59" s="468"/>
      <c r="SEK59" s="468"/>
      <c r="SEL59" s="468"/>
      <c r="SEM59" s="468"/>
      <c r="SEN59" s="468"/>
      <c r="SEO59" s="468"/>
      <c r="SEP59" s="468"/>
      <c r="SEQ59" s="468"/>
      <c r="SER59" s="468"/>
      <c r="SES59" s="468"/>
      <c r="SET59" s="468"/>
      <c r="SEU59" s="468"/>
      <c r="SEV59" s="468"/>
      <c r="SEW59" s="468"/>
      <c r="SEX59" s="468"/>
      <c r="SEY59" s="468"/>
      <c r="SEZ59" s="468"/>
      <c r="SFA59" s="468"/>
      <c r="SFB59" s="468"/>
      <c r="SFC59" s="468"/>
      <c r="SFD59" s="468"/>
      <c r="SFE59" s="468"/>
      <c r="SFF59" s="468"/>
      <c r="SFG59" s="468"/>
      <c r="SFH59" s="468"/>
      <c r="SFI59" s="468"/>
      <c r="SFJ59" s="468"/>
      <c r="SFK59" s="468"/>
      <c r="SFL59" s="468"/>
      <c r="SFM59" s="468"/>
      <c r="SFN59" s="468"/>
      <c r="SFO59" s="468"/>
      <c r="SFP59" s="468"/>
      <c r="SFQ59" s="468"/>
      <c r="SFR59" s="468"/>
      <c r="SFS59" s="468"/>
      <c r="SFT59" s="468"/>
      <c r="SFU59" s="468"/>
      <c r="SFV59" s="468"/>
      <c r="SFW59" s="468"/>
      <c r="SFX59" s="468"/>
      <c r="SFY59" s="468"/>
      <c r="SFZ59" s="468"/>
      <c r="SGA59" s="468"/>
      <c r="SGB59" s="468"/>
      <c r="SGC59" s="468"/>
      <c r="SGD59" s="468"/>
      <c r="SGE59" s="468"/>
      <c r="SGF59" s="468"/>
      <c r="SGG59" s="468"/>
      <c r="SGH59" s="468"/>
      <c r="SGI59" s="468"/>
      <c r="SGJ59" s="468"/>
      <c r="SGK59" s="468"/>
      <c r="SGL59" s="468"/>
      <c r="SGM59" s="468"/>
      <c r="SGN59" s="468"/>
      <c r="SGO59" s="468"/>
      <c r="SGP59" s="468"/>
      <c r="SGQ59" s="468"/>
      <c r="SGR59" s="468"/>
      <c r="SGS59" s="468"/>
      <c r="SGT59" s="468"/>
      <c r="SGU59" s="468"/>
      <c r="SGV59" s="468"/>
      <c r="SGW59" s="468"/>
      <c r="SGX59" s="468"/>
      <c r="SGY59" s="468"/>
      <c r="SGZ59" s="468"/>
      <c r="SHA59" s="468"/>
      <c r="SHB59" s="468"/>
      <c r="SHC59" s="468"/>
      <c r="SHD59" s="468"/>
      <c r="SHE59" s="468"/>
      <c r="SHF59" s="468"/>
      <c r="SHG59" s="468"/>
      <c r="SHH59" s="468"/>
      <c r="SHI59" s="468"/>
      <c r="SHJ59" s="468"/>
      <c r="SHK59" s="468"/>
      <c r="SHL59" s="468"/>
      <c r="SHM59" s="468"/>
      <c r="SHN59" s="468"/>
      <c r="SHO59" s="468"/>
      <c r="SHP59" s="468"/>
      <c r="SHQ59" s="468"/>
      <c r="SHR59" s="468"/>
      <c r="SHS59" s="468"/>
      <c r="SHT59" s="468"/>
      <c r="SHU59" s="468"/>
      <c r="SHV59" s="468"/>
      <c r="SHW59" s="468"/>
      <c r="SHX59" s="468"/>
      <c r="SHY59" s="468"/>
      <c r="SHZ59" s="468"/>
      <c r="SIA59" s="468"/>
      <c r="SIB59" s="468"/>
      <c r="SIC59" s="468"/>
      <c r="SID59" s="468"/>
      <c r="SIE59" s="468"/>
      <c r="SIF59" s="468"/>
      <c r="SIG59" s="468"/>
      <c r="SIH59" s="468"/>
      <c r="SII59" s="468"/>
      <c r="SIJ59" s="468"/>
      <c r="SIK59" s="468"/>
      <c r="SIL59" s="468"/>
      <c r="SIM59" s="468"/>
      <c r="SIN59" s="468"/>
      <c r="SIO59" s="468"/>
      <c r="SIP59" s="468"/>
      <c r="SIQ59" s="468"/>
      <c r="SIR59" s="468"/>
      <c r="SIS59" s="468"/>
      <c r="SIT59" s="468"/>
      <c r="SIU59" s="468"/>
      <c r="SIV59" s="468"/>
      <c r="SIW59" s="468"/>
      <c r="SIX59" s="468"/>
      <c r="SIY59" s="468"/>
      <c r="SIZ59" s="468"/>
      <c r="SJA59" s="468"/>
      <c r="SJB59" s="468"/>
      <c r="SJC59" s="468"/>
      <c r="SJD59" s="468"/>
      <c r="SJE59" s="468"/>
      <c r="SJF59" s="468"/>
      <c r="SJG59" s="468"/>
      <c r="SJH59" s="468"/>
      <c r="SJI59" s="468"/>
      <c r="SJJ59" s="468"/>
      <c r="SJK59" s="468"/>
      <c r="SJL59" s="468"/>
      <c r="SJM59" s="468"/>
      <c r="SJN59" s="468"/>
      <c r="SJO59" s="468"/>
      <c r="SJP59" s="468"/>
      <c r="SJQ59" s="468"/>
      <c r="SJR59" s="468"/>
      <c r="SJS59" s="468"/>
      <c r="SJT59" s="468"/>
      <c r="SJU59" s="468"/>
      <c r="SJV59" s="468"/>
      <c r="SJW59" s="468"/>
      <c r="SJX59" s="468"/>
      <c r="SJY59" s="468"/>
      <c r="SJZ59" s="468"/>
      <c r="SKA59" s="468"/>
      <c r="SKB59" s="468"/>
      <c r="SKC59" s="468"/>
      <c r="SKD59" s="468"/>
      <c r="SKE59" s="468"/>
      <c r="SKF59" s="468"/>
      <c r="SKG59" s="468"/>
      <c r="SKH59" s="468"/>
      <c r="SKI59" s="468"/>
      <c r="SKJ59" s="468"/>
      <c r="SKK59" s="468"/>
      <c r="SKL59" s="468"/>
      <c r="SKM59" s="468"/>
      <c r="SKN59" s="468"/>
      <c r="SKO59" s="468"/>
      <c r="SKP59" s="468"/>
      <c r="SKQ59" s="468"/>
      <c r="SKR59" s="468"/>
      <c r="SKS59" s="468"/>
      <c r="SKT59" s="468"/>
      <c r="SKU59" s="468"/>
      <c r="SKV59" s="468"/>
      <c r="SKW59" s="468"/>
      <c r="SKX59" s="468"/>
      <c r="SKY59" s="468"/>
      <c r="SKZ59" s="468"/>
      <c r="SLA59" s="468"/>
      <c r="SLB59" s="468"/>
      <c r="SLC59" s="468"/>
      <c r="SLD59" s="468"/>
      <c r="SLE59" s="468"/>
      <c r="SLF59" s="468"/>
      <c r="SLG59" s="468"/>
      <c r="SLH59" s="468"/>
      <c r="SLI59" s="468"/>
      <c r="SLJ59" s="468"/>
      <c r="SLK59" s="468"/>
      <c r="SLL59" s="468"/>
      <c r="SLM59" s="468"/>
      <c r="SLN59" s="468"/>
      <c r="SLO59" s="468"/>
      <c r="SLP59" s="468"/>
      <c r="SLQ59" s="468"/>
      <c r="SLR59" s="468"/>
      <c r="SLS59" s="468"/>
      <c r="SLT59" s="468"/>
      <c r="SLU59" s="468"/>
      <c r="SLV59" s="468"/>
      <c r="SLW59" s="468"/>
      <c r="SLX59" s="468"/>
      <c r="SLY59" s="468"/>
      <c r="SLZ59" s="468"/>
      <c r="SMA59" s="468"/>
      <c r="SMB59" s="468"/>
      <c r="SMC59" s="468"/>
      <c r="SMD59" s="468"/>
      <c r="SME59" s="468"/>
      <c r="SMF59" s="468"/>
      <c r="SMG59" s="468"/>
      <c r="SMH59" s="468"/>
      <c r="SMI59" s="468"/>
      <c r="SMJ59" s="468"/>
      <c r="SMK59" s="468"/>
      <c r="SML59" s="468"/>
      <c r="SMM59" s="468"/>
      <c r="SMN59" s="468"/>
      <c r="SMO59" s="468"/>
      <c r="SMP59" s="468"/>
      <c r="SMQ59" s="468"/>
      <c r="SMR59" s="468"/>
      <c r="SMS59" s="468"/>
      <c r="SMT59" s="468"/>
      <c r="SMU59" s="468"/>
      <c r="SMV59" s="468"/>
      <c r="SMW59" s="468"/>
      <c r="SMX59" s="468"/>
      <c r="SMY59" s="468"/>
      <c r="SMZ59" s="468"/>
      <c r="SNA59" s="468"/>
      <c r="SNB59" s="468"/>
      <c r="SNC59" s="468"/>
      <c r="SND59" s="468"/>
      <c r="SNE59" s="468"/>
      <c r="SNF59" s="468"/>
      <c r="SNG59" s="468"/>
      <c r="SNH59" s="468"/>
      <c r="SNI59" s="468"/>
      <c r="SNJ59" s="468"/>
      <c r="SNK59" s="468"/>
      <c r="SNL59" s="468"/>
      <c r="SNM59" s="468"/>
      <c r="SNN59" s="468"/>
      <c r="SNO59" s="468"/>
      <c r="SNP59" s="468"/>
      <c r="SNQ59" s="468"/>
      <c r="SNR59" s="468"/>
      <c r="SNS59" s="468"/>
      <c r="SNT59" s="468"/>
      <c r="SNU59" s="468"/>
      <c r="SNV59" s="468"/>
      <c r="SNW59" s="468"/>
      <c r="SNX59" s="468"/>
      <c r="SNY59" s="468"/>
      <c r="SNZ59" s="468"/>
      <c r="SOA59" s="468"/>
      <c r="SOB59" s="468"/>
      <c r="SOC59" s="468"/>
      <c r="SOD59" s="468"/>
      <c r="SOE59" s="468"/>
      <c r="SOF59" s="468"/>
      <c r="SOG59" s="468"/>
      <c r="SOH59" s="468"/>
      <c r="SOI59" s="468"/>
      <c r="SOJ59" s="468"/>
      <c r="SOK59" s="468"/>
      <c r="SOL59" s="468"/>
      <c r="SOM59" s="468"/>
      <c r="SON59" s="468"/>
      <c r="SOO59" s="468"/>
      <c r="SOP59" s="468"/>
      <c r="SOQ59" s="468"/>
      <c r="SOR59" s="468"/>
      <c r="SOS59" s="468"/>
      <c r="SOT59" s="468"/>
      <c r="SOU59" s="468"/>
      <c r="SOV59" s="468"/>
      <c r="SOW59" s="468"/>
      <c r="SOX59" s="468"/>
      <c r="SOY59" s="468"/>
      <c r="SOZ59" s="468"/>
      <c r="SPA59" s="468"/>
      <c r="SPB59" s="468"/>
      <c r="SPC59" s="468"/>
      <c r="SPD59" s="468"/>
      <c r="SPE59" s="468"/>
      <c r="SPF59" s="468"/>
      <c r="SPG59" s="468"/>
      <c r="SPH59" s="468"/>
      <c r="SPI59" s="468"/>
      <c r="SPJ59" s="468"/>
      <c r="SPK59" s="468"/>
      <c r="SPL59" s="468"/>
      <c r="SPM59" s="468"/>
      <c r="SPN59" s="468"/>
      <c r="SPO59" s="468"/>
      <c r="SPP59" s="468"/>
      <c r="SPQ59" s="468"/>
      <c r="SPR59" s="468"/>
      <c r="SPS59" s="468"/>
      <c r="SPT59" s="468"/>
      <c r="SPU59" s="468"/>
      <c r="SPV59" s="468"/>
      <c r="SPW59" s="468"/>
      <c r="SPX59" s="468"/>
      <c r="SPY59" s="468"/>
      <c r="SPZ59" s="468"/>
      <c r="SQA59" s="468"/>
      <c r="SQB59" s="468"/>
      <c r="SQC59" s="468"/>
      <c r="SQD59" s="468"/>
      <c r="SQE59" s="468"/>
      <c r="SQF59" s="468"/>
      <c r="SQG59" s="468"/>
      <c r="SQH59" s="468"/>
      <c r="SQI59" s="468"/>
      <c r="SQJ59" s="468"/>
      <c r="SQK59" s="468"/>
      <c r="SQL59" s="468"/>
      <c r="SQM59" s="468"/>
      <c r="SQN59" s="468"/>
      <c r="SQO59" s="468"/>
      <c r="SQP59" s="468"/>
      <c r="SQQ59" s="468"/>
      <c r="SQR59" s="468"/>
      <c r="SQS59" s="468"/>
      <c r="SQT59" s="468"/>
      <c r="SQU59" s="468"/>
      <c r="SQV59" s="468"/>
      <c r="SQW59" s="468"/>
      <c r="SQX59" s="468"/>
      <c r="SQY59" s="468"/>
      <c r="SQZ59" s="468"/>
      <c r="SRA59" s="468"/>
      <c r="SRB59" s="468"/>
      <c r="SRC59" s="468"/>
      <c r="SRD59" s="468"/>
      <c r="SRE59" s="468"/>
      <c r="SRF59" s="468"/>
      <c r="SRG59" s="468"/>
      <c r="SRH59" s="468"/>
      <c r="SRI59" s="468"/>
      <c r="SRJ59" s="468"/>
      <c r="SRK59" s="468"/>
      <c r="SRL59" s="468"/>
      <c r="SRM59" s="468"/>
      <c r="SRN59" s="468"/>
      <c r="SRO59" s="468"/>
      <c r="SRP59" s="468"/>
      <c r="SRQ59" s="468"/>
      <c r="SRR59" s="468"/>
      <c r="SRS59" s="468"/>
      <c r="SRT59" s="468"/>
      <c r="SRU59" s="468"/>
      <c r="SRV59" s="468"/>
      <c r="SRW59" s="468"/>
      <c r="SRX59" s="468"/>
      <c r="SRY59" s="468"/>
      <c r="SRZ59" s="468"/>
      <c r="SSA59" s="468"/>
      <c r="SSB59" s="468"/>
      <c r="SSC59" s="468"/>
      <c r="SSD59" s="468"/>
      <c r="SSE59" s="468"/>
      <c r="SSF59" s="468"/>
      <c r="SSG59" s="468"/>
      <c r="SSH59" s="468"/>
      <c r="SSI59" s="468"/>
      <c r="SSJ59" s="468"/>
      <c r="SSK59" s="468"/>
      <c r="SSL59" s="468"/>
      <c r="SSM59" s="468"/>
      <c r="SSN59" s="468"/>
      <c r="SSO59" s="468"/>
      <c r="SSP59" s="468"/>
      <c r="SSQ59" s="468"/>
      <c r="SSR59" s="468"/>
      <c r="SSS59" s="468"/>
      <c r="SST59" s="468"/>
      <c r="SSU59" s="468"/>
      <c r="SSV59" s="468"/>
      <c r="SSW59" s="468"/>
      <c r="SSX59" s="468"/>
      <c r="SSY59" s="468"/>
      <c r="SSZ59" s="468"/>
      <c r="STA59" s="468"/>
      <c r="STB59" s="468"/>
      <c r="STC59" s="468"/>
      <c r="STD59" s="468"/>
      <c r="STE59" s="468"/>
      <c r="STF59" s="468"/>
      <c r="STG59" s="468"/>
      <c r="STH59" s="468"/>
      <c r="STI59" s="468"/>
      <c r="STJ59" s="468"/>
      <c r="STK59" s="468"/>
      <c r="STL59" s="468"/>
      <c r="STM59" s="468"/>
      <c r="STN59" s="468"/>
      <c r="STO59" s="468"/>
      <c r="STP59" s="468"/>
      <c r="STQ59" s="468"/>
      <c r="STR59" s="468"/>
      <c r="STS59" s="468"/>
      <c r="STT59" s="468"/>
      <c r="STU59" s="468"/>
      <c r="STV59" s="468"/>
      <c r="STW59" s="468"/>
      <c r="STX59" s="468"/>
      <c r="STY59" s="468"/>
      <c r="STZ59" s="468"/>
      <c r="SUA59" s="468"/>
      <c r="SUB59" s="468"/>
      <c r="SUC59" s="468"/>
      <c r="SUD59" s="468"/>
      <c r="SUE59" s="468"/>
      <c r="SUF59" s="468"/>
      <c r="SUG59" s="468"/>
      <c r="SUH59" s="468"/>
      <c r="SUI59" s="468"/>
      <c r="SUJ59" s="468"/>
      <c r="SUK59" s="468"/>
      <c r="SUL59" s="468"/>
      <c r="SUM59" s="468"/>
      <c r="SUN59" s="468"/>
      <c r="SUO59" s="468"/>
      <c r="SUP59" s="468"/>
      <c r="SUQ59" s="468"/>
      <c r="SUR59" s="468"/>
      <c r="SUS59" s="468"/>
      <c r="SUT59" s="468"/>
      <c r="SUU59" s="468"/>
      <c r="SUV59" s="468"/>
      <c r="SUW59" s="468"/>
      <c r="SUX59" s="468"/>
      <c r="SUY59" s="468"/>
      <c r="SUZ59" s="468"/>
      <c r="SVA59" s="468"/>
      <c r="SVB59" s="468"/>
      <c r="SVC59" s="468"/>
      <c r="SVD59" s="468"/>
      <c r="SVE59" s="468"/>
      <c r="SVF59" s="468"/>
      <c r="SVG59" s="468"/>
      <c r="SVH59" s="468"/>
      <c r="SVI59" s="468"/>
      <c r="SVJ59" s="468"/>
      <c r="SVK59" s="468"/>
      <c r="SVL59" s="468"/>
      <c r="SVM59" s="468"/>
      <c r="SVN59" s="468"/>
      <c r="SVO59" s="468"/>
      <c r="SVP59" s="468"/>
      <c r="SVQ59" s="468"/>
      <c r="SVR59" s="468"/>
      <c r="SVS59" s="468"/>
      <c r="SVT59" s="468"/>
      <c r="SVU59" s="468"/>
      <c r="SVV59" s="468"/>
      <c r="SVW59" s="468"/>
      <c r="SVX59" s="468"/>
      <c r="SVY59" s="468"/>
      <c r="SVZ59" s="468"/>
      <c r="SWA59" s="468"/>
      <c r="SWB59" s="468"/>
      <c r="SWC59" s="468"/>
      <c r="SWD59" s="468"/>
      <c r="SWE59" s="468"/>
      <c r="SWF59" s="468"/>
      <c r="SWG59" s="468"/>
      <c r="SWH59" s="468"/>
      <c r="SWI59" s="468"/>
      <c r="SWJ59" s="468"/>
      <c r="SWK59" s="468"/>
      <c r="SWL59" s="468"/>
      <c r="SWM59" s="468"/>
      <c r="SWN59" s="468"/>
      <c r="SWO59" s="468"/>
      <c r="SWP59" s="468"/>
      <c r="SWQ59" s="468"/>
      <c r="SWR59" s="468"/>
      <c r="SWS59" s="468"/>
      <c r="SWT59" s="468"/>
      <c r="SWU59" s="468"/>
      <c r="SWV59" s="468"/>
      <c r="SWW59" s="468"/>
      <c r="SWX59" s="468"/>
      <c r="SWY59" s="468"/>
      <c r="SWZ59" s="468"/>
      <c r="SXA59" s="468"/>
      <c r="SXB59" s="468"/>
      <c r="SXC59" s="468"/>
      <c r="SXD59" s="468"/>
      <c r="SXE59" s="468"/>
      <c r="SXF59" s="468"/>
      <c r="SXG59" s="468"/>
      <c r="SXH59" s="468"/>
      <c r="SXI59" s="468"/>
      <c r="SXJ59" s="468"/>
      <c r="SXK59" s="468"/>
      <c r="SXL59" s="468"/>
      <c r="SXM59" s="468"/>
      <c r="SXN59" s="468"/>
      <c r="SXO59" s="468"/>
      <c r="SXP59" s="468"/>
      <c r="SXQ59" s="468"/>
      <c r="SXR59" s="468"/>
      <c r="SXS59" s="468"/>
      <c r="SXT59" s="468"/>
      <c r="SXU59" s="468"/>
      <c r="SXV59" s="468"/>
      <c r="SXW59" s="468"/>
      <c r="SXX59" s="468"/>
      <c r="SXY59" s="468"/>
      <c r="SXZ59" s="468"/>
      <c r="SYA59" s="468"/>
      <c r="SYB59" s="468"/>
      <c r="SYC59" s="468"/>
      <c r="SYD59" s="468"/>
      <c r="SYE59" s="468"/>
      <c r="SYF59" s="468"/>
      <c r="SYG59" s="468"/>
      <c r="SYH59" s="468"/>
      <c r="SYI59" s="468"/>
      <c r="SYJ59" s="468"/>
      <c r="SYK59" s="468"/>
      <c r="SYL59" s="468"/>
      <c r="SYM59" s="468"/>
      <c r="SYN59" s="468"/>
      <c r="SYO59" s="468"/>
      <c r="SYP59" s="468"/>
      <c r="SYQ59" s="468"/>
      <c r="SYR59" s="468"/>
      <c r="SYS59" s="468"/>
      <c r="SYT59" s="468"/>
      <c r="SYU59" s="468"/>
      <c r="SYV59" s="468"/>
      <c r="SYW59" s="468"/>
      <c r="SYX59" s="468"/>
      <c r="SYY59" s="468"/>
      <c r="SYZ59" s="468"/>
      <c r="SZA59" s="468"/>
      <c r="SZB59" s="468"/>
      <c r="SZC59" s="468"/>
      <c r="SZD59" s="468"/>
      <c r="SZE59" s="468"/>
      <c r="SZF59" s="468"/>
      <c r="SZG59" s="468"/>
      <c r="SZH59" s="468"/>
      <c r="SZI59" s="468"/>
      <c r="SZJ59" s="468"/>
      <c r="SZK59" s="468"/>
      <c r="SZL59" s="468"/>
      <c r="SZM59" s="468"/>
      <c r="SZN59" s="468"/>
      <c r="SZO59" s="468"/>
      <c r="SZP59" s="468"/>
      <c r="SZQ59" s="468"/>
      <c r="SZR59" s="468"/>
      <c r="SZS59" s="468"/>
      <c r="SZT59" s="468"/>
      <c r="SZU59" s="468"/>
      <c r="SZV59" s="468"/>
      <c r="SZW59" s="468"/>
      <c r="SZX59" s="468"/>
      <c r="SZY59" s="468"/>
      <c r="SZZ59" s="468"/>
      <c r="TAA59" s="468"/>
      <c r="TAB59" s="468"/>
      <c r="TAC59" s="468"/>
      <c r="TAD59" s="468"/>
      <c r="TAE59" s="468"/>
      <c r="TAF59" s="468"/>
      <c r="TAG59" s="468"/>
      <c r="TAH59" s="468"/>
      <c r="TAI59" s="468"/>
      <c r="TAJ59" s="468"/>
      <c r="TAK59" s="468"/>
      <c r="TAL59" s="468"/>
      <c r="TAM59" s="468"/>
      <c r="TAN59" s="468"/>
      <c r="TAO59" s="468"/>
      <c r="TAP59" s="468"/>
      <c r="TAQ59" s="468"/>
      <c r="TAR59" s="468"/>
      <c r="TAS59" s="468"/>
      <c r="TAT59" s="468"/>
      <c r="TAU59" s="468"/>
      <c r="TAV59" s="468"/>
      <c r="TAW59" s="468"/>
      <c r="TAX59" s="468"/>
      <c r="TAY59" s="468"/>
      <c r="TAZ59" s="468"/>
      <c r="TBA59" s="468"/>
      <c r="TBB59" s="468"/>
      <c r="TBC59" s="468"/>
      <c r="TBD59" s="468"/>
      <c r="TBE59" s="468"/>
      <c r="TBF59" s="468"/>
      <c r="TBG59" s="468"/>
      <c r="TBH59" s="468"/>
      <c r="TBI59" s="468"/>
      <c r="TBJ59" s="468"/>
      <c r="TBK59" s="468"/>
      <c r="TBL59" s="468"/>
      <c r="TBM59" s="468"/>
      <c r="TBN59" s="468"/>
      <c r="TBO59" s="468"/>
      <c r="TBP59" s="468"/>
      <c r="TBQ59" s="468"/>
      <c r="TBR59" s="468"/>
      <c r="TBS59" s="468"/>
      <c r="TBT59" s="468"/>
      <c r="TBU59" s="468"/>
      <c r="TBV59" s="468"/>
      <c r="TBW59" s="468"/>
      <c r="TBX59" s="468"/>
      <c r="TBY59" s="468"/>
      <c r="TBZ59" s="468"/>
      <c r="TCA59" s="468"/>
      <c r="TCB59" s="468"/>
      <c r="TCC59" s="468"/>
      <c r="TCD59" s="468"/>
      <c r="TCE59" s="468"/>
      <c r="TCF59" s="468"/>
      <c r="TCG59" s="468"/>
      <c r="TCH59" s="468"/>
      <c r="TCI59" s="468"/>
      <c r="TCJ59" s="468"/>
      <c r="TCK59" s="468"/>
      <c r="TCL59" s="468"/>
      <c r="TCM59" s="468"/>
      <c r="TCN59" s="468"/>
      <c r="TCO59" s="468"/>
      <c r="TCP59" s="468"/>
      <c r="TCQ59" s="468"/>
      <c r="TCR59" s="468"/>
      <c r="TCS59" s="468"/>
      <c r="TCT59" s="468"/>
      <c r="TCU59" s="468"/>
      <c r="TCV59" s="468"/>
      <c r="TCW59" s="468"/>
      <c r="TCX59" s="468"/>
      <c r="TCY59" s="468"/>
      <c r="TCZ59" s="468"/>
      <c r="TDA59" s="468"/>
      <c r="TDB59" s="468"/>
      <c r="TDC59" s="468"/>
      <c r="TDD59" s="468"/>
      <c r="TDE59" s="468"/>
      <c r="TDF59" s="468"/>
      <c r="TDG59" s="468"/>
      <c r="TDH59" s="468"/>
      <c r="TDI59" s="468"/>
      <c r="TDJ59" s="468"/>
      <c r="TDK59" s="468"/>
      <c r="TDL59" s="468"/>
      <c r="TDM59" s="468"/>
      <c r="TDN59" s="468"/>
      <c r="TDO59" s="468"/>
      <c r="TDP59" s="468"/>
      <c r="TDQ59" s="468"/>
      <c r="TDR59" s="468"/>
      <c r="TDS59" s="468"/>
      <c r="TDT59" s="468"/>
      <c r="TDU59" s="468"/>
      <c r="TDV59" s="468"/>
      <c r="TDW59" s="468"/>
      <c r="TDX59" s="468"/>
      <c r="TDY59" s="468"/>
      <c r="TDZ59" s="468"/>
      <c r="TEA59" s="468"/>
      <c r="TEB59" s="468"/>
      <c r="TEC59" s="468"/>
      <c r="TED59" s="468"/>
      <c r="TEE59" s="468"/>
      <c r="TEF59" s="468"/>
      <c r="TEG59" s="468"/>
      <c r="TEH59" s="468"/>
      <c r="TEI59" s="468"/>
      <c r="TEJ59" s="468"/>
      <c r="TEK59" s="468"/>
      <c r="TEL59" s="468"/>
      <c r="TEM59" s="468"/>
      <c r="TEN59" s="468"/>
      <c r="TEO59" s="468"/>
      <c r="TEP59" s="468"/>
      <c r="TEQ59" s="468"/>
      <c r="TER59" s="468"/>
      <c r="TES59" s="468"/>
      <c r="TET59" s="468"/>
      <c r="TEU59" s="468"/>
      <c r="TEV59" s="468"/>
      <c r="TEW59" s="468"/>
      <c r="TEX59" s="468"/>
      <c r="TEY59" s="468"/>
      <c r="TEZ59" s="468"/>
      <c r="TFA59" s="468"/>
      <c r="TFB59" s="468"/>
      <c r="TFC59" s="468"/>
      <c r="TFD59" s="468"/>
      <c r="TFE59" s="468"/>
      <c r="TFF59" s="468"/>
      <c r="TFG59" s="468"/>
      <c r="TFH59" s="468"/>
      <c r="TFI59" s="468"/>
      <c r="TFJ59" s="468"/>
      <c r="TFK59" s="468"/>
      <c r="TFL59" s="468"/>
      <c r="TFM59" s="468"/>
      <c r="TFN59" s="468"/>
      <c r="TFO59" s="468"/>
      <c r="TFP59" s="468"/>
      <c r="TFQ59" s="468"/>
      <c r="TFR59" s="468"/>
      <c r="TFS59" s="468"/>
      <c r="TFT59" s="468"/>
      <c r="TFU59" s="468"/>
      <c r="TFV59" s="468"/>
      <c r="TFW59" s="468"/>
      <c r="TFX59" s="468"/>
      <c r="TFY59" s="468"/>
      <c r="TFZ59" s="468"/>
      <c r="TGA59" s="468"/>
      <c r="TGB59" s="468"/>
      <c r="TGC59" s="468"/>
      <c r="TGD59" s="468"/>
      <c r="TGE59" s="468"/>
      <c r="TGF59" s="468"/>
      <c r="TGG59" s="468"/>
      <c r="TGH59" s="468"/>
      <c r="TGI59" s="468"/>
      <c r="TGJ59" s="468"/>
      <c r="TGK59" s="468"/>
      <c r="TGL59" s="468"/>
      <c r="TGM59" s="468"/>
      <c r="TGN59" s="468"/>
      <c r="TGO59" s="468"/>
      <c r="TGP59" s="468"/>
      <c r="TGQ59" s="468"/>
      <c r="TGR59" s="468"/>
      <c r="TGS59" s="468"/>
      <c r="TGT59" s="468"/>
      <c r="TGU59" s="468"/>
      <c r="TGV59" s="468"/>
      <c r="TGW59" s="468"/>
      <c r="TGX59" s="468"/>
      <c r="TGY59" s="468"/>
      <c r="TGZ59" s="468"/>
      <c r="THA59" s="468"/>
      <c r="THB59" s="468"/>
      <c r="THC59" s="468"/>
      <c r="THD59" s="468"/>
      <c r="THE59" s="468"/>
      <c r="THF59" s="468"/>
      <c r="THG59" s="468"/>
      <c r="THH59" s="468"/>
      <c r="THI59" s="468"/>
      <c r="THJ59" s="468"/>
      <c r="THK59" s="468"/>
      <c r="THL59" s="468"/>
      <c r="THM59" s="468"/>
      <c r="THN59" s="468"/>
      <c r="THO59" s="468"/>
      <c r="THP59" s="468"/>
      <c r="THQ59" s="468"/>
      <c r="THR59" s="468"/>
      <c r="THS59" s="468"/>
      <c r="THT59" s="468"/>
      <c r="THU59" s="468"/>
      <c r="THV59" s="468"/>
      <c r="THW59" s="468"/>
      <c r="THX59" s="468"/>
      <c r="THY59" s="468"/>
      <c r="THZ59" s="468"/>
      <c r="TIA59" s="468"/>
      <c r="TIB59" s="468"/>
      <c r="TIC59" s="468"/>
      <c r="TID59" s="468"/>
      <c r="TIE59" s="468"/>
      <c r="TIF59" s="468"/>
      <c r="TIG59" s="468"/>
      <c r="TIH59" s="468"/>
      <c r="TII59" s="468"/>
      <c r="TIJ59" s="468"/>
      <c r="TIK59" s="468"/>
      <c r="TIL59" s="468"/>
      <c r="TIM59" s="468"/>
      <c r="TIN59" s="468"/>
      <c r="TIO59" s="468"/>
      <c r="TIP59" s="468"/>
      <c r="TIQ59" s="468"/>
      <c r="TIR59" s="468"/>
      <c r="TIS59" s="468"/>
      <c r="TIT59" s="468"/>
      <c r="TIU59" s="468"/>
      <c r="TIV59" s="468"/>
      <c r="TIW59" s="468"/>
      <c r="TIX59" s="468"/>
      <c r="TIY59" s="468"/>
      <c r="TIZ59" s="468"/>
      <c r="TJA59" s="468"/>
      <c r="TJB59" s="468"/>
      <c r="TJC59" s="468"/>
      <c r="TJD59" s="468"/>
      <c r="TJE59" s="468"/>
      <c r="TJF59" s="468"/>
      <c r="TJG59" s="468"/>
      <c r="TJH59" s="468"/>
      <c r="TJI59" s="468"/>
      <c r="TJJ59" s="468"/>
      <c r="TJK59" s="468"/>
      <c r="TJL59" s="468"/>
      <c r="TJM59" s="468"/>
      <c r="TJN59" s="468"/>
      <c r="TJO59" s="468"/>
      <c r="TJP59" s="468"/>
      <c r="TJQ59" s="468"/>
      <c r="TJR59" s="468"/>
      <c r="TJS59" s="468"/>
      <c r="TJT59" s="468"/>
      <c r="TJU59" s="468"/>
      <c r="TJV59" s="468"/>
      <c r="TJW59" s="468"/>
      <c r="TJX59" s="468"/>
      <c r="TJY59" s="468"/>
      <c r="TJZ59" s="468"/>
      <c r="TKA59" s="468"/>
      <c r="TKB59" s="468"/>
      <c r="TKC59" s="468"/>
      <c r="TKD59" s="468"/>
      <c r="TKE59" s="468"/>
      <c r="TKF59" s="468"/>
      <c r="TKG59" s="468"/>
      <c r="TKH59" s="468"/>
      <c r="TKI59" s="468"/>
      <c r="TKJ59" s="468"/>
      <c r="TKK59" s="468"/>
      <c r="TKL59" s="468"/>
      <c r="TKM59" s="468"/>
      <c r="TKN59" s="468"/>
      <c r="TKO59" s="468"/>
      <c r="TKP59" s="468"/>
      <c r="TKQ59" s="468"/>
      <c r="TKR59" s="468"/>
      <c r="TKS59" s="468"/>
      <c r="TKT59" s="468"/>
      <c r="TKU59" s="468"/>
      <c r="TKV59" s="468"/>
      <c r="TKW59" s="468"/>
      <c r="TKX59" s="468"/>
      <c r="TKY59" s="468"/>
      <c r="TKZ59" s="468"/>
      <c r="TLA59" s="468"/>
      <c r="TLB59" s="468"/>
      <c r="TLC59" s="468"/>
      <c r="TLD59" s="468"/>
      <c r="TLE59" s="468"/>
      <c r="TLF59" s="468"/>
      <c r="TLG59" s="468"/>
      <c r="TLH59" s="468"/>
      <c r="TLI59" s="468"/>
      <c r="TLJ59" s="468"/>
      <c r="TLK59" s="468"/>
      <c r="TLL59" s="468"/>
      <c r="TLM59" s="468"/>
      <c r="TLN59" s="468"/>
      <c r="TLO59" s="468"/>
      <c r="TLP59" s="468"/>
      <c r="TLQ59" s="468"/>
      <c r="TLR59" s="468"/>
      <c r="TLS59" s="468"/>
      <c r="TLT59" s="468"/>
      <c r="TLU59" s="468"/>
      <c r="TLV59" s="468"/>
      <c r="TLW59" s="468"/>
      <c r="TLX59" s="468"/>
      <c r="TLY59" s="468"/>
      <c r="TLZ59" s="468"/>
      <c r="TMA59" s="468"/>
      <c r="TMB59" s="468"/>
      <c r="TMC59" s="468"/>
      <c r="TMD59" s="468"/>
      <c r="TME59" s="468"/>
      <c r="TMF59" s="468"/>
      <c r="TMG59" s="468"/>
      <c r="TMH59" s="468"/>
      <c r="TMI59" s="468"/>
      <c r="TMJ59" s="468"/>
      <c r="TMK59" s="468"/>
      <c r="TML59" s="468"/>
      <c r="TMM59" s="468"/>
      <c r="TMN59" s="468"/>
      <c r="TMO59" s="468"/>
      <c r="TMP59" s="468"/>
      <c r="TMQ59" s="468"/>
      <c r="TMR59" s="468"/>
      <c r="TMS59" s="468"/>
      <c r="TMT59" s="468"/>
      <c r="TMU59" s="468"/>
      <c r="TMV59" s="468"/>
      <c r="TMW59" s="468"/>
      <c r="TMX59" s="468"/>
      <c r="TMY59" s="468"/>
      <c r="TMZ59" s="468"/>
      <c r="TNA59" s="468"/>
      <c r="TNB59" s="468"/>
      <c r="TNC59" s="468"/>
      <c r="TND59" s="468"/>
      <c r="TNE59" s="468"/>
      <c r="TNF59" s="468"/>
      <c r="TNG59" s="468"/>
      <c r="TNH59" s="468"/>
      <c r="TNI59" s="468"/>
      <c r="TNJ59" s="468"/>
      <c r="TNK59" s="468"/>
      <c r="TNL59" s="468"/>
      <c r="TNM59" s="468"/>
      <c r="TNN59" s="468"/>
      <c r="TNO59" s="468"/>
      <c r="TNP59" s="468"/>
      <c r="TNQ59" s="468"/>
      <c r="TNR59" s="468"/>
      <c r="TNS59" s="468"/>
      <c r="TNT59" s="468"/>
      <c r="TNU59" s="468"/>
      <c r="TNV59" s="468"/>
      <c r="TNW59" s="468"/>
      <c r="TNX59" s="468"/>
      <c r="TNY59" s="468"/>
      <c r="TNZ59" s="468"/>
      <c r="TOA59" s="468"/>
      <c r="TOB59" s="468"/>
      <c r="TOC59" s="468"/>
      <c r="TOD59" s="468"/>
      <c r="TOE59" s="468"/>
      <c r="TOF59" s="468"/>
      <c r="TOG59" s="468"/>
      <c r="TOH59" s="468"/>
      <c r="TOI59" s="468"/>
      <c r="TOJ59" s="468"/>
      <c r="TOK59" s="468"/>
      <c r="TOL59" s="468"/>
      <c r="TOM59" s="468"/>
      <c r="TON59" s="468"/>
      <c r="TOO59" s="468"/>
      <c r="TOP59" s="468"/>
      <c r="TOQ59" s="468"/>
      <c r="TOR59" s="468"/>
      <c r="TOS59" s="468"/>
      <c r="TOT59" s="468"/>
      <c r="TOU59" s="468"/>
      <c r="TOV59" s="468"/>
      <c r="TOW59" s="468"/>
      <c r="TOX59" s="468"/>
      <c r="TOY59" s="468"/>
      <c r="TOZ59" s="468"/>
      <c r="TPA59" s="468"/>
      <c r="TPB59" s="468"/>
      <c r="TPC59" s="468"/>
      <c r="TPD59" s="468"/>
      <c r="TPE59" s="468"/>
      <c r="TPF59" s="468"/>
      <c r="TPG59" s="468"/>
      <c r="TPH59" s="468"/>
      <c r="TPI59" s="468"/>
      <c r="TPJ59" s="468"/>
      <c r="TPK59" s="468"/>
      <c r="TPL59" s="468"/>
      <c r="TPM59" s="468"/>
      <c r="TPN59" s="468"/>
      <c r="TPO59" s="468"/>
      <c r="TPP59" s="468"/>
      <c r="TPQ59" s="468"/>
      <c r="TPR59" s="468"/>
      <c r="TPS59" s="468"/>
      <c r="TPT59" s="468"/>
      <c r="TPU59" s="468"/>
      <c r="TPV59" s="468"/>
      <c r="TPW59" s="468"/>
      <c r="TPX59" s="468"/>
      <c r="TPY59" s="468"/>
      <c r="TPZ59" s="468"/>
      <c r="TQA59" s="468"/>
      <c r="TQB59" s="468"/>
      <c r="TQC59" s="468"/>
      <c r="TQD59" s="468"/>
      <c r="TQE59" s="468"/>
      <c r="TQF59" s="468"/>
      <c r="TQG59" s="468"/>
      <c r="TQH59" s="468"/>
      <c r="TQI59" s="468"/>
      <c r="TQJ59" s="468"/>
      <c r="TQK59" s="468"/>
      <c r="TQL59" s="468"/>
      <c r="TQM59" s="468"/>
      <c r="TQN59" s="468"/>
      <c r="TQO59" s="468"/>
      <c r="TQP59" s="468"/>
      <c r="TQQ59" s="468"/>
      <c r="TQR59" s="468"/>
      <c r="TQS59" s="468"/>
      <c r="TQT59" s="468"/>
      <c r="TQU59" s="468"/>
      <c r="TQV59" s="468"/>
      <c r="TQW59" s="468"/>
      <c r="TQX59" s="468"/>
      <c r="TQY59" s="468"/>
      <c r="TQZ59" s="468"/>
      <c r="TRA59" s="468"/>
      <c r="TRB59" s="468"/>
      <c r="TRC59" s="468"/>
      <c r="TRD59" s="468"/>
      <c r="TRE59" s="468"/>
      <c r="TRF59" s="468"/>
      <c r="TRG59" s="468"/>
      <c r="TRH59" s="468"/>
      <c r="TRI59" s="468"/>
      <c r="TRJ59" s="468"/>
      <c r="TRK59" s="468"/>
      <c r="TRL59" s="468"/>
      <c r="TRM59" s="468"/>
      <c r="TRN59" s="468"/>
      <c r="TRO59" s="468"/>
      <c r="TRP59" s="468"/>
      <c r="TRQ59" s="468"/>
      <c r="TRR59" s="468"/>
      <c r="TRS59" s="468"/>
      <c r="TRT59" s="468"/>
      <c r="TRU59" s="468"/>
      <c r="TRV59" s="468"/>
      <c r="TRW59" s="468"/>
      <c r="TRX59" s="468"/>
      <c r="TRY59" s="468"/>
      <c r="TRZ59" s="468"/>
      <c r="TSA59" s="468"/>
      <c r="TSB59" s="468"/>
      <c r="TSC59" s="468"/>
      <c r="TSD59" s="468"/>
      <c r="TSE59" s="468"/>
      <c r="TSF59" s="468"/>
      <c r="TSG59" s="468"/>
      <c r="TSH59" s="468"/>
      <c r="TSI59" s="468"/>
      <c r="TSJ59" s="468"/>
      <c r="TSK59" s="468"/>
      <c r="TSL59" s="468"/>
      <c r="TSM59" s="468"/>
      <c r="TSN59" s="468"/>
      <c r="TSO59" s="468"/>
      <c r="TSP59" s="468"/>
      <c r="TSQ59" s="468"/>
      <c r="TSR59" s="468"/>
      <c r="TSS59" s="468"/>
      <c r="TST59" s="468"/>
      <c r="TSU59" s="468"/>
      <c r="TSV59" s="468"/>
      <c r="TSW59" s="468"/>
      <c r="TSX59" s="468"/>
      <c r="TSY59" s="468"/>
      <c r="TSZ59" s="468"/>
      <c r="TTA59" s="468"/>
      <c r="TTB59" s="468"/>
      <c r="TTC59" s="468"/>
      <c r="TTD59" s="468"/>
      <c r="TTE59" s="468"/>
      <c r="TTF59" s="468"/>
      <c r="TTG59" s="468"/>
      <c r="TTH59" s="468"/>
      <c r="TTI59" s="468"/>
      <c r="TTJ59" s="468"/>
      <c r="TTK59" s="468"/>
      <c r="TTL59" s="468"/>
      <c r="TTM59" s="468"/>
      <c r="TTN59" s="468"/>
      <c r="TTO59" s="468"/>
      <c r="TTP59" s="468"/>
      <c r="TTQ59" s="468"/>
      <c r="TTR59" s="468"/>
      <c r="TTS59" s="468"/>
      <c r="TTT59" s="468"/>
      <c r="TTU59" s="468"/>
      <c r="TTV59" s="468"/>
      <c r="TTW59" s="468"/>
      <c r="TTX59" s="468"/>
      <c r="TTY59" s="468"/>
      <c r="TTZ59" s="468"/>
      <c r="TUA59" s="468"/>
      <c r="TUB59" s="468"/>
      <c r="TUC59" s="468"/>
      <c r="TUD59" s="468"/>
      <c r="TUE59" s="468"/>
      <c r="TUF59" s="468"/>
      <c r="TUG59" s="468"/>
      <c r="TUH59" s="468"/>
      <c r="TUI59" s="468"/>
      <c r="TUJ59" s="468"/>
      <c r="TUK59" s="468"/>
      <c r="TUL59" s="468"/>
      <c r="TUM59" s="468"/>
      <c r="TUN59" s="468"/>
      <c r="TUO59" s="468"/>
      <c r="TUP59" s="468"/>
      <c r="TUQ59" s="468"/>
      <c r="TUR59" s="468"/>
      <c r="TUS59" s="468"/>
      <c r="TUT59" s="468"/>
      <c r="TUU59" s="468"/>
      <c r="TUV59" s="468"/>
      <c r="TUW59" s="468"/>
      <c r="TUX59" s="468"/>
      <c r="TUY59" s="468"/>
      <c r="TUZ59" s="468"/>
      <c r="TVA59" s="468"/>
      <c r="TVB59" s="468"/>
      <c r="TVC59" s="468"/>
      <c r="TVD59" s="468"/>
      <c r="TVE59" s="468"/>
      <c r="TVF59" s="468"/>
      <c r="TVG59" s="468"/>
      <c r="TVH59" s="468"/>
      <c r="TVI59" s="468"/>
      <c r="TVJ59" s="468"/>
      <c r="TVK59" s="468"/>
      <c r="TVL59" s="468"/>
      <c r="TVM59" s="468"/>
      <c r="TVN59" s="468"/>
      <c r="TVO59" s="468"/>
      <c r="TVP59" s="468"/>
      <c r="TVQ59" s="468"/>
      <c r="TVR59" s="468"/>
      <c r="TVS59" s="468"/>
      <c r="TVT59" s="468"/>
      <c r="TVU59" s="468"/>
      <c r="TVV59" s="468"/>
      <c r="TVW59" s="468"/>
      <c r="TVX59" s="468"/>
      <c r="TVY59" s="468"/>
      <c r="TVZ59" s="468"/>
      <c r="TWA59" s="468"/>
      <c r="TWB59" s="468"/>
      <c r="TWC59" s="468"/>
      <c r="TWD59" s="468"/>
      <c r="TWE59" s="468"/>
      <c r="TWF59" s="468"/>
      <c r="TWG59" s="468"/>
      <c r="TWH59" s="468"/>
      <c r="TWI59" s="468"/>
      <c r="TWJ59" s="468"/>
      <c r="TWK59" s="468"/>
      <c r="TWL59" s="468"/>
      <c r="TWM59" s="468"/>
      <c r="TWN59" s="468"/>
      <c r="TWO59" s="468"/>
      <c r="TWP59" s="468"/>
      <c r="TWQ59" s="468"/>
      <c r="TWR59" s="468"/>
      <c r="TWS59" s="468"/>
      <c r="TWT59" s="468"/>
      <c r="TWU59" s="468"/>
      <c r="TWV59" s="468"/>
      <c r="TWW59" s="468"/>
      <c r="TWX59" s="468"/>
      <c r="TWY59" s="468"/>
      <c r="TWZ59" s="468"/>
      <c r="TXA59" s="468"/>
      <c r="TXB59" s="468"/>
      <c r="TXC59" s="468"/>
      <c r="TXD59" s="468"/>
      <c r="TXE59" s="468"/>
      <c r="TXF59" s="468"/>
      <c r="TXG59" s="468"/>
      <c r="TXH59" s="468"/>
      <c r="TXI59" s="468"/>
      <c r="TXJ59" s="468"/>
      <c r="TXK59" s="468"/>
      <c r="TXL59" s="468"/>
      <c r="TXM59" s="468"/>
      <c r="TXN59" s="468"/>
      <c r="TXO59" s="468"/>
      <c r="TXP59" s="468"/>
      <c r="TXQ59" s="468"/>
      <c r="TXR59" s="468"/>
      <c r="TXS59" s="468"/>
      <c r="TXT59" s="468"/>
      <c r="TXU59" s="468"/>
      <c r="TXV59" s="468"/>
      <c r="TXW59" s="468"/>
      <c r="TXX59" s="468"/>
      <c r="TXY59" s="468"/>
      <c r="TXZ59" s="468"/>
      <c r="TYA59" s="468"/>
      <c r="TYB59" s="468"/>
      <c r="TYC59" s="468"/>
      <c r="TYD59" s="468"/>
      <c r="TYE59" s="468"/>
      <c r="TYF59" s="468"/>
      <c r="TYG59" s="468"/>
      <c r="TYH59" s="468"/>
      <c r="TYI59" s="468"/>
      <c r="TYJ59" s="468"/>
      <c r="TYK59" s="468"/>
      <c r="TYL59" s="468"/>
      <c r="TYM59" s="468"/>
      <c r="TYN59" s="468"/>
      <c r="TYO59" s="468"/>
      <c r="TYP59" s="468"/>
      <c r="TYQ59" s="468"/>
      <c r="TYR59" s="468"/>
      <c r="TYS59" s="468"/>
      <c r="TYT59" s="468"/>
      <c r="TYU59" s="468"/>
      <c r="TYV59" s="468"/>
      <c r="TYW59" s="468"/>
      <c r="TYX59" s="468"/>
      <c r="TYY59" s="468"/>
      <c r="TYZ59" s="468"/>
      <c r="TZA59" s="468"/>
      <c r="TZB59" s="468"/>
      <c r="TZC59" s="468"/>
      <c r="TZD59" s="468"/>
      <c r="TZE59" s="468"/>
      <c r="TZF59" s="468"/>
      <c r="TZG59" s="468"/>
      <c r="TZH59" s="468"/>
      <c r="TZI59" s="468"/>
      <c r="TZJ59" s="468"/>
      <c r="TZK59" s="468"/>
      <c r="TZL59" s="468"/>
      <c r="TZM59" s="468"/>
      <c r="TZN59" s="468"/>
      <c r="TZO59" s="468"/>
      <c r="TZP59" s="468"/>
      <c r="TZQ59" s="468"/>
      <c r="TZR59" s="468"/>
      <c r="TZS59" s="468"/>
      <c r="TZT59" s="468"/>
      <c r="TZU59" s="468"/>
      <c r="TZV59" s="468"/>
      <c r="TZW59" s="468"/>
      <c r="TZX59" s="468"/>
      <c r="TZY59" s="468"/>
      <c r="TZZ59" s="468"/>
      <c r="UAA59" s="468"/>
      <c r="UAB59" s="468"/>
      <c r="UAC59" s="468"/>
      <c r="UAD59" s="468"/>
      <c r="UAE59" s="468"/>
      <c r="UAF59" s="468"/>
      <c r="UAG59" s="468"/>
      <c r="UAH59" s="468"/>
      <c r="UAI59" s="468"/>
      <c r="UAJ59" s="468"/>
      <c r="UAK59" s="468"/>
      <c r="UAL59" s="468"/>
      <c r="UAM59" s="468"/>
      <c r="UAN59" s="468"/>
      <c r="UAO59" s="468"/>
      <c r="UAP59" s="468"/>
      <c r="UAQ59" s="468"/>
      <c r="UAR59" s="468"/>
      <c r="UAS59" s="468"/>
      <c r="UAT59" s="468"/>
      <c r="UAU59" s="468"/>
      <c r="UAV59" s="468"/>
      <c r="UAW59" s="468"/>
      <c r="UAX59" s="468"/>
      <c r="UAY59" s="468"/>
      <c r="UAZ59" s="468"/>
      <c r="UBA59" s="468"/>
      <c r="UBB59" s="468"/>
      <c r="UBC59" s="468"/>
      <c r="UBD59" s="468"/>
      <c r="UBE59" s="468"/>
      <c r="UBF59" s="468"/>
      <c r="UBG59" s="468"/>
      <c r="UBH59" s="468"/>
      <c r="UBI59" s="468"/>
      <c r="UBJ59" s="468"/>
      <c r="UBK59" s="468"/>
      <c r="UBL59" s="468"/>
      <c r="UBM59" s="468"/>
      <c r="UBN59" s="468"/>
      <c r="UBO59" s="468"/>
      <c r="UBP59" s="468"/>
      <c r="UBQ59" s="468"/>
      <c r="UBR59" s="468"/>
      <c r="UBS59" s="468"/>
      <c r="UBT59" s="468"/>
      <c r="UBU59" s="468"/>
      <c r="UBV59" s="468"/>
      <c r="UBW59" s="468"/>
      <c r="UBX59" s="468"/>
      <c r="UBY59" s="468"/>
      <c r="UBZ59" s="468"/>
      <c r="UCA59" s="468"/>
      <c r="UCB59" s="468"/>
      <c r="UCC59" s="468"/>
      <c r="UCD59" s="468"/>
      <c r="UCE59" s="468"/>
      <c r="UCF59" s="468"/>
      <c r="UCG59" s="468"/>
      <c r="UCH59" s="468"/>
      <c r="UCI59" s="468"/>
      <c r="UCJ59" s="468"/>
      <c r="UCK59" s="468"/>
      <c r="UCL59" s="468"/>
      <c r="UCM59" s="468"/>
      <c r="UCN59" s="468"/>
      <c r="UCO59" s="468"/>
      <c r="UCP59" s="468"/>
      <c r="UCQ59" s="468"/>
      <c r="UCR59" s="468"/>
      <c r="UCS59" s="468"/>
      <c r="UCT59" s="468"/>
      <c r="UCU59" s="468"/>
      <c r="UCV59" s="468"/>
      <c r="UCW59" s="468"/>
      <c r="UCX59" s="468"/>
      <c r="UCY59" s="468"/>
      <c r="UCZ59" s="468"/>
      <c r="UDA59" s="468"/>
      <c r="UDB59" s="468"/>
      <c r="UDC59" s="468"/>
      <c r="UDD59" s="468"/>
      <c r="UDE59" s="468"/>
      <c r="UDF59" s="468"/>
      <c r="UDG59" s="468"/>
      <c r="UDH59" s="468"/>
      <c r="UDI59" s="468"/>
      <c r="UDJ59" s="468"/>
      <c r="UDK59" s="468"/>
      <c r="UDL59" s="468"/>
      <c r="UDM59" s="468"/>
      <c r="UDN59" s="468"/>
      <c r="UDO59" s="468"/>
      <c r="UDP59" s="468"/>
      <c r="UDQ59" s="468"/>
      <c r="UDR59" s="468"/>
      <c r="UDS59" s="468"/>
      <c r="UDT59" s="468"/>
      <c r="UDU59" s="468"/>
      <c r="UDV59" s="468"/>
      <c r="UDW59" s="468"/>
      <c r="UDX59" s="468"/>
      <c r="UDY59" s="468"/>
      <c r="UDZ59" s="468"/>
      <c r="UEA59" s="468"/>
      <c r="UEB59" s="468"/>
      <c r="UEC59" s="468"/>
      <c r="UED59" s="468"/>
      <c r="UEE59" s="468"/>
      <c r="UEF59" s="468"/>
      <c r="UEG59" s="468"/>
      <c r="UEH59" s="468"/>
      <c r="UEI59" s="468"/>
      <c r="UEJ59" s="468"/>
      <c r="UEK59" s="468"/>
      <c r="UEL59" s="468"/>
      <c r="UEM59" s="468"/>
      <c r="UEN59" s="468"/>
      <c r="UEO59" s="468"/>
      <c r="UEP59" s="468"/>
      <c r="UEQ59" s="468"/>
      <c r="UER59" s="468"/>
      <c r="UES59" s="468"/>
      <c r="UET59" s="468"/>
      <c r="UEU59" s="468"/>
      <c r="UEV59" s="468"/>
      <c r="UEW59" s="468"/>
      <c r="UEX59" s="468"/>
      <c r="UEY59" s="468"/>
      <c r="UEZ59" s="468"/>
      <c r="UFA59" s="468"/>
      <c r="UFB59" s="468"/>
      <c r="UFC59" s="468"/>
      <c r="UFD59" s="468"/>
      <c r="UFE59" s="468"/>
      <c r="UFF59" s="468"/>
      <c r="UFG59" s="468"/>
      <c r="UFH59" s="468"/>
      <c r="UFI59" s="468"/>
      <c r="UFJ59" s="468"/>
      <c r="UFK59" s="468"/>
      <c r="UFL59" s="468"/>
      <c r="UFM59" s="468"/>
      <c r="UFN59" s="468"/>
      <c r="UFO59" s="468"/>
      <c r="UFP59" s="468"/>
      <c r="UFQ59" s="468"/>
      <c r="UFR59" s="468"/>
      <c r="UFS59" s="468"/>
      <c r="UFT59" s="468"/>
      <c r="UFU59" s="468"/>
      <c r="UFV59" s="468"/>
      <c r="UFW59" s="468"/>
      <c r="UFX59" s="468"/>
      <c r="UFY59" s="468"/>
      <c r="UFZ59" s="468"/>
      <c r="UGA59" s="468"/>
      <c r="UGB59" s="468"/>
      <c r="UGC59" s="468"/>
      <c r="UGD59" s="468"/>
      <c r="UGE59" s="468"/>
      <c r="UGF59" s="468"/>
      <c r="UGG59" s="468"/>
      <c r="UGH59" s="468"/>
      <c r="UGI59" s="468"/>
      <c r="UGJ59" s="468"/>
      <c r="UGK59" s="468"/>
      <c r="UGL59" s="468"/>
      <c r="UGM59" s="468"/>
      <c r="UGN59" s="468"/>
      <c r="UGO59" s="468"/>
      <c r="UGP59" s="468"/>
      <c r="UGQ59" s="468"/>
      <c r="UGR59" s="468"/>
      <c r="UGS59" s="468"/>
      <c r="UGT59" s="468"/>
      <c r="UGU59" s="468"/>
      <c r="UGV59" s="468"/>
      <c r="UGW59" s="468"/>
      <c r="UGX59" s="468"/>
      <c r="UGY59" s="468"/>
      <c r="UGZ59" s="468"/>
      <c r="UHA59" s="468"/>
      <c r="UHB59" s="468"/>
      <c r="UHC59" s="468"/>
      <c r="UHD59" s="468"/>
      <c r="UHE59" s="468"/>
      <c r="UHF59" s="468"/>
      <c r="UHG59" s="468"/>
      <c r="UHH59" s="468"/>
      <c r="UHI59" s="468"/>
      <c r="UHJ59" s="468"/>
      <c r="UHK59" s="468"/>
      <c r="UHL59" s="468"/>
      <c r="UHM59" s="468"/>
      <c r="UHN59" s="468"/>
      <c r="UHO59" s="468"/>
      <c r="UHP59" s="468"/>
      <c r="UHQ59" s="468"/>
      <c r="UHR59" s="468"/>
      <c r="UHS59" s="468"/>
      <c r="UHT59" s="468"/>
      <c r="UHU59" s="468"/>
      <c r="UHV59" s="468"/>
      <c r="UHW59" s="468"/>
      <c r="UHX59" s="468"/>
      <c r="UHY59" s="468"/>
      <c r="UHZ59" s="468"/>
      <c r="UIA59" s="468"/>
      <c r="UIB59" s="468"/>
      <c r="UIC59" s="468"/>
      <c r="UID59" s="468"/>
      <c r="UIE59" s="468"/>
      <c r="UIF59" s="468"/>
      <c r="UIG59" s="468"/>
      <c r="UIH59" s="468"/>
      <c r="UII59" s="468"/>
      <c r="UIJ59" s="468"/>
      <c r="UIK59" s="468"/>
      <c r="UIL59" s="468"/>
      <c r="UIM59" s="468"/>
      <c r="UIN59" s="468"/>
      <c r="UIO59" s="468"/>
      <c r="UIP59" s="468"/>
      <c r="UIQ59" s="468"/>
      <c r="UIR59" s="468"/>
      <c r="UIS59" s="468"/>
      <c r="UIT59" s="468"/>
      <c r="UIU59" s="468"/>
      <c r="UIV59" s="468"/>
      <c r="UIW59" s="468"/>
      <c r="UIX59" s="468"/>
      <c r="UIY59" s="468"/>
      <c r="UIZ59" s="468"/>
      <c r="UJA59" s="468"/>
      <c r="UJB59" s="468"/>
      <c r="UJC59" s="468"/>
      <c r="UJD59" s="468"/>
      <c r="UJE59" s="468"/>
      <c r="UJF59" s="468"/>
      <c r="UJG59" s="468"/>
      <c r="UJH59" s="468"/>
      <c r="UJI59" s="468"/>
      <c r="UJJ59" s="468"/>
      <c r="UJK59" s="468"/>
      <c r="UJL59" s="468"/>
      <c r="UJM59" s="468"/>
      <c r="UJN59" s="468"/>
      <c r="UJO59" s="468"/>
      <c r="UJP59" s="468"/>
      <c r="UJQ59" s="468"/>
      <c r="UJR59" s="468"/>
      <c r="UJS59" s="468"/>
      <c r="UJT59" s="468"/>
      <c r="UJU59" s="468"/>
      <c r="UJV59" s="468"/>
      <c r="UJW59" s="468"/>
      <c r="UJX59" s="468"/>
      <c r="UJY59" s="468"/>
      <c r="UJZ59" s="468"/>
      <c r="UKA59" s="468"/>
      <c r="UKB59" s="468"/>
      <c r="UKC59" s="468"/>
      <c r="UKD59" s="468"/>
      <c r="UKE59" s="468"/>
      <c r="UKF59" s="468"/>
      <c r="UKG59" s="468"/>
      <c r="UKH59" s="468"/>
      <c r="UKI59" s="468"/>
      <c r="UKJ59" s="468"/>
      <c r="UKK59" s="468"/>
      <c r="UKL59" s="468"/>
      <c r="UKM59" s="468"/>
      <c r="UKN59" s="468"/>
      <c r="UKO59" s="468"/>
      <c r="UKP59" s="468"/>
      <c r="UKQ59" s="468"/>
      <c r="UKR59" s="468"/>
      <c r="UKS59" s="468"/>
      <c r="UKT59" s="468"/>
      <c r="UKU59" s="468"/>
      <c r="UKV59" s="468"/>
      <c r="UKW59" s="468"/>
      <c r="UKX59" s="468"/>
      <c r="UKY59" s="468"/>
      <c r="UKZ59" s="468"/>
      <c r="ULA59" s="468"/>
      <c r="ULB59" s="468"/>
      <c r="ULC59" s="468"/>
      <c r="ULD59" s="468"/>
      <c r="ULE59" s="468"/>
      <c r="ULF59" s="468"/>
      <c r="ULG59" s="468"/>
      <c r="ULH59" s="468"/>
      <c r="ULI59" s="468"/>
      <c r="ULJ59" s="468"/>
      <c r="ULK59" s="468"/>
      <c r="ULL59" s="468"/>
      <c r="ULM59" s="468"/>
      <c r="ULN59" s="468"/>
      <c r="ULO59" s="468"/>
      <c r="ULP59" s="468"/>
      <c r="ULQ59" s="468"/>
      <c r="ULR59" s="468"/>
      <c r="ULS59" s="468"/>
      <c r="ULT59" s="468"/>
      <c r="ULU59" s="468"/>
      <c r="ULV59" s="468"/>
      <c r="ULW59" s="468"/>
      <c r="ULX59" s="468"/>
      <c r="ULY59" s="468"/>
      <c r="ULZ59" s="468"/>
      <c r="UMA59" s="468"/>
      <c r="UMB59" s="468"/>
      <c r="UMC59" s="468"/>
      <c r="UMD59" s="468"/>
      <c r="UME59" s="468"/>
      <c r="UMF59" s="468"/>
      <c r="UMG59" s="468"/>
      <c r="UMH59" s="468"/>
      <c r="UMI59" s="468"/>
      <c r="UMJ59" s="468"/>
      <c r="UMK59" s="468"/>
      <c r="UML59" s="468"/>
      <c r="UMM59" s="468"/>
      <c r="UMN59" s="468"/>
      <c r="UMO59" s="468"/>
      <c r="UMP59" s="468"/>
      <c r="UMQ59" s="468"/>
      <c r="UMR59" s="468"/>
      <c r="UMS59" s="468"/>
      <c r="UMT59" s="468"/>
      <c r="UMU59" s="468"/>
      <c r="UMV59" s="468"/>
      <c r="UMW59" s="468"/>
      <c r="UMX59" s="468"/>
      <c r="UMY59" s="468"/>
      <c r="UMZ59" s="468"/>
      <c r="UNA59" s="468"/>
      <c r="UNB59" s="468"/>
      <c r="UNC59" s="468"/>
      <c r="UND59" s="468"/>
      <c r="UNE59" s="468"/>
      <c r="UNF59" s="468"/>
      <c r="UNG59" s="468"/>
      <c r="UNH59" s="468"/>
      <c r="UNI59" s="468"/>
      <c r="UNJ59" s="468"/>
      <c r="UNK59" s="468"/>
      <c r="UNL59" s="468"/>
      <c r="UNM59" s="468"/>
      <c r="UNN59" s="468"/>
      <c r="UNO59" s="468"/>
      <c r="UNP59" s="468"/>
      <c r="UNQ59" s="468"/>
      <c r="UNR59" s="468"/>
      <c r="UNS59" s="468"/>
      <c r="UNT59" s="468"/>
      <c r="UNU59" s="468"/>
      <c r="UNV59" s="468"/>
      <c r="UNW59" s="468"/>
      <c r="UNX59" s="468"/>
      <c r="UNY59" s="468"/>
      <c r="UNZ59" s="468"/>
      <c r="UOA59" s="468"/>
      <c r="UOB59" s="468"/>
      <c r="UOC59" s="468"/>
      <c r="UOD59" s="468"/>
      <c r="UOE59" s="468"/>
      <c r="UOF59" s="468"/>
      <c r="UOG59" s="468"/>
      <c r="UOH59" s="468"/>
      <c r="UOI59" s="468"/>
      <c r="UOJ59" s="468"/>
      <c r="UOK59" s="468"/>
      <c r="UOL59" s="468"/>
      <c r="UOM59" s="468"/>
      <c r="UON59" s="468"/>
      <c r="UOO59" s="468"/>
      <c r="UOP59" s="468"/>
      <c r="UOQ59" s="468"/>
      <c r="UOR59" s="468"/>
      <c r="UOS59" s="468"/>
      <c r="UOT59" s="468"/>
      <c r="UOU59" s="468"/>
      <c r="UOV59" s="468"/>
      <c r="UOW59" s="468"/>
      <c r="UOX59" s="468"/>
      <c r="UOY59" s="468"/>
      <c r="UOZ59" s="468"/>
      <c r="UPA59" s="468"/>
      <c r="UPB59" s="468"/>
      <c r="UPC59" s="468"/>
      <c r="UPD59" s="468"/>
      <c r="UPE59" s="468"/>
      <c r="UPF59" s="468"/>
      <c r="UPG59" s="468"/>
      <c r="UPH59" s="468"/>
      <c r="UPI59" s="468"/>
      <c r="UPJ59" s="468"/>
      <c r="UPK59" s="468"/>
      <c r="UPL59" s="468"/>
      <c r="UPM59" s="468"/>
      <c r="UPN59" s="468"/>
      <c r="UPO59" s="468"/>
      <c r="UPP59" s="468"/>
      <c r="UPQ59" s="468"/>
      <c r="UPR59" s="468"/>
      <c r="UPS59" s="468"/>
      <c r="UPT59" s="468"/>
      <c r="UPU59" s="468"/>
      <c r="UPV59" s="468"/>
      <c r="UPW59" s="468"/>
      <c r="UPX59" s="468"/>
      <c r="UPY59" s="468"/>
      <c r="UPZ59" s="468"/>
      <c r="UQA59" s="468"/>
      <c r="UQB59" s="468"/>
      <c r="UQC59" s="468"/>
      <c r="UQD59" s="468"/>
      <c r="UQE59" s="468"/>
      <c r="UQF59" s="468"/>
      <c r="UQG59" s="468"/>
      <c r="UQH59" s="468"/>
      <c r="UQI59" s="468"/>
      <c r="UQJ59" s="468"/>
      <c r="UQK59" s="468"/>
      <c r="UQL59" s="468"/>
      <c r="UQM59" s="468"/>
      <c r="UQN59" s="468"/>
      <c r="UQO59" s="468"/>
      <c r="UQP59" s="468"/>
      <c r="UQQ59" s="468"/>
      <c r="UQR59" s="468"/>
      <c r="UQS59" s="468"/>
      <c r="UQT59" s="468"/>
      <c r="UQU59" s="468"/>
      <c r="UQV59" s="468"/>
      <c r="UQW59" s="468"/>
      <c r="UQX59" s="468"/>
      <c r="UQY59" s="468"/>
      <c r="UQZ59" s="468"/>
      <c r="URA59" s="468"/>
      <c r="URB59" s="468"/>
      <c r="URC59" s="468"/>
      <c r="URD59" s="468"/>
      <c r="URE59" s="468"/>
      <c r="URF59" s="468"/>
      <c r="URG59" s="468"/>
      <c r="URH59" s="468"/>
      <c r="URI59" s="468"/>
      <c r="URJ59" s="468"/>
      <c r="URK59" s="468"/>
      <c r="URL59" s="468"/>
      <c r="URM59" s="468"/>
      <c r="URN59" s="468"/>
      <c r="URO59" s="468"/>
      <c r="URP59" s="468"/>
      <c r="URQ59" s="468"/>
      <c r="URR59" s="468"/>
      <c r="URS59" s="468"/>
      <c r="URT59" s="468"/>
      <c r="URU59" s="468"/>
      <c r="URV59" s="468"/>
      <c r="URW59" s="468"/>
      <c r="URX59" s="468"/>
      <c r="URY59" s="468"/>
      <c r="URZ59" s="468"/>
      <c r="USA59" s="468"/>
      <c r="USB59" s="468"/>
      <c r="USC59" s="468"/>
      <c r="USD59" s="468"/>
      <c r="USE59" s="468"/>
      <c r="USF59" s="468"/>
      <c r="USG59" s="468"/>
      <c r="USH59" s="468"/>
      <c r="USI59" s="468"/>
      <c r="USJ59" s="468"/>
      <c r="USK59" s="468"/>
      <c r="USL59" s="468"/>
      <c r="USM59" s="468"/>
      <c r="USN59" s="468"/>
      <c r="USO59" s="468"/>
      <c r="USP59" s="468"/>
      <c r="USQ59" s="468"/>
      <c r="USR59" s="468"/>
      <c r="USS59" s="468"/>
      <c r="UST59" s="468"/>
      <c r="USU59" s="468"/>
      <c r="USV59" s="468"/>
      <c r="USW59" s="468"/>
      <c r="USX59" s="468"/>
      <c r="USY59" s="468"/>
      <c r="USZ59" s="468"/>
      <c r="UTA59" s="468"/>
      <c r="UTB59" s="468"/>
      <c r="UTC59" s="468"/>
      <c r="UTD59" s="468"/>
      <c r="UTE59" s="468"/>
      <c r="UTF59" s="468"/>
      <c r="UTG59" s="468"/>
      <c r="UTH59" s="468"/>
      <c r="UTI59" s="468"/>
      <c r="UTJ59" s="468"/>
      <c r="UTK59" s="468"/>
      <c r="UTL59" s="468"/>
      <c r="UTM59" s="468"/>
      <c r="UTN59" s="468"/>
      <c r="UTO59" s="468"/>
      <c r="UTP59" s="468"/>
      <c r="UTQ59" s="468"/>
      <c r="UTR59" s="468"/>
      <c r="UTS59" s="468"/>
      <c r="UTT59" s="468"/>
      <c r="UTU59" s="468"/>
      <c r="UTV59" s="468"/>
      <c r="UTW59" s="468"/>
      <c r="UTX59" s="468"/>
      <c r="UTY59" s="468"/>
      <c r="UTZ59" s="468"/>
      <c r="UUA59" s="468"/>
      <c r="UUB59" s="468"/>
      <c r="UUC59" s="468"/>
      <c r="UUD59" s="468"/>
      <c r="UUE59" s="468"/>
      <c r="UUF59" s="468"/>
      <c r="UUG59" s="468"/>
      <c r="UUH59" s="468"/>
      <c r="UUI59" s="468"/>
      <c r="UUJ59" s="468"/>
      <c r="UUK59" s="468"/>
      <c r="UUL59" s="468"/>
      <c r="UUM59" s="468"/>
      <c r="UUN59" s="468"/>
      <c r="UUO59" s="468"/>
      <c r="UUP59" s="468"/>
      <c r="UUQ59" s="468"/>
      <c r="UUR59" s="468"/>
      <c r="UUS59" s="468"/>
      <c r="UUT59" s="468"/>
      <c r="UUU59" s="468"/>
      <c r="UUV59" s="468"/>
      <c r="UUW59" s="468"/>
      <c r="UUX59" s="468"/>
      <c r="UUY59" s="468"/>
      <c r="UUZ59" s="468"/>
      <c r="UVA59" s="468"/>
      <c r="UVB59" s="468"/>
      <c r="UVC59" s="468"/>
      <c r="UVD59" s="468"/>
      <c r="UVE59" s="468"/>
      <c r="UVF59" s="468"/>
      <c r="UVG59" s="468"/>
      <c r="UVH59" s="468"/>
      <c r="UVI59" s="468"/>
      <c r="UVJ59" s="468"/>
      <c r="UVK59" s="468"/>
      <c r="UVL59" s="468"/>
      <c r="UVM59" s="468"/>
      <c r="UVN59" s="468"/>
      <c r="UVO59" s="468"/>
      <c r="UVP59" s="468"/>
      <c r="UVQ59" s="468"/>
      <c r="UVR59" s="468"/>
      <c r="UVS59" s="468"/>
      <c r="UVT59" s="468"/>
      <c r="UVU59" s="468"/>
      <c r="UVV59" s="468"/>
      <c r="UVW59" s="468"/>
      <c r="UVX59" s="468"/>
      <c r="UVY59" s="468"/>
      <c r="UVZ59" s="468"/>
      <c r="UWA59" s="468"/>
      <c r="UWB59" s="468"/>
      <c r="UWC59" s="468"/>
      <c r="UWD59" s="468"/>
      <c r="UWE59" s="468"/>
      <c r="UWF59" s="468"/>
      <c r="UWG59" s="468"/>
      <c r="UWH59" s="468"/>
      <c r="UWI59" s="468"/>
      <c r="UWJ59" s="468"/>
      <c r="UWK59" s="468"/>
      <c r="UWL59" s="468"/>
      <c r="UWM59" s="468"/>
      <c r="UWN59" s="468"/>
      <c r="UWO59" s="468"/>
      <c r="UWP59" s="468"/>
      <c r="UWQ59" s="468"/>
      <c r="UWR59" s="468"/>
      <c r="UWS59" s="468"/>
      <c r="UWT59" s="468"/>
      <c r="UWU59" s="468"/>
      <c r="UWV59" s="468"/>
      <c r="UWW59" s="468"/>
      <c r="UWX59" s="468"/>
      <c r="UWY59" s="468"/>
      <c r="UWZ59" s="468"/>
      <c r="UXA59" s="468"/>
      <c r="UXB59" s="468"/>
      <c r="UXC59" s="468"/>
      <c r="UXD59" s="468"/>
      <c r="UXE59" s="468"/>
      <c r="UXF59" s="468"/>
      <c r="UXG59" s="468"/>
      <c r="UXH59" s="468"/>
      <c r="UXI59" s="468"/>
      <c r="UXJ59" s="468"/>
      <c r="UXK59" s="468"/>
      <c r="UXL59" s="468"/>
      <c r="UXM59" s="468"/>
      <c r="UXN59" s="468"/>
      <c r="UXO59" s="468"/>
      <c r="UXP59" s="468"/>
      <c r="UXQ59" s="468"/>
      <c r="UXR59" s="468"/>
      <c r="UXS59" s="468"/>
      <c r="UXT59" s="468"/>
      <c r="UXU59" s="468"/>
      <c r="UXV59" s="468"/>
      <c r="UXW59" s="468"/>
      <c r="UXX59" s="468"/>
      <c r="UXY59" s="468"/>
      <c r="UXZ59" s="468"/>
      <c r="UYA59" s="468"/>
      <c r="UYB59" s="468"/>
      <c r="UYC59" s="468"/>
      <c r="UYD59" s="468"/>
      <c r="UYE59" s="468"/>
      <c r="UYF59" s="468"/>
      <c r="UYG59" s="468"/>
      <c r="UYH59" s="468"/>
      <c r="UYI59" s="468"/>
      <c r="UYJ59" s="468"/>
      <c r="UYK59" s="468"/>
      <c r="UYL59" s="468"/>
      <c r="UYM59" s="468"/>
      <c r="UYN59" s="468"/>
      <c r="UYO59" s="468"/>
      <c r="UYP59" s="468"/>
      <c r="UYQ59" s="468"/>
      <c r="UYR59" s="468"/>
      <c r="UYS59" s="468"/>
      <c r="UYT59" s="468"/>
      <c r="UYU59" s="468"/>
      <c r="UYV59" s="468"/>
      <c r="UYW59" s="468"/>
      <c r="UYX59" s="468"/>
      <c r="UYY59" s="468"/>
      <c r="UYZ59" s="468"/>
      <c r="UZA59" s="468"/>
      <c r="UZB59" s="468"/>
      <c r="UZC59" s="468"/>
      <c r="UZD59" s="468"/>
      <c r="UZE59" s="468"/>
      <c r="UZF59" s="468"/>
      <c r="UZG59" s="468"/>
      <c r="UZH59" s="468"/>
      <c r="UZI59" s="468"/>
      <c r="UZJ59" s="468"/>
      <c r="UZK59" s="468"/>
      <c r="UZL59" s="468"/>
      <c r="UZM59" s="468"/>
      <c r="UZN59" s="468"/>
      <c r="UZO59" s="468"/>
      <c r="UZP59" s="468"/>
      <c r="UZQ59" s="468"/>
      <c r="UZR59" s="468"/>
      <c r="UZS59" s="468"/>
      <c r="UZT59" s="468"/>
      <c r="UZU59" s="468"/>
      <c r="UZV59" s="468"/>
      <c r="UZW59" s="468"/>
      <c r="UZX59" s="468"/>
      <c r="UZY59" s="468"/>
      <c r="UZZ59" s="468"/>
      <c r="VAA59" s="468"/>
      <c r="VAB59" s="468"/>
      <c r="VAC59" s="468"/>
      <c r="VAD59" s="468"/>
      <c r="VAE59" s="468"/>
      <c r="VAF59" s="468"/>
      <c r="VAG59" s="468"/>
      <c r="VAH59" s="468"/>
      <c r="VAI59" s="468"/>
      <c r="VAJ59" s="468"/>
      <c r="VAK59" s="468"/>
      <c r="VAL59" s="468"/>
      <c r="VAM59" s="468"/>
      <c r="VAN59" s="468"/>
      <c r="VAO59" s="468"/>
      <c r="VAP59" s="468"/>
      <c r="VAQ59" s="468"/>
      <c r="VAR59" s="468"/>
      <c r="VAS59" s="468"/>
      <c r="VAT59" s="468"/>
      <c r="VAU59" s="468"/>
      <c r="VAV59" s="468"/>
      <c r="VAW59" s="468"/>
      <c r="VAX59" s="468"/>
      <c r="VAY59" s="468"/>
      <c r="VAZ59" s="468"/>
      <c r="VBA59" s="468"/>
      <c r="VBB59" s="468"/>
      <c r="VBC59" s="468"/>
      <c r="VBD59" s="468"/>
      <c r="VBE59" s="468"/>
      <c r="VBF59" s="468"/>
      <c r="VBG59" s="468"/>
      <c r="VBH59" s="468"/>
      <c r="VBI59" s="468"/>
      <c r="VBJ59" s="468"/>
      <c r="VBK59" s="468"/>
      <c r="VBL59" s="468"/>
      <c r="VBM59" s="468"/>
      <c r="VBN59" s="468"/>
      <c r="VBO59" s="468"/>
      <c r="VBP59" s="468"/>
      <c r="VBQ59" s="468"/>
      <c r="VBR59" s="468"/>
      <c r="VBS59" s="468"/>
      <c r="VBT59" s="468"/>
      <c r="VBU59" s="468"/>
      <c r="VBV59" s="468"/>
      <c r="VBW59" s="468"/>
      <c r="VBX59" s="468"/>
      <c r="VBY59" s="468"/>
      <c r="VBZ59" s="468"/>
      <c r="VCA59" s="468"/>
      <c r="VCB59" s="468"/>
      <c r="VCC59" s="468"/>
      <c r="VCD59" s="468"/>
      <c r="VCE59" s="468"/>
      <c r="VCF59" s="468"/>
      <c r="VCG59" s="468"/>
      <c r="VCH59" s="468"/>
      <c r="VCI59" s="468"/>
      <c r="VCJ59" s="468"/>
      <c r="VCK59" s="468"/>
      <c r="VCL59" s="468"/>
      <c r="VCM59" s="468"/>
      <c r="VCN59" s="468"/>
      <c r="VCO59" s="468"/>
      <c r="VCP59" s="468"/>
      <c r="VCQ59" s="468"/>
      <c r="VCR59" s="468"/>
      <c r="VCS59" s="468"/>
      <c r="VCT59" s="468"/>
      <c r="VCU59" s="468"/>
      <c r="VCV59" s="468"/>
      <c r="VCW59" s="468"/>
      <c r="VCX59" s="468"/>
      <c r="VCY59" s="468"/>
      <c r="VCZ59" s="468"/>
      <c r="VDA59" s="468"/>
      <c r="VDB59" s="468"/>
      <c r="VDC59" s="468"/>
      <c r="VDD59" s="468"/>
      <c r="VDE59" s="468"/>
      <c r="VDF59" s="468"/>
      <c r="VDG59" s="468"/>
      <c r="VDH59" s="468"/>
      <c r="VDI59" s="468"/>
      <c r="VDJ59" s="468"/>
      <c r="VDK59" s="468"/>
      <c r="VDL59" s="468"/>
      <c r="VDM59" s="468"/>
      <c r="VDN59" s="468"/>
      <c r="VDO59" s="468"/>
      <c r="VDP59" s="468"/>
      <c r="VDQ59" s="468"/>
      <c r="VDR59" s="468"/>
      <c r="VDS59" s="468"/>
      <c r="VDT59" s="468"/>
      <c r="VDU59" s="468"/>
      <c r="VDV59" s="468"/>
      <c r="VDW59" s="468"/>
      <c r="VDX59" s="468"/>
      <c r="VDY59" s="468"/>
      <c r="VDZ59" s="468"/>
      <c r="VEA59" s="468"/>
      <c r="VEB59" s="468"/>
      <c r="VEC59" s="468"/>
      <c r="VED59" s="468"/>
      <c r="VEE59" s="468"/>
      <c r="VEF59" s="468"/>
      <c r="VEG59" s="468"/>
      <c r="VEH59" s="468"/>
      <c r="VEI59" s="468"/>
      <c r="VEJ59" s="468"/>
      <c r="VEK59" s="468"/>
      <c r="VEL59" s="468"/>
      <c r="VEM59" s="468"/>
      <c r="VEN59" s="468"/>
      <c r="VEO59" s="468"/>
      <c r="VEP59" s="468"/>
      <c r="VEQ59" s="468"/>
      <c r="VER59" s="468"/>
      <c r="VES59" s="468"/>
      <c r="VET59" s="468"/>
      <c r="VEU59" s="468"/>
      <c r="VEV59" s="468"/>
      <c r="VEW59" s="468"/>
      <c r="VEX59" s="468"/>
      <c r="VEY59" s="468"/>
      <c r="VEZ59" s="468"/>
      <c r="VFA59" s="468"/>
      <c r="VFB59" s="468"/>
      <c r="VFC59" s="468"/>
      <c r="VFD59" s="468"/>
      <c r="VFE59" s="468"/>
      <c r="VFF59" s="468"/>
      <c r="VFG59" s="468"/>
      <c r="VFH59" s="468"/>
      <c r="VFI59" s="468"/>
      <c r="VFJ59" s="468"/>
      <c r="VFK59" s="468"/>
      <c r="VFL59" s="468"/>
      <c r="VFM59" s="468"/>
      <c r="VFN59" s="468"/>
      <c r="VFO59" s="468"/>
      <c r="VFP59" s="468"/>
      <c r="VFQ59" s="468"/>
      <c r="VFR59" s="468"/>
      <c r="VFS59" s="468"/>
      <c r="VFT59" s="468"/>
      <c r="VFU59" s="468"/>
      <c r="VFV59" s="468"/>
      <c r="VFW59" s="468"/>
      <c r="VFX59" s="468"/>
      <c r="VFY59" s="468"/>
      <c r="VFZ59" s="468"/>
      <c r="VGA59" s="468"/>
      <c r="VGB59" s="468"/>
      <c r="VGC59" s="468"/>
      <c r="VGD59" s="468"/>
      <c r="VGE59" s="468"/>
      <c r="VGF59" s="468"/>
      <c r="VGG59" s="468"/>
      <c r="VGH59" s="468"/>
      <c r="VGI59" s="468"/>
      <c r="VGJ59" s="468"/>
      <c r="VGK59" s="468"/>
      <c r="VGL59" s="468"/>
      <c r="VGM59" s="468"/>
      <c r="VGN59" s="468"/>
      <c r="VGO59" s="468"/>
      <c r="VGP59" s="468"/>
      <c r="VGQ59" s="468"/>
      <c r="VGR59" s="468"/>
      <c r="VGS59" s="468"/>
      <c r="VGT59" s="468"/>
      <c r="VGU59" s="468"/>
      <c r="VGV59" s="468"/>
      <c r="VGW59" s="468"/>
      <c r="VGX59" s="468"/>
      <c r="VGY59" s="468"/>
      <c r="VGZ59" s="468"/>
      <c r="VHA59" s="468"/>
      <c r="VHB59" s="468"/>
      <c r="VHC59" s="468"/>
      <c r="VHD59" s="468"/>
      <c r="VHE59" s="468"/>
      <c r="VHF59" s="468"/>
      <c r="VHG59" s="468"/>
      <c r="VHH59" s="468"/>
      <c r="VHI59" s="468"/>
      <c r="VHJ59" s="468"/>
      <c r="VHK59" s="468"/>
      <c r="VHL59" s="468"/>
      <c r="VHM59" s="468"/>
      <c r="VHN59" s="468"/>
      <c r="VHO59" s="468"/>
      <c r="VHP59" s="468"/>
      <c r="VHQ59" s="468"/>
      <c r="VHR59" s="468"/>
      <c r="VHS59" s="468"/>
      <c r="VHT59" s="468"/>
      <c r="VHU59" s="468"/>
      <c r="VHV59" s="468"/>
      <c r="VHW59" s="468"/>
      <c r="VHX59" s="468"/>
      <c r="VHY59" s="468"/>
      <c r="VHZ59" s="468"/>
      <c r="VIA59" s="468"/>
      <c r="VIB59" s="468"/>
      <c r="VIC59" s="468"/>
      <c r="VID59" s="468"/>
      <c r="VIE59" s="468"/>
      <c r="VIF59" s="468"/>
      <c r="VIG59" s="468"/>
      <c r="VIH59" s="468"/>
      <c r="VII59" s="468"/>
      <c r="VIJ59" s="468"/>
      <c r="VIK59" s="468"/>
      <c r="VIL59" s="468"/>
      <c r="VIM59" s="468"/>
      <c r="VIN59" s="468"/>
      <c r="VIO59" s="468"/>
      <c r="VIP59" s="468"/>
      <c r="VIQ59" s="468"/>
      <c r="VIR59" s="468"/>
      <c r="VIS59" s="468"/>
      <c r="VIT59" s="468"/>
      <c r="VIU59" s="468"/>
      <c r="VIV59" s="468"/>
      <c r="VIW59" s="468"/>
      <c r="VIX59" s="468"/>
      <c r="VIY59" s="468"/>
      <c r="VIZ59" s="468"/>
      <c r="VJA59" s="468"/>
      <c r="VJB59" s="468"/>
      <c r="VJC59" s="468"/>
      <c r="VJD59" s="468"/>
      <c r="VJE59" s="468"/>
      <c r="VJF59" s="468"/>
      <c r="VJG59" s="468"/>
      <c r="VJH59" s="468"/>
      <c r="VJI59" s="468"/>
      <c r="VJJ59" s="468"/>
      <c r="VJK59" s="468"/>
      <c r="VJL59" s="468"/>
      <c r="VJM59" s="468"/>
      <c r="VJN59" s="468"/>
      <c r="VJO59" s="468"/>
      <c r="VJP59" s="468"/>
      <c r="VJQ59" s="468"/>
      <c r="VJR59" s="468"/>
      <c r="VJS59" s="468"/>
      <c r="VJT59" s="468"/>
      <c r="VJU59" s="468"/>
      <c r="VJV59" s="468"/>
      <c r="VJW59" s="468"/>
      <c r="VJX59" s="468"/>
      <c r="VJY59" s="468"/>
      <c r="VJZ59" s="468"/>
      <c r="VKA59" s="468"/>
      <c r="VKB59" s="468"/>
      <c r="VKC59" s="468"/>
      <c r="VKD59" s="468"/>
      <c r="VKE59" s="468"/>
      <c r="VKF59" s="468"/>
      <c r="VKG59" s="468"/>
      <c r="VKH59" s="468"/>
      <c r="VKI59" s="468"/>
      <c r="VKJ59" s="468"/>
      <c r="VKK59" s="468"/>
      <c r="VKL59" s="468"/>
      <c r="VKM59" s="468"/>
      <c r="VKN59" s="468"/>
      <c r="VKO59" s="468"/>
      <c r="VKP59" s="468"/>
      <c r="VKQ59" s="468"/>
      <c r="VKR59" s="468"/>
      <c r="VKS59" s="468"/>
      <c r="VKT59" s="468"/>
      <c r="VKU59" s="468"/>
      <c r="VKV59" s="468"/>
      <c r="VKW59" s="468"/>
      <c r="VKX59" s="468"/>
      <c r="VKY59" s="468"/>
      <c r="VKZ59" s="468"/>
      <c r="VLA59" s="468"/>
      <c r="VLB59" s="468"/>
      <c r="VLC59" s="468"/>
      <c r="VLD59" s="468"/>
      <c r="VLE59" s="468"/>
      <c r="VLF59" s="468"/>
      <c r="VLG59" s="468"/>
      <c r="VLH59" s="468"/>
      <c r="VLI59" s="468"/>
      <c r="VLJ59" s="468"/>
      <c r="VLK59" s="468"/>
      <c r="VLL59" s="468"/>
      <c r="VLM59" s="468"/>
      <c r="VLN59" s="468"/>
      <c r="VLO59" s="468"/>
      <c r="VLP59" s="468"/>
      <c r="VLQ59" s="468"/>
      <c r="VLR59" s="468"/>
      <c r="VLS59" s="468"/>
      <c r="VLT59" s="468"/>
      <c r="VLU59" s="468"/>
      <c r="VLV59" s="468"/>
      <c r="VLW59" s="468"/>
      <c r="VLX59" s="468"/>
      <c r="VLY59" s="468"/>
      <c r="VLZ59" s="468"/>
      <c r="VMA59" s="468"/>
      <c r="VMB59" s="468"/>
      <c r="VMC59" s="468"/>
      <c r="VMD59" s="468"/>
      <c r="VME59" s="468"/>
      <c r="VMF59" s="468"/>
      <c r="VMG59" s="468"/>
      <c r="VMH59" s="468"/>
      <c r="VMI59" s="468"/>
      <c r="VMJ59" s="468"/>
      <c r="VMK59" s="468"/>
      <c r="VML59" s="468"/>
      <c r="VMM59" s="468"/>
      <c r="VMN59" s="468"/>
      <c r="VMO59" s="468"/>
      <c r="VMP59" s="468"/>
      <c r="VMQ59" s="468"/>
      <c r="VMR59" s="468"/>
      <c r="VMS59" s="468"/>
      <c r="VMT59" s="468"/>
      <c r="VMU59" s="468"/>
      <c r="VMV59" s="468"/>
      <c r="VMW59" s="468"/>
      <c r="VMX59" s="468"/>
      <c r="VMY59" s="468"/>
      <c r="VMZ59" s="468"/>
      <c r="VNA59" s="468"/>
      <c r="VNB59" s="468"/>
      <c r="VNC59" s="468"/>
      <c r="VND59" s="468"/>
      <c r="VNE59" s="468"/>
      <c r="VNF59" s="468"/>
      <c r="VNG59" s="468"/>
      <c r="VNH59" s="468"/>
      <c r="VNI59" s="468"/>
      <c r="VNJ59" s="468"/>
      <c r="VNK59" s="468"/>
      <c r="VNL59" s="468"/>
      <c r="VNM59" s="468"/>
      <c r="VNN59" s="468"/>
      <c r="VNO59" s="468"/>
      <c r="VNP59" s="468"/>
      <c r="VNQ59" s="468"/>
      <c r="VNR59" s="468"/>
      <c r="VNS59" s="468"/>
      <c r="VNT59" s="468"/>
      <c r="VNU59" s="468"/>
      <c r="VNV59" s="468"/>
      <c r="VNW59" s="468"/>
      <c r="VNX59" s="468"/>
      <c r="VNY59" s="468"/>
      <c r="VNZ59" s="468"/>
      <c r="VOA59" s="468"/>
      <c r="VOB59" s="468"/>
      <c r="VOC59" s="468"/>
      <c r="VOD59" s="468"/>
      <c r="VOE59" s="468"/>
      <c r="VOF59" s="468"/>
      <c r="VOG59" s="468"/>
      <c r="VOH59" s="468"/>
      <c r="VOI59" s="468"/>
      <c r="VOJ59" s="468"/>
      <c r="VOK59" s="468"/>
      <c r="VOL59" s="468"/>
      <c r="VOM59" s="468"/>
      <c r="VON59" s="468"/>
      <c r="VOO59" s="468"/>
      <c r="VOP59" s="468"/>
      <c r="VOQ59" s="468"/>
      <c r="VOR59" s="468"/>
      <c r="VOS59" s="468"/>
      <c r="VOT59" s="468"/>
      <c r="VOU59" s="468"/>
      <c r="VOV59" s="468"/>
      <c r="VOW59" s="468"/>
      <c r="VOX59" s="468"/>
      <c r="VOY59" s="468"/>
      <c r="VOZ59" s="468"/>
      <c r="VPA59" s="468"/>
      <c r="VPB59" s="468"/>
      <c r="VPC59" s="468"/>
      <c r="VPD59" s="468"/>
      <c r="VPE59" s="468"/>
      <c r="VPF59" s="468"/>
      <c r="VPG59" s="468"/>
      <c r="VPH59" s="468"/>
      <c r="VPI59" s="468"/>
      <c r="VPJ59" s="468"/>
      <c r="VPK59" s="468"/>
      <c r="VPL59" s="468"/>
      <c r="VPM59" s="468"/>
      <c r="VPN59" s="468"/>
      <c r="VPO59" s="468"/>
      <c r="VPP59" s="468"/>
      <c r="VPQ59" s="468"/>
      <c r="VPR59" s="468"/>
      <c r="VPS59" s="468"/>
      <c r="VPT59" s="468"/>
      <c r="VPU59" s="468"/>
      <c r="VPV59" s="468"/>
      <c r="VPW59" s="468"/>
      <c r="VPX59" s="468"/>
      <c r="VPY59" s="468"/>
      <c r="VPZ59" s="468"/>
      <c r="VQA59" s="468"/>
      <c r="VQB59" s="468"/>
      <c r="VQC59" s="468"/>
      <c r="VQD59" s="468"/>
      <c r="VQE59" s="468"/>
      <c r="VQF59" s="468"/>
      <c r="VQG59" s="468"/>
      <c r="VQH59" s="468"/>
      <c r="VQI59" s="468"/>
      <c r="VQJ59" s="468"/>
      <c r="VQK59" s="468"/>
      <c r="VQL59" s="468"/>
      <c r="VQM59" s="468"/>
      <c r="VQN59" s="468"/>
      <c r="VQO59" s="468"/>
      <c r="VQP59" s="468"/>
      <c r="VQQ59" s="468"/>
      <c r="VQR59" s="468"/>
      <c r="VQS59" s="468"/>
      <c r="VQT59" s="468"/>
      <c r="VQU59" s="468"/>
      <c r="VQV59" s="468"/>
      <c r="VQW59" s="468"/>
      <c r="VQX59" s="468"/>
      <c r="VQY59" s="468"/>
      <c r="VQZ59" s="468"/>
      <c r="VRA59" s="468"/>
      <c r="VRB59" s="468"/>
      <c r="VRC59" s="468"/>
      <c r="VRD59" s="468"/>
      <c r="VRE59" s="468"/>
      <c r="VRF59" s="468"/>
      <c r="VRG59" s="468"/>
      <c r="VRH59" s="468"/>
      <c r="VRI59" s="468"/>
      <c r="VRJ59" s="468"/>
      <c r="VRK59" s="468"/>
      <c r="VRL59" s="468"/>
      <c r="VRM59" s="468"/>
      <c r="VRN59" s="468"/>
      <c r="VRO59" s="468"/>
      <c r="VRP59" s="468"/>
      <c r="VRQ59" s="468"/>
      <c r="VRR59" s="468"/>
      <c r="VRS59" s="468"/>
      <c r="VRT59" s="468"/>
      <c r="VRU59" s="468"/>
      <c r="VRV59" s="468"/>
      <c r="VRW59" s="468"/>
      <c r="VRX59" s="468"/>
      <c r="VRY59" s="468"/>
      <c r="VRZ59" s="468"/>
      <c r="VSA59" s="468"/>
      <c r="VSB59" s="468"/>
      <c r="VSC59" s="468"/>
      <c r="VSD59" s="468"/>
      <c r="VSE59" s="468"/>
      <c r="VSF59" s="468"/>
      <c r="VSG59" s="468"/>
      <c r="VSH59" s="468"/>
      <c r="VSI59" s="468"/>
      <c r="VSJ59" s="468"/>
      <c r="VSK59" s="468"/>
      <c r="VSL59" s="468"/>
      <c r="VSM59" s="468"/>
      <c r="VSN59" s="468"/>
      <c r="VSO59" s="468"/>
      <c r="VSP59" s="468"/>
      <c r="VSQ59" s="468"/>
      <c r="VSR59" s="468"/>
      <c r="VSS59" s="468"/>
      <c r="VST59" s="468"/>
      <c r="VSU59" s="468"/>
      <c r="VSV59" s="468"/>
      <c r="VSW59" s="468"/>
      <c r="VSX59" s="468"/>
      <c r="VSY59" s="468"/>
      <c r="VSZ59" s="468"/>
      <c r="VTA59" s="468"/>
      <c r="VTB59" s="468"/>
      <c r="VTC59" s="468"/>
      <c r="VTD59" s="468"/>
      <c r="VTE59" s="468"/>
      <c r="VTF59" s="468"/>
      <c r="VTG59" s="468"/>
      <c r="VTH59" s="468"/>
      <c r="VTI59" s="468"/>
      <c r="VTJ59" s="468"/>
      <c r="VTK59" s="468"/>
      <c r="VTL59" s="468"/>
      <c r="VTM59" s="468"/>
      <c r="VTN59" s="468"/>
      <c r="VTO59" s="468"/>
      <c r="VTP59" s="468"/>
      <c r="VTQ59" s="468"/>
      <c r="VTR59" s="468"/>
      <c r="VTS59" s="468"/>
      <c r="VTT59" s="468"/>
      <c r="VTU59" s="468"/>
      <c r="VTV59" s="468"/>
      <c r="VTW59" s="468"/>
      <c r="VTX59" s="468"/>
      <c r="VTY59" s="468"/>
      <c r="VTZ59" s="468"/>
      <c r="VUA59" s="468"/>
      <c r="VUB59" s="468"/>
      <c r="VUC59" s="468"/>
      <c r="VUD59" s="468"/>
      <c r="VUE59" s="468"/>
      <c r="VUF59" s="468"/>
      <c r="VUG59" s="468"/>
      <c r="VUH59" s="468"/>
      <c r="VUI59" s="468"/>
      <c r="VUJ59" s="468"/>
      <c r="VUK59" s="468"/>
      <c r="VUL59" s="468"/>
      <c r="VUM59" s="468"/>
      <c r="VUN59" s="468"/>
      <c r="VUO59" s="468"/>
      <c r="VUP59" s="468"/>
      <c r="VUQ59" s="468"/>
      <c r="VUR59" s="468"/>
      <c r="VUS59" s="468"/>
      <c r="VUT59" s="468"/>
      <c r="VUU59" s="468"/>
      <c r="VUV59" s="468"/>
      <c r="VUW59" s="468"/>
      <c r="VUX59" s="468"/>
      <c r="VUY59" s="468"/>
      <c r="VUZ59" s="468"/>
      <c r="VVA59" s="468"/>
      <c r="VVB59" s="468"/>
      <c r="VVC59" s="468"/>
      <c r="VVD59" s="468"/>
      <c r="VVE59" s="468"/>
      <c r="VVF59" s="468"/>
      <c r="VVG59" s="468"/>
      <c r="VVH59" s="468"/>
      <c r="VVI59" s="468"/>
      <c r="VVJ59" s="468"/>
      <c r="VVK59" s="468"/>
      <c r="VVL59" s="468"/>
      <c r="VVM59" s="468"/>
      <c r="VVN59" s="468"/>
      <c r="VVO59" s="468"/>
      <c r="VVP59" s="468"/>
      <c r="VVQ59" s="468"/>
      <c r="VVR59" s="468"/>
      <c r="VVS59" s="468"/>
      <c r="VVT59" s="468"/>
      <c r="VVU59" s="468"/>
      <c r="VVV59" s="468"/>
      <c r="VVW59" s="468"/>
      <c r="VVX59" s="468"/>
      <c r="VVY59" s="468"/>
      <c r="VVZ59" s="468"/>
      <c r="VWA59" s="468"/>
      <c r="VWB59" s="468"/>
      <c r="VWC59" s="468"/>
      <c r="VWD59" s="468"/>
      <c r="VWE59" s="468"/>
      <c r="VWF59" s="468"/>
      <c r="VWG59" s="468"/>
      <c r="VWH59" s="468"/>
      <c r="VWI59" s="468"/>
      <c r="VWJ59" s="468"/>
      <c r="VWK59" s="468"/>
      <c r="VWL59" s="468"/>
      <c r="VWM59" s="468"/>
      <c r="VWN59" s="468"/>
      <c r="VWO59" s="468"/>
      <c r="VWP59" s="468"/>
      <c r="VWQ59" s="468"/>
      <c r="VWR59" s="468"/>
      <c r="VWS59" s="468"/>
      <c r="VWT59" s="468"/>
      <c r="VWU59" s="468"/>
      <c r="VWV59" s="468"/>
      <c r="VWW59" s="468"/>
      <c r="VWX59" s="468"/>
      <c r="VWY59" s="468"/>
      <c r="VWZ59" s="468"/>
      <c r="VXA59" s="468"/>
      <c r="VXB59" s="468"/>
      <c r="VXC59" s="468"/>
      <c r="VXD59" s="468"/>
      <c r="VXE59" s="468"/>
      <c r="VXF59" s="468"/>
      <c r="VXG59" s="468"/>
      <c r="VXH59" s="468"/>
      <c r="VXI59" s="468"/>
      <c r="VXJ59" s="468"/>
      <c r="VXK59" s="468"/>
      <c r="VXL59" s="468"/>
      <c r="VXM59" s="468"/>
      <c r="VXN59" s="468"/>
      <c r="VXO59" s="468"/>
      <c r="VXP59" s="468"/>
      <c r="VXQ59" s="468"/>
      <c r="VXR59" s="468"/>
      <c r="VXS59" s="468"/>
      <c r="VXT59" s="468"/>
      <c r="VXU59" s="468"/>
      <c r="VXV59" s="468"/>
      <c r="VXW59" s="468"/>
      <c r="VXX59" s="468"/>
      <c r="VXY59" s="468"/>
      <c r="VXZ59" s="468"/>
      <c r="VYA59" s="468"/>
      <c r="VYB59" s="468"/>
      <c r="VYC59" s="468"/>
      <c r="VYD59" s="468"/>
      <c r="VYE59" s="468"/>
      <c r="VYF59" s="468"/>
      <c r="VYG59" s="468"/>
      <c r="VYH59" s="468"/>
      <c r="VYI59" s="468"/>
      <c r="VYJ59" s="468"/>
      <c r="VYK59" s="468"/>
      <c r="VYL59" s="468"/>
      <c r="VYM59" s="468"/>
      <c r="VYN59" s="468"/>
      <c r="VYO59" s="468"/>
      <c r="VYP59" s="468"/>
      <c r="VYQ59" s="468"/>
      <c r="VYR59" s="468"/>
      <c r="VYS59" s="468"/>
      <c r="VYT59" s="468"/>
      <c r="VYU59" s="468"/>
      <c r="VYV59" s="468"/>
      <c r="VYW59" s="468"/>
      <c r="VYX59" s="468"/>
      <c r="VYY59" s="468"/>
      <c r="VYZ59" s="468"/>
      <c r="VZA59" s="468"/>
      <c r="VZB59" s="468"/>
      <c r="VZC59" s="468"/>
      <c r="VZD59" s="468"/>
      <c r="VZE59" s="468"/>
      <c r="VZF59" s="468"/>
      <c r="VZG59" s="468"/>
      <c r="VZH59" s="468"/>
      <c r="VZI59" s="468"/>
      <c r="VZJ59" s="468"/>
      <c r="VZK59" s="468"/>
      <c r="VZL59" s="468"/>
      <c r="VZM59" s="468"/>
      <c r="VZN59" s="468"/>
      <c r="VZO59" s="468"/>
      <c r="VZP59" s="468"/>
      <c r="VZQ59" s="468"/>
      <c r="VZR59" s="468"/>
      <c r="VZS59" s="468"/>
      <c r="VZT59" s="468"/>
      <c r="VZU59" s="468"/>
      <c r="VZV59" s="468"/>
      <c r="VZW59" s="468"/>
      <c r="VZX59" s="468"/>
      <c r="VZY59" s="468"/>
      <c r="VZZ59" s="468"/>
      <c r="WAA59" s="468"/>
      <c r="WAB59" s="468"/>
      <c r="WAC59" s="468"/>
      <c r="WAD59" s="468"/>
      <c r="WAE59" s="468"/>
      <c r="WAF59" s="468"/>
      <c r="WAG59" s="468"/>
      <c r="WAH59" s="468"/>
      <c r="WAI59" s="468"/>
      <c r="WAJ59" s="468"/>
      <c r="WAK59" s="468"/>
      <c r="WAL59" s="468"/>
      <c r="WAM59" s="468"/>
      <c r="WAN59" s="468"/>
      <c r="WAO59" s="468"/>
      <c r="WAP59" s="468"/>
      <c r="WAQ59" s="468"/>
      <c r="WAR59" s="468"/>
      <c r="WAS59" s="468"/>
      <c r="WAT59" s="468"/>
      <c r="WAU59" s="468"/>
      <c r="WAV59" s="468"/>
      <c r="WAW59" s="468"/>
      <c r="WAX59" s="468"/>
      <c r="WAY59" s="468"/>
      <c r="WAZ59" s="468"/>
      <c r="WBA59" s="468"/>
      <c r="WBB59" s="468"/>
      <c r="WBC59" s="468"/>
      <c r="WBD59" s="468"/>
      <c r="WBE59" s="468"/>
      <c r="WBF59" s="468"/>
      <c r="WBG59" s="468"/>
      <c r="WBH59" s="468"/>
      <c r="WBI59" s="468"/>
      <c r="WBJ59" s="468"/>
      <c r="WBK59" s="468"/>
      <c r="WBL59" s="468"/>
      <c r="WBM59" s="468"/>
      <c r="WBN59" s="468"/>
      <c r="WBO59" s="468"/>
      <c r="WBP59" s="468"/>
      <c r="WBQ59" s="468"/>
      <c r="WBR59" s="468"/>
      <c r="WBS59" s="468"/>
      <c r="WBT59" s="468"/>
      <c r="WBU59" s="468"/>
      <c r="WBV59" s="468"/>
      <c r="WBW59" s="468"/>
      <c r="WBX59" s="468"/>
      <c r="WBY59" s="468"/>
      <c r="WBZ59" s="468"/>
      <c r="WCA59" s="468"/>
      <c r="WCB59" s="468"/>
      <c r="WCC59" s="468"/>
      <c r="WCD59" s="468"/>
      <c r="WCE59" s="468"/>
      <c r="WCF59" s="468"/>
      <c r="WCG59" s="468"/>
      <c r="WCH59" s="468"/>
      <c r="WCI59" s="468"/>
      <c r="WCJ59" s="468"/>
      <c r="WCK59" s="468"/>
      <c r="WCL59" s="468"/>
      <c r="WCM59" s="468"/>
      <c r="WCN59" s="468"/>
      <c r="WCO59" s="468"/>
      <c r="WCP59" s="468"/>
      <c r="WCQ59" s="468"/>
      <c r="WCR59" s="468"/>
      <c r="WCS59" s="468"/>
      <c r="WCT59" s="468"/>
      <c r="WCU59" s="468"/>
      <c r="WCV59" s="468"/>
      <c r="WCW59" s="468"/>
      <c r="WCX59" s="468"/>
      <c r="WCY59" s="468"/>
      <c r="WCZ59" s="468"/>
      <c r="WDA59" s="468"/>
      <c r="WDB59" s="468"/>
      <c r="WDC59" s="468"/>
      <c r="WDD59" s="468"/>
      <c r="WDE59" s="468"/>
      <c r="WDF59" s="468"/>
      <c r="WDG59" s="468"/>
      <c r="WDH59" s="468"/>
      <c r="WDI59" s="468"/>
      <c r="WDJ59" s="468"/>
      <c r="WDK59" s="468"/>
      <c r="WDL59" s="468"/>
      <c r="WDM59" s="468"/>
      <c r="WDN59" s="468"/>
      <c r="WDO59" s="468"/>
      <c r="WDP59" s="468"/>
      <c r="WDQ59" s="468"/>
      <c r="WDR59" s="468"/>
      <c r="WDS59" s="468"/>
      <c r="WDT59" s="468"/>
      <c r="WDU59" s="468"/>
      <c r="WDV59" s="468"/>
      <c r="WDW59" s="468"/>
      <c r="WDX59" s="468"/>
      <c r="WDY59" s="468"/>
      <c r="WDZ59" s="468"/>
      <c r="WEA59" s="468"/>
      <c r="WEB59" s="468"/>
      <c r="WEC59" s="468"/>
      <c r="WED59" s="468"/>
      <c r="WEE59" s="468"/>
      <c r="WEF59" s="468"/>
      <c r="WEG59" s="468"/>
      <c r="WEH59" s="468"/>
      <c r="WEI59" s="468"/>
      <c r="WEJ59" s="468"/>
      <c r="WEK59" s="468"/>
      <c r="WEL59" s="468"/>
      <c r="WEM59" s="468"/>
      <c r="WEN59" s="468"/>
      <c r="WEO59" s="468"/>
      <c r="WEP59" s="468"/>
      <c r="WEQ59" s="468"/>
      <c r="WER59" s="468"/>
      <c r="WES59" s="468"/>
      <c r="WET59" s="468"/>
      <c r="WEU59" s="468"/>
      <c r="WEV59" s="468"/>
      <c r="WEW59" s="468"/>
      <c r="WEX59" s="468"/>
      <c r="WEY59" s="468"/>
      <c r="WEZ59" s="468"/>
      <c r="WFA59" s="468"/>
      <c r="WFB59" s="468"/>
      <c r="WFC59" s="468"/>
      <c r="WFD59" s="468"/>
      <c r="WFE59" s="468"/>
      <c r="WFF59" s="468"/>
      <c r="WFG59" s="468"/>
      <c r="WFH59" s="468"/>
      <c r="WFI59" s="468"/>
      <c r="WFJ59" s="468"/>
      <c r="WFK59" s="468"/>
      <c r="WFL59" s="468"/>
      <c r="WFM59" s="468"/>
      <c r="WFN59" s="468"/>
      <c r="WFO59" s="468"/>
      <c r="WFP59" s="468"/>
      <c r="WFQ59" s="468"/>
      <c r="WFR59" s="468"/>
      <c r="WFS59" s="468"/>
      <c r="WFT59" s="468"/>
      <c r="WFU59" s="468"/>
      <c r="WFV59" s="468"/>
      <c r="WFW59" s="468"/>
      <c r="WFX59" s="468"/>
      <c r="WFY59" s="468"/>
      <c r="WFZ59" s="468"/>
      <c r="WGA59" s="468"/>
      <c r="WGB59" s="468"/>
      <c r="WGC59" s="468"/>
      <c r="WGD59" s="468"/>
      <c r="WGE59" s="468"/>
      <c r="WGF59" s="468"/>
      <c r="WGG59" s="468"/>
      <c r="WGH59" s="468"/>
      <c r="WGI59" s="468"/>
      <c r="WGJ59" s="468"/>
      <c r="WGK59" s="468"/>
      <c r="WGL59" s="468"/>
      <c r="WGM59" s="468"/>
      <c r="WGN59" s="468"/>
      <c r="WGO59" s="468"/>
      <c r="WGP59" s="468"/>
      <c r="WGQ59" s="468"/>
      <c r="WGR59" s="468"/>
      <c r="WGS59" s="468"/>
      <c r="WGT59" s="468"/>
      <c r="WGU59" s="468"/>
      <c r="WGV59" s="468"/>
      <c r="WGW59" s="468"/>
      <c r="WGX59" s="468"/>
      <c r="WGY59" s="468"/>
      <c r="WGZ59" s="468"/>
      <c r="WHA59" s="468"/>
      <c r="WHB59" s="468"/>
      <c r="WHC59" s="468"/>
      <c r="WHD59" s="468"/>
      <c r="WHE59" s="468"/>
      <c r="WHF59" s="468"/>
      <c r="WHG59" s="468"/>
      <c r="WHH59" s="468"/>
      <c r="WHI59" s="468"/>
      <c r="WHJ59" s="468"/>
      <c r="WHK59" s="468"/>
      <c r="WHL59" s="468"/>
      <c r="WHM59" s="468"/>
      <c r="WHN59" s="468"/>
      <c r="WHO59" s="468"/>
      <c r="WHP59" s="468"/>
      <c r="WHQ59" s="468"/>
      <c r="WHR59" s="468"/>
      <c r="WHS59" s="468"/>
      <c r="WHT59" s="468"/>
      <c r="WHU59" s="468"/>
      <c r="WHV59" s="468"/>
      <c r="WHW59" s="468"/>
      <c r="WHX59" s="468"/>
      <c r="WHY59" s="468"/>
      <c r="WHZ59" s="468"/>
      <c r="WIA59" s="468"/>
      <c r="WIB59" s="468"/>
      <c r="WIC59" s="468"/>
      <c r="WID59" s="468"/>
      <c r="WIE59" s="468"/>
      <c r="WIF59" s="468"/>
      <c r="WIG59" s="468"/>
      <c r="WIH59" s="468"/>
      <c r="WII59" s="468"/>
      <c r="WIJ59" s="468"/>
      <c r="WIK59" s="468"/>
      <c r="WIL59" s="468"/>
      <c r="WIM59" s="468"/>
      <c r="WIN59" s="468"/>
      <c r="WIO59" s="468"/>
      <c r="WIP59" s="468"/>
      <c r="WIQ59" s="468"/>
      <c r="WIR59" s="468"/>
      <c r="WIS59" s="468"/>
      <c r="WIT59" s="468"/>
      <c r="WIU59" s="468"/>
      <c r="WIV59" s="468"/>
      <c r="WIW59" s="468"/>
      <c r="WIX59" s="468"/>
      <c r="WIY59" s="468"/>
      <c r="WIZ59" s="468"/>
      <c r="WJA59" s="468"/>
      <c r="WJB59" s="468"/>
      <c r="WJC59" s="468"/>
      <c r="WJD59" s="468"/>
      <c r="WJE59" s="468"/>
      <c r="WJF59" s="468"/>
      <c r="WJG59" s="468"/>
      <c r="WJH59" s="468"/>
      <c r="WJI59" s="468"/>
      <c r="WJJ59" s="468"/>
      <c r="WJK59" s="468"/>
      <c r="WJL59" s="468"/>
      <c r="WJM59" s="468"/>
      <c r="WJN59" s="468"/>
      <c r="WJO59" s="468"/>
      <c r="WJP59" s="468"/>
      <c r="WJQ59" s="468"/>
      <c r="WJR59" s="468"/>
      <c r="WJS59" s="468"/>
      <c r="WJT59" s="468"/>
      <c r="WJU59" s="468"/>
      <c r="WJV59" s="468"/>
      <c r="WJW59" s="468"/>
      <c r="WJX59" s="468"/>
      <c r="WJY59" s="468"/>
      <c r="WJZ59" s="468"/>
      <c r="WKA59" s="468"/>
      <c r="WKB59" s="468"/>
      <c r="WKC59" s="468"/>
      <c r="WKD59" s="468"/>
      <c r="WKE59" s="468"/>
      <c r="WKF59" s="468"/>
      <c r="WKG59" s="468"/>
      <c r="WKH59" s="468"/>
      <c r="WKI59" s="468"/>
      <c r="WKJ59" s="468"/>
      <c r="WKK59" s="468"/>
      <c r="WKL59" s="468"/>
      <c r="WKM59" s="468"/>
      <c r="WKN59" s="468"/>
      <c r="WKO59" s="468"/>
      <c r="WKP59" s="468"/>
      <c r="WKQ59" s="468"/>
      <c r="WKR59" s="468"/>
      <c r="WKS59" s="468"/>
      <c r="WKT59" s="468"/>
      <c r="WKU59" s="468"/>
      <c r="WKV59" s="468"/>
      <c r="WKW59" s="468"/>
      <c r="WKX59" s="468"/>
      <c r="WKY59" s="468"/>
      <c r="WKZ59" s="468"/>
      <c r="WLA59" s="468"/>
      <c r="WLB59" s="468"/>
      <c r="WLC59" s="468"/>
      <c r="WLD59" s="468"/>
      <c r="WLE59" s="468"/>
      <c r="WLF59" s="468"/>
      <c r="WLG59" s="468"/>
      <c r="WLH59" s="468"/>
      <c r="WLI59" s="468"/>
      <c r="WLJ59" s="468"/>
      <c r="WLK59" s="468"/>
      <c r="WLL59" s="468"/>
      <c r="WLM59" s="468"/>
      <c r="WLN59" s="468"/>
      <c r="WLO59" s="468"/>
      <c r="WLP59" s="468"/>
      <c r="WLQ59" s="468"/>
      <c r="WLR59" s="468"/>
      <c r="WLS59" s="468"/>
      <c r="WLT59" s="468"/>
      <c r="WLU59" s="468"/>
      <c r="WLV59" s="468"/>
      <c r="WLW59" s="468"/>
      <c r="WLX59" s="468"/>
      <c r="WLY59" s="468"/>
      <c r="WLZ59" s="468"/>
      <c r="WMA59" s="468"/>
      <c r="WMB59" s="468"/>
      <c r="WMC59" s="468"/>
      <c r="WMD59" s="468"/>
      <c r="WME59" s="468"/>
      <c r="WMF59" s="468"/>
      <c r="WMG59" s="468"/>
      <c r="WMH59" s="468"/>
      <c r="WMI59" s="468"/>
      <c r="WMJ59" s="468"/>
      <c r="WMK59" s="468"/>
      <c r="WML59" s="468"/>
      <c r="WMM59" s="468"/>
      <c r="WMN59" s="468"/>
      <c r="WMO59" s="468"/>
      <c r="WMP59" s="468"/>
      <c r="WMQ59" s="468"/>
      <c r="WMR59" s="468"/>
      <c r="WMS59" s="468"/>
      <c r="WMT59" s="468"/>
      <c r="WMU59" s="468"/>
      <c r="WMV59" s="468"/>
      <c r="WMW59" s="468"/>
      <c r="WMX59" s="468"/>
      <c r="WMY59" s="468"/>
      <c r="WMZ59" s="468"/>
      <c r="WNA59" s="468"/>
      <c r="WNB59" s="468"/>
      <c r="WNC59" s="468"/>
      <c r="WND59" s="468"/>
      <c r="WNE59" s="468"/>
      <c r="WNF59" s="468"/>
      <c r="WNG59" s="468"/>
      <c r="WNH59" s="468"/>
      <c r="WNI59" s="468"/>
      <c r="WNJ59" s="468"/>
      <c r="WNK59" s="468"/>
      <c r="WNL59" s="468"/>
      <c r="WNM59" s="468"/>
      <c r="WNN59" s="468"/>
      <c r="WNO59" s="468"/>
      <c r="WNP59" s="468"/>
      <c r="WNQ59" s="468"/>
      <c r="WNR59" s="468"/>
      <c r="WNS59" s="468"/>
      <c r="WNT59" s="468"/>
      <c r="WNU59" s="468"/>
      <c r="WNV59" s="468"/>
      <c r="WNW59" s="468"/>
      <c r="WNX59" s="468"/>
      <c r="WNY59" s="468"/>
      <c r="WNZ59" s="468"/>
      <c r="WOA59" s="468"/>
      <c r="WOB59" s="468"/>
      <c r="WOC59" s="468"/>
      <c r="WOD59" s="468"/>
      <c r="WOE59" s="468"/>
      <c r="WOF59" s="468"/>
      <c r="WOG59" s="468"/>
      <c r="WOH59" s="468"/>
      <c r="WOI59" s="468"/>
      <c r="WOJ59" s="468"/>
      <c r="WOK59" s="468"/>
      <c r="WOL59" s="468"/>
      <c r="WOM59" s="468"/>
      <c r="WON59" s="468"/>
      <c r="WOO59" s="468"/>
      <c r="WOP59" s="468"/>
      <c r="WOQ59" s="468"/>
      <c r="WOR59" s="468"/>
      <c r="WOS59" s="468"/>
      <c r="WOT59" s="468"/>
      <c r="WOU59" s="468"/>
      <c r="WOV59" s="468"/>
      <c r="WOW59" s="468"/>
      <c r="WOX59" s="468"/>
      <c r="WOY59" s="468"/>
      <c r="WOZ59" s="468"/>
      <c r="WPA59" s="468"/>
      <c r="WPB59" s="468"/>
      <c r="WPC59" s="468"/>
      <c r="WPD59" s="468"/>
      <c r="WPE59" s="468"/>
      <c r="WPF59" s="468"/>
      <c r="WPG59" s="468"/>
      <c r="WPH59" s="468"/>
      <c r="WPI59" s="468"/>
      <c r="WPJ59" s="468"/>
      <c r="WPK59" s="468"/>
      <c r="WPL59" s="468"/>
      <c r="WPM59" s="468"/>
      <c r="WPN59" s="468"/>
      <c r="WPO59" s="468"/>
      <c r="WPP59" s="468"/>
      <c r="WPQ59" s="468"/>
      <c r="WPR59" s="468"/>
      <c r="WPS59" s="468"/>
      <c r="WPT59" s="468"/>
      <c r="WPU59" s="468"/>
      <c r="WPV59" s="468"/>
      <c r="WPW59" s="468"/>
      <c r="WPX59" s="468"/>
      <c r="WPY59" s="468"/>
      <c r="WPZ59" s="468"/>
      <c r="WQA59" s="468"/>
      <c r="WQB59" s="468"/>
      <c r="WQC59" s="468"/>
      <c r="WQD59" s="468"/>
      <c r="WQE59" s="468"/>
      <c r="WQF59" s="468"/>
      <c r="WQG59" s="468"/>
      <c r="WQH59" s="468"/>
      <c r="WQI59" s="468"/>
      <c r="WQJ59" s="468"/>
      <c r="WQK59" s="468"/>
      <c r="WQL59" s="468"/>
      <c r="WQM59" s="468"/>
      <c r="WQN59" s="468"/>
      <c r="WQO59" s="468"/>
      <c r="WQP59" s="468"/>
      <c r="WQQ59" s="468"/>
      <c r="WQR59" s="468"/>
      <c r="WQS59" s="468"/>
      <c r="WQT59" s="468"/>
      <c r="WQU59" s="468"/>
      <c r="WQV59" s="468"/>
      <c r="WQW59" s="468"/>
      <c r="WQX59" s="468"/>
      <c r="WQY59" s="468"/>
      <c r="WQZ59" s="468"/>
      <c r="WRA59" s="468"/>
      <c r="WRB59" s="468"/>
      <c r="WRC59" s="468"/>
      <c r="WRD59" s="468"/>
      <c r="WRE59" s="468"/>
      <c r="WRF59" s="468"/>
      <c r="WRG59" s="468"/>
      <c r="WRH59" s="468"/>
      <c r="WRI59" s="468"/>
      <c r="WRJ59" s="468"/>
      <c r="WRK59" s="468"/>
      <c r="WRL59" s="468"/>
      <c r="WRM59" s="468"/>
      <c r="WRN59" s="468"/>
      <c r="WRO59" s="468"/>
      <c r="WRP59" s="468"/>
      <c r="WRQ59" s="468"/>
      <c r="WRR59" s="468"/>
      <c r="WRS59" s="468"/>
      <c r="WRT59" s="468"/>
      <c r="WRU59" s="468"/>
      <c r="WRV59" s="468"/>
      <c r="WRW59" s="468"/>
      <c r="WRX59" s="468"/>
      <c r="WRY59" s="468"/>
      <c r="WRZ59" s="468"/>
      <c r="WSA59" s="468"/>
      <c r="WSB59" s="468"/>
      <c r="WSC59" s="468"/>
      <c r="WSD59" s="468"/>
      <c r="WSE59" s="468"/>
      <c r="WSF59" s="468"/>
      <c r="WSG59" s="468"/>
      <c r="WSH59" s="468"/>
      <c r="WSI59" s="468"/>
      <c r="WSJ59" s="468"/>
      <c r="WSK59" s="468"/>
      <c r="WSL59" s="468"/>
      <c r="WSM59" s="468"/>
      <c r="WSN59" s="468"/>
      <c r="WSO59" s="468"/>
      <c r="WSP59" s="468"/>
      <c r="WSQ59" s="468"/>
      <c r="WSR59" s="468"/>
      <c r="WSS59" s="468"/>
      <c r="WST59" s="468"/>
      <c r="WSU59" s="468"/>
      <c r="WSV59" s="468"/>
      <c r="WSW59" s="468"/>
      <c r="WSX59" s="468"/>
      <c r="WSY59" s="468"/>
      <c r="WSZ59" s="468"/>
      <c r="WTA59" s="468"/>
      <c r="WTB59" s="468"/>
      <c r="WTC59" s="468"/>
      <c r="WTD59" s="468"/>
      <c r="WTE59" s="468"/>
      <c r="WTF59" s="468"/>
      <c r="WTG59" s="468"/>
      <c r="WTH59" s="468"/>
      <c r="WTI59" s="468"/>
      <c r="WTJ59" s="468"/>
      <c r="WTK59" s="468"/>
      <c r="WTL59" s="468"/>
      <c r="WTM59" s="468"/>
      <c r="WTN59" s="468"/>
      <c r="WTO59" s="468"/>
      <c r="WTP59" s="468"/>
      <c r="WTQ59" s="468"/>
      <c r="WTR59" s="468"/>
      <c r="WTS59" s="468"/>
      <c r="WTT59" s="468"/>
      <c r="WTU59" s="468"/>
      <c r="WTV59" s="468"/>
      <c r="WTW59" s="468"/>
      <c r="WTX59" s="468"/>
      <c r="WTY59" s="468"/>
      <c r="WTZ59" s="468"/>
      <c r="WUA59" s="468"/>
      <c r="WUB59" s="468"/>
      <c r="WUC59" s="468"/>
      <c r="WUD59" s="468"/>
      <c r="WUE59" s="468"/>
      <c r="WUF59" s="468"/>
      <c r="WUG59" s="468"/>
      <c r="WUH59" s="468"/>
      <c r="WUI59" s="468"/>
      <c r="WUJ59" s="468"/>
      <c r="WUK59" s="468"/>
      <c r="WUL59" s="468"/>
      <c r="WUM59" s="468"/>
      <c r="WUN59" s="468"/>
      <c r="WUO59" s="468"/>
      <c r="WUP59" s="468"/>
      <c r="WUQ59" s="468"/>
      <c r="WUR59" s="468"/>
      <c r="WUS59" s="468"/>
      <c r="WUT59" s="468"/>
      <c r="WUU59" s="468"/>
      <c r="WUV59" s="468"/>
      <c r="WUW59" s="468"/>
      <c r="WUX59" s="468"/>
      <c r="WUY59" s="468"/>
      <c r="WUZ59" s="468"/>
      <c r="WVA59" s="468"/>
      <c r="WVB59" s="468"/>
      <c r="WVC59" s="468"/>
      <c r="WVD59" s="468"/>
      <c r="WVE59" s="468"/>
      <c r="WVF59" s="468"/>
      <c r="WVG59" s="468"/>
      <c r="WVH59" s="468"/>
      <c r="WVI59" s="468"/>
      <c r="WVJ59" s="468"/>
      <c r="WVK59" s="468"/>
      <c r="WVL59" s="468"/>
      <c r="WVM59" s="468"/>
      <c r="WVN59" s="468"/>
      <c r="WVO59" s="468"/>
      <c r="WVP59" s="468"/>
      <c r="WVQ59" s="468"/>
      <c r="WVR59" s="468"/>
      <c r="WVS59" s="468"/>
      <c r="WVT59" s="468"/>
      <c r="WVU59" s="468"/>
      <c r="WVV59" s="468"/>
      <c r="WVW59" s="468"/>
      <c r="WVX59" s="468"/>
      <c r="WVY59" s="468"/>
      <c r="WVZ59" s="468"/>
      <c r="WWA59" s="468"/>
      <c r="WWB59" s="468"/>
      <c r="WWC59" s="468"/>
      <c r="WWD59" s="468"/>
      <c r="WWE59" s="468"/>
      <c r="WWF59" s="468"/>
      <c r="WWG59" s="468"/>
      <c r="WWH59" s="468"/>
      <c r="WWI59" s="468"/>
      <c r="WWJ59" s="468"/>
      <c r="WWK59" s="468"/>
      <c r="WWL59" s="468"/>
      <c r="WWM59" s="468"/>
      <c r="WWN59" s="468"/>
      <c r="WWO59" s="468"/>
      <c r="WWP59" s="468"/>
      <c r="WWQ59" s="468"/>
      <c r="WWR59" s="468"/>
      <c r="WWS59" s="468"/>
      <c r="WWT59" s="468"/>
      <c r="WWU59" s="468"/>
      <c r="WWV59" s="468"/>
      <c r="WWW59" s="468"/>
      <c r="WWX59" s="468"/>
      <c r="WWY59" s="468"/>
      <c r="WWZ59" s="468"/>
      <c r="WXA59" s="468"/>
      <c r="WXB59" s="468"/>
      <c r="WXC59" s="468"/>
      <c r="WXD59" s="468"/>
      <c r="WXE59" s="468"/>
      <c r="WXF59" s="468"/>
      <c r="WXG59" s="468"/>
      <c r="WXH59" s="468"/>
      <c r="WXI59" s="468"/>
      <c r="WXJ59" s="468"/>
      <c r="WXK59" s="468"/>
      <c r="WXL59" s="468"/>
      <c r="WXM59" s="468"/>
      <c r="WXN59" s="468"/>
      <c r="WXO59" s="468"/>
      <c r="WXP59" s="468"/>
      <c r="WXQ59" s="468"/>
      <c r="WXR59" s="468"/>
      <c r="WXS59" s="468"/>
      <c r="WXT59" s="468"/>
      <c r="WXU59" s="468"/>
      <c r="WXV59" s="468"/>
      <c r="WXW59" s="468"/>
      <c r="WXX59" s="468"/>
      <c r="WXY59" s="468"/>
      <c r="WXZ59" s="468"/>
      <c r="WYA59" s="468"/>
      <c r="WYB59" s="468"/>
      <c r="WYC59" s="468"/>
      <c r="WYD59" s="468"/>
      <c r="WYE59" s="468"/>
      <c r="WYF59" s="468"/>
      <c r="WYG59" s="468"/>
      <c r="WYH59" s="468"/>
      <c r="WYI59" s="468"/>
      <c r="WYJ59" s="468"/>
      <c r="WYK59" s="468"/>
      <c r="WYL59" s="468"/>
      <c r="WYM59" s="468"/>
      <c r="WYN59" s="468"/>
      <c r="WYO59" s="468"/>
      <c r="WYP59" s="468"/>
      <c r="WYQ59" s="468"/>
      <c r="WYR59" s="468"/>
      <c r="WYS59" s="468"/>
      <c r="WYT59" s="468"/>
      <c r="WYU59" s="468"/>
      <c r="WYV59" s="468"/>
      <c r="WYW59" s="468"/>
      <c r="WYX59" s="468"/>
      <c r="WYY59" s="468"/>
      <c r="WYZ59" s="468"/>
      <c r="WZA59" s="468"/>
      <c r="WZB59" s="468"/>
      <c r="WZC59" s="468"/>
      <c r="WZD59" s="468"/>
      <c r="WZE59" s="468"/>
      <c r="WZF59" s="468"/>
      <c r="WZG59" s="468"/>
      <c r="WZH59" s="468"/>
      <c r="WZI59" s="468"/>
      <c r="WZJ59" s="468"/>
      <c r="WZK59" s="468"/>
      <c r="WZL59" s="468"/>
      <c r="WZM59" s="468"/>
      <c r="WZN59" s="468"/>
      <c r="WZO59" s="468"/>
      <c r="WZP59" s="468"/>
      <c r="WZQ59" s="468"/>
      <c r="WZR59" s="468"/>
      <c r="WZS59" s="468"/>
      <c r="WZT59" s="468"/>
      <c r="WZU59" s="468"/>
      <c r="WZV59" s="468"/>
      <c r="WZW59" s="468"/>
      <c r="WZX59" s="468"/>
      <c r="WZY59" s="468"/>
      <c r="WZZ59" s="468"/>
      <c r="XAA59" s="468"/>
      <c r="XAB59" s="468"/>
      <c r="XAC59" s="468"/>
      <c r="XAD59" s="468"/>
      <c r="XAE59" s="468"/>
      <c r="XAF59" s="468"/>
      <c r="XAG59" s="468"/>
      <c r="XAH59" s="468"/>
      <c r="XAI59" s="468"/>
      <c r="XAJ59" s="468"/>
      <c r="XAK59" s="468"/>
      <c r="XAL59" s="468"/>
      <c r="XAM59" s="468"/>
      <c r="XAN59" s="468"/>
      <c r="XAO59" s="468"/>
      <c r="XAP59" s="468"/>
      <c r="XAQ59" s="468"/>
      <c r="XAR59" s="468"/>
      <c r="XAS59" s="468"/>
      <c r="XAT59" s="468"/>
      <c r="XAU59" s="468"/>
      <c r="XAV59" s="468"/>
      <c r="XAW59" s="468"/>
      <c r="XAX59" s="468"/>
      <c r="XAY59" s="468"/>
      <c r="XAZ59" s="468"/>
      <c r="XBA59" s="468"/>
      <c r="XBB59" s="468"/>
      <c r="XBC59" s="468"/>
      <c r="XBD59" s="468"/>
      <c r="XBE59" s="468"/>
      <c r="XBF59" s="653"/>
      <c r="XBG59" s="654"/>
      <c r="XBH59" s="655"/>
      <c r="XBI59" s="656"/>
      <c r="XBJ59" s="116"/>
      <c r="XBK59" s="48"/>
      <c r="XBL59" s="48"/>
      <c r="XBM59" s="657"/>
      <c r="XBN59" s="48"/>
      <c r="XBO59" s="48"/>
      <c r="XBP59" s="48"/>
      <c r="XBQ59" s="48"/>
      <c r="XBR59" s="48"/>
      <c r="XBS59" s="658"/>
      <c r="XBT59" s="654"/>
    </row>
    <row r="60" spans="1:16296" s="204" customFormat="1" ht="28.5" customHeight="1">
      <c r="A60" s="160" t="s">
        <v>501</v>
      </c>
      <c r="B60" s="118" t="s">
        <v>727</v>
      </c>
      <c r="C60" s="86" t="s">
        <v>721</v>
      </c>
      <c r="D60" s="141" t="s">
        <v>170</v>
      </c>
      <c r="E60" s="141"/>
      <c r="F60" s="141"/>
      <c r="G60" s="141"/>
      <c r="H60" s="30" t="s">
        <v>648</v>
      </c>
      <c r="I60" s="30">
        <v>809</v>
      </c>
      <c r="J60" s="212">
        <v>42130</v>
      </c>
      <c r="K60" s="158"/>
      <c r="L60" s="158">
        <v>70</v>
      </c>
      <c r="M60" s="158"/>
      <c r="N60" s="158"/>
      <c r="O60" s="158"/>
      <c r="P60" s="158">
        <v>4824714370</v>
      </c>
      <c r="Q60" s="158">
        <f>P60/BD60</f>
        <v>68924491</v>
      </c>
      <c r="R60" s="158"/>
      <c r="S60" s="158"/>
      <c r="T60" s="158"/>
      <c r="U60" s="158">
        <v>2018356235</v>
      </c>
      <c r="V60" s="158">
        <v>10</v>
      </c>
      <c r="W60" s="158"/>
      <c r="X60" s="158"/>
      <c r="Y60" s="158"/>
      <c r="Z60" s="94">
        <v>2806358135</v>
      </c>
      <c r="AA60" s="158">
        <v>20</v>
      </c>
      <c r="AB60" s="158"/>
      <c r="AC60" s="158"/>
      <c r="AD60" s="158"/>
      <c r="AE60" s="158"/>
      <c r="AF60" s="94">
        <f>P60-U60-Z60</f>
        <v>0</v>
      </c>
      <c r="AG60" s="94"/>
      <c r="AH60" s="94">
        <v>0</v>
      </c>
      <c r="AI60" s="94">
        <v>0</v>
      </c>
      <c r="AJ60" s="94"/>
      <c r="AK60" s="94">
        <f>AF60+AH60</f>
        <v>0</v>
      </c>
      <c r="AL60" s="94">
        <v>877</v>
      </c>
      <c r="AM60" s="94">
        <v>10</v>
      </c>
      <c r="AN60" s="158"/>
      <c r="AO60" s="158"/>
      <c r="AP60" s="158"/>
      <c r="AQ60" s="158"/>
      <c r="AR60" s="158"/>
      <c r="AS60" s="158"/>
      <c r="AT60" s="2">
        <v>1</v>
      </c>
      <c r="AU60" s="58" t="s">
        <v>646</v>
      </c>
      <c r="AV60" s="104"/>
      <c r="AW60" s="158" t="s">
        <v>0</v>
      </c>
      <c r="AX60" s="158"/>
      <c r="AY60" s="158"/>
      <c r="AZ60" s="158">
        <v>70</v>
      </c>
      <c r="BA60" s="158"/>
      <c r="BB60" s="158"/>
      <c r="BC60" s="158"/>
      <c r="BD60" s="158">
        <v>70</v>
      </c>
      <c r="BE60" s="158"/>
      <c r="BF60" s="271">
        <v>2019</v>
      </c>
      <c r="BG60" s="271">
        <v>2019</v>
      </c>
      <c r="BH60" s="271"/>
      <c r="BI60" s="271" t="s">
        <v>2375</v>
      </c>
    </row>
    <row r="61" spans="1:16296" s="204" customFormat="1" ht="27.75" customHeight="1">
      <c r="A61" s="160" t="s">
        <v>501</v>
      </c>
      <c r="B61" s="118" t="s">
        <v>727</v>
      </c>
      <c r="C61" s="86" t="s">
        <v>1060</v>
      </c>
      <c r="D61" s="141" t="s">
        <v>170</v>
      </c>
      <c r="E61" s="141"/>
      <c r="F61" s="141"/>
      <c r="G61" s="141"/>
      <c r="H61" s="30" t="s">
        <v>648</v>
      </c>
      <c r="I61" s="30">
        <v>809</v>
      </c>
      <c r="J61" s="212">
        <v>42130</v>
      </c>
      <c r="K61" s="158"/>
      <c r="L61" s="158"/>
      <c r="M61" s="158">
        <v>6</v>
      </c>
      <c r="N61" s="158">
        <v>6</v>
      </c>
      <c r="O61" s="158"/>
      <c r="P61" s="158">
        <v>413546946</v>
      </c>
      <c r="Q61" s="94">
        <f t="shared" ref="Q61" si="14">P61/AN61</f>
        <v>68924491</v>
      </c>
      <c r="R61" s="158"/>
      <c r="S61" s="158"/>
      <c r="T61" s="158"/>
      <c r="U61" s="158"/>
      <c r="V61" s="158"/>
      <c r="W61" s="158"/>
      <c r="X61" s="158"/>
      <c r="Y61" s="158"/>
      <c r="Z61" s="94"/>
      <c r="AA61" s="158"/>
      <c r="AB61" s="158"/>
      <c r="AC61" s="158"/>
      <c r="AD61" s="158"/>
      <c r="AE61" s="158"/>
      <c r="AF61" s="94">
        <f>P61-U61-Z61-413546946</f>
        <v>0</v>
      </c>
      <c r="AG61" s="94"/>
      <c r="AH61" s="94">
        <v>413546946</v>
      </c>
      <c r="AI61" s="94">
        <v>413546946</v>
      </c>
      <c r="AJ61" s="94"/>
      <c r="AK61" s="602">
        <f>P61-R61-U61-Z61</f>
        <v>413546946</v>
      </c>
      <c r="AL61" s="175">
        <v>877</v>
      </c>
      <c r="AM61" s="175">
        <v>10</v>
      </c>
      <c r="AN61" s="158">
        <v>6</v>
      </c>
      <c r="AO61" s="158"/>
      <c r="AP61" s="158"/>
      <c r="AQ61" s="158"/>
      <c r="AR61" s="158"/>
      <c r="AS61" s="158"/>
      <c r="AT61" s="2">
        <v>0</v>
      </c>
      <c r="AU61" s="58" t="s">
        <v>521</v>
      </c>
      <c r="AV61" s="104"/>
      <c r="AW61" s="158"/>
      <c r="AX61" s="158"/>
      <c r="AY61" s="158"/>
      <c r="AZ61" s="158"/>
      <c r="BA61" s="158"/>
      <c r="BB61" s="158"/>
      <c r="BC61" s="158"/>
      <c r="BD61" s="158"/>
      <c r="BE61" s="158"/>
      <c r="BF61" s="271"/>
      <c r="BG61" s="271">
        <v>2019</v>
      </c>
      <c r="BH61" s="271">
        <v>2020</v>
      </c>
      <c r="BI61" s="271" t="s">
        <v>2375</v>
      </c>
    </row>
    <row r="62" spans="1:16296" s="204" customFormat="1" ht="29.25" customHeight="1">
      <c r="A62" s="160" t="s">
        <v>501</v>
      </c>
      <c r="B62" s="118" t="s">
        <v>727</v>
      </c>
      <c r="C62" s="118" t="s">
        <v>33</v>
      </c>
      <c r="D62" s="118" t="s">
        <v>16</v>
      </c>
      <c r="E62" s="118"/>
      <c r="F62" s="118"/>
      <c r="G62" s="118"/>
      <c r="H62" s="30" t="s">
        <v>1549</v>
      </c>
      <c r="I62" s="115" t="s">
        <v>1702</v>
      </c>
      <c r="J62" s="215" t="s">
        <v>1547</v>
      </c>
      <c r="K62" s="158"/>
      <c r="L62" s="158"/>
      <c r="M62" s="158"/>
      <c r="N62" s="158"/>
      <c r="O62" s="158"/>
      <c r="P62" s="158">
        <f>3326338256-69298713</f>
        <v>3257039543</v>
      </c>
      <c r="Q62" s="158"/>
      <c r="R62" s="158"/>
      <c r="S62" s="158"/>
      <c r="T62" s="158"/>
      <c r="U62" s="94">
        <v>1437619174</v>
      </c>
      <c r="V62" s="158"/>
      <c r="W62" s="158"/>
      <c r="X62" s="158"/>
      <c r="Y62" s="158"/>
      <c r="Z62" s="94">
        <f>1819420358</f>
        <v>1819420358</v>
      </c>
      <c r="AA62" s="158"/>
      <c r="AB62" s="158"/>
      <c r="AC62" s="158"/>
      <c r="AD62" s="158">
        <v>11</v>
      </c>
      <c r="AE62" s="158"/>
      <c r="AF62" s="94">
        <f>P62-U62-Z62-AD62</f>
        <v>0</v>
      </c>
      <c r="AG62" s="94"/>
      <c r="AH62" s="94">
        <v>0</v>
      </c>
      <c r="AI62" s="94">
        <v>0</v>
      </c>
      <c r="AJ62" s="94"/>
      <c r="AK62" s="175">
        <f>AF62+AH62</f>
        <v>0</v>
      </c>
      <c r="AL62" s="158">
        <v>877</v>
      </c>
      <c r="AM62" s="94">
        <v>10</v>
      </c>
      <c r="AN62" s="158"/>
      <c r="AO62" s="158"/>
      <c r="AP62" s="158"/>
      <c r="AQ62" s="158"/>
      <c r="AR62" s="158"/>
      <c r="AS62" s="158"/>
      <c r="AT62" s="2"/>
      <c r="AU62" s="58"/>
      <c r="AV62" s="104" t="s">
        <v>1550</v>
      </c>
      <c r="AW62" s="158">
        <v>49</v>
      </c>
      <c r="AX62" s="158"/>
      <c r="AY62" s="158"/>
      <c r="AZ62" s="158"/>
      <c r="BA62" s="158"/>
      <c r="BB62" s="158"/>
      <c r="BC62" s="69"/>
      <c r="BD62" s="69"/>
      <c r="BE62" s="69"/>
      <c r="BF62" s="431" t="s">
        <v>2193</v>
      </c>
      <c r="BG62" s="431" t="s">
        <v>2193</v>
      </c>
      <c r="BH62" s="444"/>
      <c r="BI62" s="271" t="s">
        <v>2375</v>
      </c>
    </row>
    <row r="63" spans="1:16296" s="204" customFormat="1" ht="29.25" customHeight="1">
      <c r="A63" s="160" t="s">
        <v>501</v>
      </c>
      <c r="B63" s="118" t="s">
        <v>37</v>
      </c>
      <c r="C63" s="118" t="s">
        <v>34</v>
      </c>
      <c r="D63" s="118" t="s">
        <v>35</v>
      </c>
      <c r="E63" s="118"/>
      <c r="F63" s="118"/>
      <c r="G63" s="118"/>
      <c r="H63" s="30"/>
      <c r="I63" s="115"/>
      <c r="J63" s="212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94"/>
      <c r="V63" s="158"/>
      <c r="W63" s="158"/>
      <c r="X63" s="158"/>
      <c r="Y63" s="158"/>
      <c r="Z63" s="94"/>
      <c r="AA63" s="158"/>
      <c r="AB63" s="158"/>
      <c r="AC63" s="158"/>
      <c r="AD63" s="158"/>
      <c r="AE63" s="158"/>
      <c r="AF63" s="94"/>
      <c r="AG63" s="94"/>
      <c r="AH63" s="94"/>
      <c r="AI63" s="94"/>
      <c r="AJ63" s="94"/>
      <c r="AK63" s="94">
        <f t="shared" ref="AK63:AK82" si="15">AF63+AH63</f>
        <v>0</v>
      </c>
      <c r="AL63" s="94"/>
      <c r="AM63" s="94"/>
      <c r="AN63" s="158"/>
      <c r="AO63" s="158"/>
      <c r="AP63" s="158"/>
      <c r="AQ63" s="158"/>
      <c r="AR63" s="158"/>
      <c r="AS63" s="158"/>
      <c r="AT63" s="2"/>
      <c r="AU63" s="58" t="s">
        <v>0</v>
      </c>
      <c r="AV63" s="104"/>
      <c r="AW63" s="158">
        <v>40</v>
      </c>
      <c r="AX63" s="158"/>
      <c r="AY63" s="158"/>
      <c r="AZ63" s="158"/>
      <c r="BA63" s="158"/>
      <c r="BB63" s="158"/>
      <c r="BC63" s="69"/>
      <c r="BD63" s="69"/>
      <c r="BE63" s="69"/>
      <c r="BF63" s="271">
        <v>2016</v>
      </c>
      <c r="BG63" s="271"/>
      <c r="BH63" s="271"/>
      <c r="BI63" s="271" t="s">
        <v>2376</v>
      </c>
    </row>
    <row r="64" spans="1:16296" s="204" customFormat="1" ht="15" customHeight="1">
      <c r="A64" s="160" t="s">
        <v>501</v>
      </c>
      <c r="B64" s="118" t="s">
        <v>37</v>
      </c>
      <c r="C64" s="118" t="s">
        <v>36</v>
      </c>
      <c r="D64" s="118" t="s">
        <v>16</v>
      </c>
      <c r="E64" s="118"/>
      <c r="F64" s="118"/>
      <c r="G64" s="118"/>
      <c r="H64" s="58"/>
      <c r="I64" s="58"/>
      <c r="J64" s="212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94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94">
        <f t="shared" si="15"/>
        <v>0</v>
      </c>
      <c r="AL64" s="158"/>
      <c r="AM64" s="94"/>
      <c r="AN64" s="158"/>
      <c r="AO64" s="158"/>
      <c r="AP64" s="158"/>
      <c r="AQ64" s="158"/>
      <c r="AR64" s="158"/>
      <c r="AS64" s="158"/>
      <c r="AT64" s="2"/>
      <c r="AU64" s="58"/>
      <c r="AV64" s="104"/>
      <c r="AW64" s="158">
        <v>38</v>
      </c>
      <c r="AX64" s="158"/>
      <c r="AY64" s="158"/>
      <c r="AZ64" s="158"/>
      <c r="BA64" s="158"/>
      <c r="BB64" s="158"/>
      <c r="BC64" s="69"/>
      <c r="BD64" s="69"/>
      <c r="BE64" s="69"/>
      <c r="BF64" s="271">
        <v>2016</v>
      </c>
      <c r="BG64" s="271"/>
      <c r="BH64" s="271"/>
      <c r="BI64" s="271" t="s">
        <v>2376</v>
      </c>
    </row>
    <row r="65" spans="1:61" s="204" customFormat="1" ht="15" customHeight="1">
      <c r="A65" s="160" t="s">
        <v>501</v>
      </c>
      <c r="B65" s="142" t="s">
        <v>25</v>
      </c>
      <c r="C65" s="142" t="s">
        <v>933</v>
      </c>
      <c r="D65" s="142" t="s">
        <v>16</v>
      </c>
      <c r="E65" s="142"/>
      <c r="F65" s="142"/>
      <c r="G65" s="142"/>
      <c r="H65" s="30" t="s">
        <v>651</v>
      </c>
      <c r="I65" s="30"/>
      <c r="J65" s="212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94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94">
        <f t="shared" si="15"/>
        <v>0</v>
      </c>
      <c r="AL65" s="158"/>
      <c r="AM65" s="94"/>
      <c r="AN65" s="158"/>
      <c r="AO65" s="158"/>
      <c r="AP65" s="158"/>
      <c r="AQ65" s="158"/>
      <c r="AR65" s="158"/>
      <c r="AS65" s="158"/>
      <c r="AT65" s="2">
        <v>1</v>
      </c>
      <c r="AU65" s="58" t="s">
        <v>646</v>
      </c>
      <c r="AV65" s="104"/>
      <c r="AW65" s="158"/>
      <c r="AX65" s="158">
        <v>30</v>
      </c>
      <c r="AY65" s="158"/>
      <c r="AZ65" s="158"/>
      <c r="BA65" s="158"/>
      <c r="BB65" s="158"/>
      <c r="BC65" s="69"/>
      <c r="BD65" s="69"/>
      <c r="BE65" s="69"/>
      <c r="BF65" s="271">
        <v>2017</v>
      </c>
      <c r="BG65" s="268"/>
      <c r="BH65" s="271"/>
      <c r="BI65" s="271" t="s">
        <v>2376</v>
      </c>
    </row>
    <row r="66" spans="1:61" s="204" customFormat="1" ht="15" customHeight="1">
      <c r="A66" s="160" t="s">
        <v>501</v>
      </c>
      <c r="B66" s="142" t="s">
        <v>25</v>
      </c>
      <c r="C66" s="141" t="s">
        <v>933</v>
      </c>
      <c r="D66" s="142" t="s">
        <v>16</v>
      </c>
      <c r="E66" s="142"/>
      <c r="F66" s="142"/>
      <c r="G66" s="142"/>
      <c r="H66" s="30" t="s">
        <v>651</v>
      </c>
      <c r="I66" s="30"/>
      <c r="J66" s="212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94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94">
        <f t="shared" si="15"/>
        <v>0</v>
      </c>
      <c r="AL66" s="158"/>
      <c r="AM66" s="94"/>
      <c r="AN66" s="158"/>
      <c r="AO66" s="158"/>
      <c r="AP66" s="158"/>
      <c r="AQ66" s="158"/>
      <c r="AR66" s="158"/>
      <c r="AS66" s="158"/>
      <c r="AT66" s="2">
        <v>1</v>
      </c>
      <c r="AU66" s="58" t="s">
        <v>646</v>
      </c>
      <c r="AV66" s="104" t="s">
        <v>1110</v>
      </c>
      <c r="AW66" s="158"/>
      <c r="AX66" s="158"/>
      <c r="AY66" s="72">
        <v>1</v>
      </c>
      <c r="AZ66" s="158"/>
      <c r="BA66" s="158"/>
      <c r="BB66" s="158">
        <v>1</v>
      </c>
      <c r="BC66" s="69"/>
      <c r="BD66" s="69"/>
      <c r="BE66" s="69"/>
      <c r="BF66" s="271">
        <v>2018</v>
      </c>
      <c r="BG66" s="268"/>
      <c r="BH66" s="271"/>
      <c r="BI66" s="271" t="s">
        <v>2376</v>
      </c>
    </row>
    <row r="67" spans="1:61" s="204" customFormat="1" ht="15" customHeight="1">
      <c r="A67" s="160" t="s">
        <v>501</v>
      </c>
      <c r="B67" s="118" t="s">
        <v>25</v>
      </c>
      <c r="C67" s="118" t="s">
        <v>652</v>
      </c>
      <c r="D67" s="118" t="s">
        <v>16</v>
      </c>
      <c r="E67" s="118"/>
      <c r="F67" s="118"/>
      <c r="G67" s="118"/>
      <c r="H67" s="30" t="s">
        <v>651</v>
      </c>
      <c r="I67" s="30"/>
      <c r="J67" s="212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94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94">
        <f t="shared" si="15"/>
        <v>0</v>
      </c>
      <c r="AL67" s="158"/>
      <c r="AM67" s="94"/>
      <c r="AN67" s="158"/>
      <c r="AO67" s="158"/>
      <c r="AP67" s="158"/>
      <c r="AQ67" s="158"/>
      <c r="AR67" s="158"/>
      <c r="AS67" s="158"/>
      <c r="AT67" s="2">
        <v>1</v>
      </c>
      <c r="AU67" s="58" t="s">
        <v>646</v>
      </c>
      <c r="AV67" s="104"/>
      <c r="AW67" s="158"/>
      <c r="AX67" s="158">
        <v>29</v>
      </c>
      <c r="AY67" s="158"/>
      <c r="AZ67" s="158"/>
      <c r="BA67" s="158"/>
      <c r="BB67" s="158"/>
      <c r="BC67" s="69"/>
      <c r="BD67" s="69"/>
      <c r="BE67" s="69"/>
      <c r="BF67" s="271">
        <v>2017</v>
      </c>
      <c r="BG67" s="268"/>
      <c r="BH67" s="271"/>
      <c r="BI67" s="271" t="s">
        <v>2376</v>
      </c>
    </row>
    <row r="68" spans="1:61" s="204" customFormat="1" ht="15" customHeight="1">
      <c r="A68" s="160" t="s">
        <v>501</v>
      </c>
      <c r="B68" s="118" t="s">
        <v>25</v>
      </c>
      <c r="C68" s="118" t="s">
        <v>934</v>
      </c>
      <c r="D68" s="118" t="s">
        <v>16</v>
      </c>
      <c r="E68" s="118"/>
      <c r="F68" s="118"/>
      <c r="G68" s="118"/>
      <c r="H68" s="30" t="s">
        <v>651</v>
      </c>
      <c r="I68" s="30"/>
      <c r="J68" s="212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94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94">
        <f t="shared" si="15"/>
        <v>0</v>
      </c>
      <c r="AL68" s="158"/>
      <c r="AM68" s="94"/>
      <c r="AN68" s="158"/>
      <c r="AO68" s="158"/>
      <c r="AP68" s="158"/>
      <c r="AQ68" s="158"/>
      <c r="AR68" s="158"/>
      <c r="AS68" s="158"/>
      <c r="AT68" s="2">
        <v>1</v>
      </c>
      <c r="AU68" s="58" t="s">
        <v>646</v>
      </c>
      <c r="AV68" s="104"/>
      <c r="AW68" s="158"/>
      <c r="AX68" s="158">
        <v>32</v>
      </c>
      <c r="AY68" s="12"/>
      <c r="AZ68" s="158"/>
      <c r="BA68" s="158"/>
      <c r="BB68" s="158"/>
      <c r="BC68" s="69"/>
      <c r="BD68" s="69"/>
      <c r="BE68" s="69"/>
      <c r="BF68" s="271">
        <v>2017</v>
      </c>
      <c r="BG68" s="268"/>
      <c r="BH68" s="271"/>
      <c r="BI68" s="271" t="s">
        <v>2376</v>
      </c>
    </row>
    <row r="69" spans="1:61" s="204" customFormat="1" ht="15" customHeight="1">
      <c r="A69" s="160" t="s">
        <v>501</v>
      </c>
      <c r="B69" s="118" t="s">
        <v>28</v>
      </c>
      <c r="C69" s="118" t="s">
        <v>39</v>
      </c>
      <c r="D69" s="118" t="s">
        <v>40</v>
      </c>
      <c r="E69" s="118"/>
      <c r="F69" s="118"/>
      <c r="G69" s="118"/>
      <c r="H69" s="30" t="s">
        <v>635</v>
      </c>
      <c r="I69" s="30"/>
      <c r="J69" s="212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94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94">
        <f t="shared" si="15"/>
        <v>0</v>
      </c>
      <c r="AL69" s="158"/>
      <c r="AM69" s="94"/>
      <c r="AN69" s="158"/>
      <c r="AO69" s="158"/>
      <c r="AP69" s="158"/>
      <c r="AQ69" s="158"/>
      <c r="AR69" s="158"/>
      <c r="AS69" s="158"/>
      <c r="AT69" s="2">
        <v>1</v>
      </c>
      <c r="AU69" s="58" t="s">
        <v>646</v>
      </c>
      <c r="AV69" s="104"/>
      <c r="AW69" s="158"/>
      <c r="AX69" s="158">
        <v>61</v>
      </c>
      <c r="AY69" s="12"/>
      <c r="AZ69" s="158"/>
      <c r="BA69" s="158"/>
      <c r="BB69" s="158"/>
      <c r="BC69" s="69"/>
      <c r="BD69" s="69"/>
      <c r="BE69" s="69"/>
      <c r="BF69" s="271">
        <v>2017</v>
      </c>
      <c r="BG69" s="268"/>
      <c r="BH69" s="271"/>
      <c r="BI69" s="271" t="s">
        <v>2376</v>
      </c>
    </row>
    <row r="70" spans="1:61" s="204" customFormat="1" ht="15" customHeight="1">
      <c r="A70" s="160" t="s">
        <v>501</v>
      </c>
      <c r="B70" s="118" t="s">
        <v>25</v>
      </c>
      <c r="C70" s="118" t="s">
        <v>41</v>
      </c>
      <c r="D70" s="118" t="s">
        <v>16</v>
      </c>
      <c r="E70" s="118"/>
      <c r="F70" s="118"/>
      <c r="G70" s="118"/>
      <c r="H70" s="30" t="s">
        <v>635</v>
      </c>
      <c r="I70" s="30"/>
      <c r="J70" s="212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94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94">
        <f t="shared" si="15"/>
        <v>0</v>
      </c>
      <c r="AL70" s="158"/>
      <c r="AM70" s="94"/>
      <c r="AN70" s="158"/>
      <c r="AO70" s="158"/>
      <c r="AP70" s="158"/>
      <c r="AQ70" s="158"/>
      <c r="AR70" s="158"/>
      <c r="AS70" s="158"/>
      <c r="AT70" s="2">
        <v>1</v>
      </c>
      <c r="AU70" s="58" t="s">
        <v>646</v>
      </c>
      <c r="AV70" s="104"/>
      <c r="AW70" s="158"/>
      <c r="AX70" s="158">
        <v>84</v>
      </c>
      <c r="AY70" s="12"/>
      <c r="AZ70" s="158"/>
      <c r="BA70" s="158"/>
      <c r="BB70" s="158"/>
      <c r="BC70" s="69"/>
      <c r="BD70" s="69"/>
      <c r="BE70" s="69"/>
      <c r="BF70" s="271">
        <v>2017</v>
      </c>
      <c r="BG70" s="268"/>
      <c r="BH70" s="271"/>
      <c r="BI70" s="271" t="s">
        <v>2376</v>
      </c>
    </row>
    <row r="71" spans="1:61" s="204" customFormat="1" ht="22.5" customHeight="1">
      <c r="A71" s="160" t="s">
        <v>501</v>
      </c>
      <c r="B71" s="141" t="s">
        <v>727</v>
      </c>
      <c r="C71" s="77" t="s">
        <v>1059</v>
      </c>
      <c r="D71" s="141" t="s">
        <v>43</v>
      </c>
      <c r="E71" s="141"/>
      <c r="F71" s="141"/>
      <c r="G71" s="141"/>
      <c r="H71" s="30" t="s">
        <v>650</v>
      </c>
      <c r="I71" s="30"/>
      <c r="J71" s="212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94"/>
      <c r="V71" s="158"/>
      <c r="W71" s="158"/>
      <c r="X71" s="158"/>
      <c r="Y71" s="158"/>
      <c r="Z71" s="94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94">
        <f t="shared" si="15"/>
        <v>0</v>
      </c>
      <c r="AL71" s="158"/>
      <c r="AM71" s="94"/>
      <c r="AN71" s="158"/>
      <c r="AO71" s="158"/>
      <c r="AP71" s="158"/>
      <c r="AQ71" s="158"/>
      <c r="AR71" s="158"/>
      <c r="AS71" s="158"/>
      <c r="AT71" s="2">
        <v>1</v>
      </c>
      <c r="AU71" s="58" t="s">
        <v>646</v>
      </c>
      <c r="AV71" s="104"/>
      <c r="AW71" s="158"/>
      <c r="AX71" s="158"/>
      <c r="AY71" s="12">
        <v>133</v>
      </c>
      <c r="AZ71" s="158"/>
      <c r="BA71" s="158"/>
      <c r="BB71" s="158"/>
      <c r="BC71" s="69">
        <v>133</v>
      </c>
      <c r="BD71" s="69">
        <f>+AY71</f>
        <v>133</v>
      </c>
      <c r="BE71" s="69"/>
      <c r="BF71" s="271">
        <v>2018</v>
      </c>
      <c r="BG71" s="268"/>
      <c r="BH71" s="271"/>
      <c r="BI71" s="271" t="s">
        <v>2375</v>
      </c>
    </row>
    <row r="72" spans="1:61" s="204" customFormat="1" ht="18" customHeight="1">
      <c r="A72" s="160" t="s">
        <v>501</v>
      </c>
      <c r="B72" s="118" t="s">
        <v>727</v>
      </c>
      <c r="C72" s="1" t="s">
        <v>42</v>
      </c>
      <c r="D72" s="141" t="s">
        <v>43</v>
      </c>
      <c r="E72" s="141"/>
      <c r="F72" s="141"/>
      <c r="G72" s="141"/>
      <c r="H72" s="30" t="s">
        <v>650</v>
      </c>
      <c r="I72" s="30">
        <v>2871</v>
      </c>
      <c r="J72" s="212">
        <v>42725</v>
      </c>
      <c r="K72" s="158"/>
      <c r="L72" s="158"/>
      <c r="M72" s="158">
        <v>2</v>
      </c>
      <c r="N72" s="158">
        <v>2</v>
      </c>
      <c r="O72" s="158"/>
      <c r="P72" s="158">
        <v>134584600</v>
      </c>
      <c r="Q72" s="158">
        <f>P72/AN72</f>
        <v>67292300</v>
      </c>
      <c r="R72" s="158"/>
      <c r="S72" s="158"/>
      <c r="T72" s="158"/>
      <c r="U72" s="158"/>
      <c r="V72" s="158"/>
      <c r="W72" s="158"/>
      <c r="X72" s="158"/>
      <c r="Y72" s="158"/>
      <c r="Z72" s="94"/>
      <c r="AA72" s="158"/>
      <c r="AB72" s="158"/>
      <c r="AC72" s="158"/>
      <c r="AD72" s="158"/>
      <c r="AE72" s="158"/>
      <c r="AF72" s="94">
        <f>P72-U72-Z72-134584600</f>
        <v>0</v>
      </c>
      <c r="AG72" s="94"/>
      <c r="AH72" s="158">
        <v>134584600</v>
      </c>
      <c r="AI72" s="158">
        <v>134584600</v>
      </c>
      <c r="AJ72" s="158"/>
      <c r="AK72" s="602">
        <f>P72-R72-U72-Z72</f>
        <v>134584600</v>
      </c>
      <c r="AL72" s="175">
        <v>877</v>
      </c>
      <c r="AM72" s="175">
        <v>10</v>
      </c>
      <c r="AN72" s="158">
        <v>2</v>
      </c>
      <c r="AO72" s="158"/>
      <c r="AP72" s="158"/>
      <c r="AQ72" s="158"/>
      <c r="AR72" s="158"/>
      <c r="AS72" s="158"/>
      <c r="AT72" s="2">
        <v>0</v>
      </c>
      <c r="AU72" s="58" t="s">
        <v>521</v>
      </c>
      <c r="AV72" s="104"/>
      <c r="AW72" s="158"/>
      <c r="AX72" s="158"/>
      <c r="AY72" s="12"/>
      <c r="AZ72" s="158"/>
      <c r="BA72" s="158"/>
      <c r="BB72" s="158"/>
      <c r="BC72" s="69"/>
      <c r="BD72" s="69"/>
      <c r="BE72" s="69"/>
      <c r="BF72" s="271"/>
      <c r="BG72" s="271">
        <v>2019</v>
      </c>
      <c r="BH72" s="271">
        <v>2020</v>
      </c>
      <c r="BI72" s="271" t="s">
        <v>2375</v>
      </c>
    </row>
    <row r="73" spans="1:61" s="204" customFormat="1" ht="15" customHeight="1">
      <c r="A73" s="160" t="s">
        <v>501</v>
      </c>
      <c r="B73" s="118" t="s">
        <v>31</v>
      </c>
      <c r="C73" s="118" t="s">
        <v>724</v>
      </c>
      <c r="D73" s="118" t="s">
        <v>30</v>
      </c>
      <c r="E73" s="118"/>
      <c r="F73" s="118"/>
      <c r="G73" s="118"/>
      <c r="H73" s="30" t="s">
        <v>650</v>
      </c>
      <c r="I73" s="30"/>
      <c r="J73" s="212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94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94">
        <f t="shared" si="15"/>
        <v>0</v>
      </c>
      <c r="AL73" s="158"/>
      <c r="AM73" s="94"/>
      <c r="AN73" s="158"/>
      <c r="AO73" s="158"/>
      <c r="AP73" s="158"/>
      <c r="AQ73" s="158"/>
      <c r="AR73" s="158"/>
      <c r="AS73" s="158"/>
      <c r="AT73" s="2">
        <v>1</v>
      </c>
      <c r="AU73" s="58" t="s">
        <v>646</v>
      </c>
      <c r="AV73" s="104"/>
      <c r="AW73" s="158"/>
      <c r="AX73" s="158">
        <v>9</v>
      </c>
      <c r="AY73" s="12"/>
      <c r="AZ73" s="158"/>
      <c r="BA73" s="158"/>
      <c r="BB73" s="158"/>
      <c r="BC73" s="69"/>
      <c r="BD73" s="69"/>
      <c r="BE73" s="69"/>
      <c r="BF73" s="271">
        <v>2017</v>
      </c>
      <c r="BG73" s="268"/>
      <c r="BH73" s="271"/>
      <c r="BI73" s="271" t="s">
        <v>2376</v>
      </c>
    </row>
    <row r="74" spans="1:61" s="204" customFormat="1" ht="15" customHeight="1">
      <c r="A74" s="160" t="s">
        <v>501</v>
      </c>
      <c r="B74" s="58" t="s">
        <v>1825</v>
      </c>
      <c r="C74" s="118" t="s">
        <v>44</v>
      </c>
      <c r="D74" s="118" t="s">
        <v>723</v>
      </c>
      <c r="E74" s="118"/>
      <c r="F74" s="118"/>
      <c r="G74" s="118"/>
      <c r="H74" s="30" t="s">
        <v>636</v>
      </c>
      <c r="I74" s="30"/>
      <c r="J74" s="212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  <c r="Y74" s="158"/>
      <c r="Z74" s="94"/>
      <c r="AA74" s="158"/>
      <c r="AB74" s="158"/>
      <c r="AC74" s="158"/>
      <c r="AD74" s="158"/>
      <c r="AE74" s="158"/>
      <c r="AF74" s="158"/>
      <c r="AG74" s="158"/>
      <c r="AH74" s="158"/>
      <c r="AI74" s="158"/>
      <c r="AJ74" s="158"/>
      <c r="AK74" s="94">
        <f t="shared" si="15"/>
        <v>0</v>
      </c>
      <c r="AL74" s="158"/>
      <c r="AM74" s="94"/>
      <c r="AN74" s="158"/>
      <c r="AO74" s="158"/>
      <c r="AP74" s="158"/>
      <c r="AQ74" s="158"/>
      <c r="AR74" s="158"/>
      <c r="AS74" s="158"/>
      <c r="AT74" s="2">
        <v>1</v>
      </c>
      <c r="AU74" s="58" t="s">
        <v>646</v>
      </c>
      <c r="AV74" s="104"/>
      <c r="AW74" s="158"/>
      <c r="AX74" s="158">
        <v>32</v>
      </c>
      <c r="AY74" s="12"/>
      <c r="AZ74" s="158"/>
      <c r="BA74" s="158"/>
      <c r="BB74" s="158"/>
      <c r="BC74" s="69"/>
      <c r="BD74" s="69"/>
      <c r="BE74" s="69"/>
      <c r="BF74" s="271">
        <v>2017</v>
      </c>
      <c r="BG74" s="268"/>
      <c r="BH74" s="470"/>
      <c r="BI74" s="271" t="s">
        <v>2376</v>
      </c>
    </row>
    <row r="75" spans="1:61" s="204" customFormat="1" ht="15" customHeight="1">
      <c r="A75" s="160" t="s">
        <v>501</v>
      </c>
      <c r="B75" s="118" t="s">
        <v>37</v>
      </c>
      <c r="C75" s="118" t="s">
        <v>1059</v>
      </c>
      <c r="D75" s="118" t="s">
        <v>16</v>
      </c>
      <c r="E75" s="118"/>
      <c r="F75" s="118"/>
      <c r="G75" s="118"/>
      <c r="H75" s="30" t="s">
        <v>715</v>
      </c>
      <c r="I75" s="30"/>
      <c r="J75" s="212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  <c r="Y75" s="158"/>
      <c r="Z75" s="94"/>
      <c r="AA75" s="158"/>
      <c r="AB75" s="158"/>
      <c r="AC75" s="158"/>
      <c r="AD75" s="158"/>
      <c r="AE75" s="158"/>
      <c r="AF75" s="158"/>
      <c r="AG75" s="158"/>
      <c r="AH75" s="158"/>
      <c r="AI75" s="158"/>
      <c r="AJ75" s="158"/>
      <c r="AK75" s="94">
        <f t="shared" si="15"/>
        <v>0</v>
      </c>
      <c r="AL75" s="158"/>
      <c r="AM75" s="94"/>
      <c r="AN75" s="11"/>
      <c r="AO75" s="158"/>
      <c r="AP75" s="158"/>
      <c r="AQ75" s="158"/>
      <c r="AR75" s="158"/>
      <c r="AS75" s="158"/>
      <c r="AT75" s="2">
        <v>1</v>
      </c>
      <c r="AU75" s="58" t="s">
        <v>646</v>
      </c>
      <c r="AV75" s="104"/>
      <c r="AW75" s="158"/>
      <c r="AX75" s="158"/>
      <c r="AY75" s="12">
        <v>34</v>
      </c>
      <c r="AZ75" s="158"/>
      <c r="BA75" s="158"/>
      <c r="BB75" s="158"/>
      <c r="BC75" s="69">
        <v>34</v>
      </c>
      <c r="BD75" s="69">
        <f>+AY75</f>
        <v>34</v>
      </c>
      <c r="BE75" s="69"/>
      <c r="BF75" s="271">
        <v>2018</v>
      </c>
      <c r="BG75" s="268"/>
      <c r="BH75" s="271"/>
      <c r="BI75" s="271" t="s">
        <v>2375</v>
      </c>
    </row>
    <row r="76" spans="1:61" s="204" customFormat="1" ht="26.25" customHeight="1">
      <c r="A76" s="160" t="s">
        <v>501</v>
      </c>
      <c r="B76" s="118" t="s">
        <v>37</v>
      </c>
      <c r="C76" s="118" t="s">
        <v>725</v>
      </c>
      <c r="D76" s="118" t="s">
        <v>35</v>
      </c>
      <c r="E76" s="118"/>
      <c r="F76" s="118"/>
      <c r="G76" s="118"/>
      <c r="H76" s="30" t="s">
        <v>713</v>
      </c>
      <c r="I76" s="115" t="s">
        <v>1472</v>
      </c>
      <c r="J76" s="215" t="s">
        <v>1471</v>
      </c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  <c r="Z76" s="94"/>
      <c r="AA76" s="158"/>
      <c r="AB76" s="158"/>
      <c r="AC76" s="158"/>
      <c r="AD76" s="158"/>
      <c r="AE76" s="158"/>
      <c r="AF76" s="158"/>
      <c r="AG76" s="158"/>
      <c r="AH76" s="158"/>
      <c r="AI76" s="158"/>
      <c r="AJ76" s="158"/>
      <c r="AK76" s="94">
        <f t="shared" si="15"/>
        <v>0</v>
      </c>
      <c r="AL76" s="158"/>
      <c r="AM76" s="94"/>
      <c r="AN76" s="11"/>
      <c r="AO76" s="158"/>
      <c r="AP76" s="158"/>
      <c r="AQ76" s="11"/>
      <c r="AR76" s="11"/>
      <c r="AS76" s="11"/>
      <c r="AT76" s="2">
        <v>1</v>
      </c>
      <c r="AU76" s="58" t="s">
        <v>646</v>
      </c>
      <c r="AV76" s="104"/>
      <c r="AW76" s="158"/>
      <c r="AX76" s="11"/>
      <c r="AY76" s="12">
        <v>50</v>
      </c>
      <c r="AZ76" s="158"/>
      <c r="BA76" s="158"/>
      <c r="BB76" s="158"/>
      <c r="BC76" s="69">
        <v>50</v>
      </c>
      <c r="BD76" s="69">
        <v>50</v>
      </c>
      <c r="BE76" s="69"/>
      <c r="BF76" s="271">
        <v>2018</v>
      </c>
      <c r="BG76" s="268"/>
      <c r="BH76" s="271"/>
      <c r="BI76" s="271" t="s">
        <v>2375</v>
      </c>
    </row>
    <row r="77" spans="1:61" s="204" customFormat="1" ht="29.25" customHeight="1">
      <c r="A77" s="160" t="s">
        <v>501</v>
      </c>
      <c r="B77" s="58" t="s">
        <v>37</v>
      </c>
      <c r="C77" s="118" t="s">
        <v>725</v>
      </c>
      <c r="D77" s="58" t="s">
        <v>35</v>
      </c>
      <c r="E77" s="58"/>
      <c r="F77" s="58"/>
      <c r="G77" s="58"/>
      <c r="H77" s="30" t="s">
        <v>713</v>
      </c>
      <c r="I77" s="115" t="s">
        <v>1472</v>
      </c>
      <c r="J77" s="215" t="s">
        <v>1471</v>
      </c>
      <c r="K77" s="158"/>
      <c r="L77" s="158"/>
      <c r="M77" s="158"/>
      <c r="N77" s="158"/>
      <c r="O77" s="158"/>
      <c r="P77" s="158">
        <v>71172870</v>
      </c>
      <c r="Q77" s="158">
        <f>P77/BD77</f>
        <v>71172870</v>
      </c>
      <c r="R77" s="158"/>
      <c r="S77" s="158"/>
      <c r="T77" s="158"/>
      <c r="U77" s="158">
        <v>71172870</v>
      </c>
      <c r="V77" s="158">
        <v>10</v>
      </c>
      <c r="W77" s="311">
        <v>43586</v>
      </c>
      <c r="X77" s="311"/>
      <c r="Y77" s="311"/>
      <c r="Z77" s="94"/>
      <c r="AA77" s="158"/>
      <c r="AB77" s="158"/>
      <c r="AC77" s="158"/>
      <c r="AD77" s="158"/>
      <c r="AE77" s="158"/>
      <c r="AF77" s="94">
        <f>P77-U77-Z77</f>
        <v>0</v>
      </c>
      <c r="AG77" s="94"/>
      <c r="AH77" s="94">
        <v>0</v>
      </c>
      <c r="AI77" s="94">
        <v>0</v>
      </c>
      <c r="AJ77" s="94"/>
      <c r="AK77" s="94">
        <f t="shared" si="15"/>
        <v>0</v>
      </c>
      <c r="AL77" s="233">
        <v>877</v>
      </c>
      <c r="AM77" s="94">
        <v>10</v>
      </c>
      <c r="AN77" s="158"/>
      <c r="AO77" s="11"/>
      <c r="AP77" s="158"/>
      <c r="AQ77" s="11"/>
      <c r="AR77" s="11"/>
      <c r="AS77" s="11"/>
      <c r="AT77" s="2">
        <v>1</v>
      </c>
      <c r="AU77" s="58" t="s">
        <v>646</v>
      </c>
      <c r="AV77" s="104"/>
      <c r="AW77" s="158"/>
      <c r="AX77" s="11"/>
      <c r="AY77" s="12">
        <v>1</v>
      </c>
      <c r="AZ77" s="158"/>
      <c r="BA77" s="158"/>
      <c r="BB77" s="158"/>
      <c r="BC77" s="69">
        <v>1</v>
      </c>
      <c r="BD77" s="69">
        <v>1</v>
      </c>
      <c r="BE77" s="69"/>
      <c r="BF77" s="271">
        <v>2018</v>
      </c>
      <c r="BG77" s="431" t="s">
        <v>1652</v>
      </c>
      <c r="BH77" s="444"/>
      <c r="BI77" s="271" t="s">
        <v>2375</v>
      </c>
    </row>
    <row r="78" spans="1:61" s="204" customFormat="1" ht="15" customHeight="1">
      <c r="A78" s="160" t="s">
        <v>501</v>
      </c>
      <c r="B78" s="58" t="s">
        <v>727</v>
      </c>
      <c r="C78" s="1" t="s">
        <v>726</v>
      </c>
      <c r="D78" s="58" t="s">
        <v>16</v>
      </c>
      <c r="E78" s="58"/>
      <c r="F78" s="58"/>
      <c r="G78" s="58"/>
      <c r="H78" s="30" t="s">
        <v>713</v>
      </c>
      <c r="I78" s="30"/>
      <c r="J78" s="212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  <c r="Y78" s="158"/>
      <c r="Z78" s="94"/>
      <c r="AA78" s="158"/>
      <c r="AB78" s="158"/>
      <c r="AC78" s="158"/>
      <c r="AD78" s="158"/>
      <c r="AE78" s="158"/>
      <c r="AF78" s="158"/>
      <c r="AG78" s="158"/>
      <c r="AH78" s="158"/>
      <c r="AI78" s="158"/>
      <c r="AJ78" s="158"/>
      <c r="AK78" s="94">
        <f t="shared" si="15"/>
        <v>0</v>
      </c>
      <c r="AL78" s="158"/>
      <c r="AM78" s="94"/>
      <c r="AN78" s="158"/>
      <c r="AO78" s="158"/>
      <c r="AP78" s="158"/>
      <c r="AQ78" s="158"/>
      <c r="AR78" s="158"/>
      <c r="AS78" s="158"/>
      <c r="AT78" s="2">
        <v>1</v>
      </c>
      <c r="AU78" s="58" t="s">
        <v>646</v>
      </c>
      <c r="AV78" s="104"/>
      <c r="AW78" s="158"/>
      <c r="AX78" s="158"/>
      <c r="AY78" s="688">
        <v>93</v>
      </c>
      <c r="AZ78" s="158"/>
      <c r="BA78" s="158"/>
      <c r="BB78" s="158">
        <v>93</v>
      </c>
      <c r="BC78" s="69"/>
      <c r="BD78" s="70"/>
      <c r="BE78" s="69"/>
      <c r="BF78" s="271">
        <v>2018</v>
      </c>
      <c r="BG78" s="268"/>
      <c r="BH78" s="271"/>
      <c r="BI78" s="271" t="s">
        <v>2376</v>
      </c>
    </row>
    <row r="79" spans="1:61" s="204" customFormat="1" ht="15" customHeight="1">
      <c r="A79" s="160" t="s">
        <v>501</v>
      </c>
      <c r="B79" s="58" t="s">
        <v>1825</v>
      </c>
      <c r="C79" s="118" t="s">
        <v>728</v>
      </c>
      <c r="D79" s="58" t="s">
        <v>729</v>
      </c>
      <c r="E79" s="58"/>
      <c r="F79" s="58"/>
      <c r="G79" s="58"/>
      <c r="H79" s="30" t="s">
        <v>720</v>
      </c>
      <c r="I79" s="30"/>
      <c r="J79" s="212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  <c r="Y79" s="158"/>
      <c r="Z79" s="94"/>
      <c r="AA79" s="158"/>
      <c r="AB79" s="158"/>
      <c r="AC79" s="158"/>
      <c r="AD79" s="158"/>
      <c r="AE79" s="158"/>
      <c r="AF79" s="158"/>
      <c r="AG79" s="158"/>
      <c r="AH79" s="158"/>
      <c r="AI79" s="158"/>
      <c r="AJ79" s="158"/>
      <c r="AK79" s="94">
        <f t="shared" si="15"/>
        <v>0</v>
      </c>
      <c r="AL79" s="158"/>
      <c r="AM79" s="94"/>
      <c r="AN79" s="158"/>
      <c r="AO79" s="158"/>
      <c r="AP79" s="158"/>
      <c r="AQ79" s="158"/>
      <c r="AR79" s="158"/>
      <c r="AS79" s="158"/>
      <c r="AT79" s="2">
        <v>1</v>
      </c>
      <c r="AU79" s="58" t="s">
        <v>646</v>
      </c>
      <c r="AV79" s="104"/>
      <c r="AW79" s="158"/>
      <c r="AX79" s="158"/>
      <c r="AY79" s="12">
        <v>19</v>
      </c>
      <c r="AZ79" s="158"/>
      <c r="BA79" s="158"/>
      <c r="BB79" s="158"/>
      <c r="BC79" s="69">
        <v>19</v>
      </c>
      <c r="BD79" s="69">
        <f>+AY79</f>
        <v>19</v>
      </c>
      <c r="BE79" s="69"/>
      <c r="BF79" s="271">
        <v>2018</v>
      </c>
      <c r="BG79" s="268"/>
      <c r="BH79" s="271"/>
      <c r="BI79" s="271" t="s">
        <v>2375</v>
      </c>
    </row>
    <row r="80" spans="1:61" s="204" customFormat="1" ht="18" customHeight="1">
      <c r="A80" s="160" t="s">
        <v>501</v>
      </c>
      <c r="B80" s="58" t="s">
        <v>37</v>
      </c>
      <c r="C80" s="118" t="s">
        <v>1014</v>
      </c>
      <c r="D80" s="58" t="s">
        <v>1015</v>
      </c>
      <c r="E80" s="58"/>
      <c r="F80" s="58"/>
      <c r="G80" s="58"/>
      <c r="H80" s="30" t="s">
        <v>968</v>
      </c>
      <c r="I80" s="115" t="s">
        <v>1490</v>
      </c>
      <c r="J80" s="215" t="s">
        <v>1465</v>
      </c>
      <c r="K80" s="94">
        <f>55-1</f>
        <v>54</v>
      </c>
      <c r="L80" s="94">
        <v>54</v>
      </c>
      <c r="M80" s="158"/>
      <c r="N80" s="158"/>
      <c r="O80" s="94"/>
      <c r="P80" s="94">
        <f>3498062391-63601135</f>
        <v>3434461256</v>
      </c>
      <c r="Q80" s="94">
        <f>P80/BD80</f>
        <v>63601134.370370373</v>
      </c>
      <c r="R80" s="94"/>
      <c r="S80" s="94"/>
      <c r="T80" s="94"/>
      <c r="U80" s="94">
        <v>1415637038</v>
      </c>
      <c r="V80" s="94">
        <v>20</v>
      </c>
      <c r="W80" s="218"/>
      <c r="X80" s="218"/>
      <c r="Y80" s="218"/>
      <c r="Z80" s="94">
        <f>2056209852-37385634</f>
        <v>2018824218</v>
      </c>
      <c r="AA80" s="94">
        <v>10</v>
      </c>
      <c r="AB80" s="311">
        <v>43497</v>
      </c>
      <c r="AC80" s="311"/>
      <c r="AD80" s="94"/>
      <c r="AE80" s="94"/>
      <c r="AF80" s="94">
        <f t="shared" ref="AF80:AF96" si="16">P80-U80-Z80</f>
        <v>0</v>
      </c>
      <c r="AG80" s="94"/>
      <c r="AH80" s="94">
        <v>0</v>
      </c>
      <c r="AI80" s="94">
        <v>0</v>
      </c>
      <c r="AJ80" s="94"/>
      <c r="AK80" s="94">
        <f t="shared" si="15"/>
        <v>0</v>
      </c>
      <c r="AL80" s="233">
        <v>877</v>
      </c>
      <c r="AM80" s="94">
        <v>10</v>
      </c>
      <c r="AN80" s="158"/>
      <c r="AO80" s="158"/>
      <c r="AP80" s="158"/>
      <c r="AQ80" s="158"/>
      <c r="AR80" s="158"/>
      <c r="AS80" s="158"/>
      <c r="AT80" s="2">
        <v>1</v>
      </c>
      <c r="AU80" s="58" t="s">
        <v>646</v>
      </c>
      <c r="AV80" s="104"/>
      <c r="AW80" s="158"/>
      <c r="AX80" s="158"/>
      <c r="AY80" s="12"/>
      <c r="AZ80" s="158">
        <v>54</v>
      </c>
      <c r="BA80" s="158"/>
      <c r="BB80" s="158"/>
      <c r="BC80" s="69"/>
      <c r="BD80" s="69">
        <f>+AZ80</f>
        <v>54</v>
      </c>
      <c r="BE80" s="69"/>
      <c r="BF80" s="271">
        <v>2019</v>
      </c>
      <c r="BG80" s="271">
        <v>2019</v>
      </c>
      <c r="BH80" s="271"/>
      <c r="BI80" s="271" t="s">
        <v>2375</v>
      </c>
    </row>
    <row r="81" spans="1:61" s="204" customFormat="1" ht="18" customHeight="1">
      <c r="A81" s="160" t="s">
        <v>501</v>
      </c>
      <c r="B81" s="58" t="s">
        <v>37</v>
      </c>
      <c r="C81" s="118" t="s">
        <v>1014</v>
      </c>
      <c r="D81" s="58" t="s">
        <v>1015</v>
      </c>
      <c r="E81" s="58"/>
      <c r="F81" s="58"/>
      <c r="G81" s="58"/>
      <c r="H81" s="30" t="s">
        <v>968</v>
      </c>
      <c r="I81" s="115" t="s">
        <v>1490</v>
      </c>
      <c r="J81" s="212" t="s">
        <v>1465</v>
      </c>
      <c r="K81" s="94">
        <v>1</v>
      </c>
      <c r="L81" s="94">
        <v>1</v>
      </c>
      <c r="M81" s="158"/>
      <c r="N81" s="158"/>
      <c r="O81" s="94"/>
      <c r="P81" s="94">
        <v>63601135</v>
      </c>
      <c r="Q81" s="94">
        <f t="shared" ref="Q81:Q86" si="17">P81/BD81</f>
        <v>63601135</v>
      </c>
      <c r="R81" s="94"/>
      <c r="S81" s="94"/>
      <c r="T81" s="94"/>
      <c r="U81" s="94">
        <v>26215500</v>
      </c>
      <c r="V81" s="94">
        <v>20</v>
      </c>
      <c r="W81" s="311">
        <v>43344</v>
      </c>
      <c r="X81" s="218"/>
      <c r="Y81" s="218"/>
      <c r="Z81" s="94">
        <v>37385634</v>
      </c>
      <c r="AA81" s="94">
        <v>10</v>
      </c>
      <c r="AB81" s="311">
        <v>43497</v>
      </c>
      <c r="AC81" s="311"/>
      <c r="AD81" s="94">
        <v>1</v>
      </c>
      <c r="AE81" s="94"/>
      <c r="AF81" s="94">
        <f>P81-U81-Z81-AD81</f>
        <v>0</v>
      </c>
      <c r="AG81" s="94"/>
      <c r="AH81" s="94">
        <v>0</v>
      </c>
      <c r="AI81" s="94">
        <v>0</v>
      </c>
      <c r="AJ81" s="94"/>
      <c r="AK81" s="94">
        <f t="shared" si="15"/>
        <v>0</v>
      </c>
      <c r="AL81" s="233">
        <v>877</v>
      </c>
      <c r="AM81" s="94">
        <v>10</v>
      </c>
      <c r="AN81" s="158"/>
      <c r="AO81" s="158"/>
      <c r="AP81" s="158"/>
      <c r="AQ81" s="158"/>
      <c r="AR81" s="158"/>
      <c r="AS81" s="158"/>
      <c r="AT81" s="2">
        <v>1</v>
      </c>
      <c r="AU81" s="58" t="s">
        <v>646</v>
      </c>
      <c r="AV81" s="104"/>
      <c r="AW81" s="158"/>
      <c r="AX81" s="158"/>
      <c r="AY81" s="12"/>
      <c r="AZ81" s="158">
        <v>1</v>
      </c>
      <c r="BA81" s="158"/>
      <c r="BB81" s="158"/>
      <c r="BC81" s="69"/>
      <c r="BD81" s="69">
        <f>+AZ81</f>
        <v>1</v>
      </c>
      <c r="BE81" s="69"/>
      <c r="BF81" s="271">
        <v>2019</v>
      </c>
      <c r="BG81" s="271">
        <v>2019</v>
      </c>
      <c r="BH81" s="271"/>
      <c r="BI81" s="271" t="s">
        <v>2375</v>
      </c>
    </row>
    <row r="82" spans="1:61" s="204" customFormat="1" ht="18" customHeight="1">
      <c r="A82" s="230" t="s">
        <v>501</v>
      </c>
      <c r="B82" s="28" t="s">
        <v>1068</v>
      </c>
      <c r="C82" s="234" t="s">
        <v>1089</v>
      </c>
      <c r="D82" s="28" t="s">
        <v>16</v>
      </c>
      <c r="E82" s="28"/>
      <c r="F82" s="28"/>
      <c r="G82" s="28"/>
      <c r="H82" s="44" t="s">
        <v>1058</v>
      </c>
      <c r="I82" s="30">
        <v>31</v>
      </c>
      <c r="J82" s="212">
        <v>43363</v>
      </c>
      <c r="K82" s="94">
        <f>154-2</f>
        <v>152</v>
      </c>
      <c r="L82" s="94">
        <v>152</v>
      </c>
      <c r="M82" s="158"/>
      <c r="N82" s="158"/>
      <c r="O82" s="94"/>
      <c r="P82" s="94">
        <f>11900791582-154555735</f>
        <v>11746235847</v>
      </c>
      <c r="Q82" s="94">
        <f t="shared" si="17"/>
        <v>77277867.414473683</v>
      </c>
      <c r="R82" s="94"/>
      <c r="S82" s="94"/>
      <c r="T82" s="94"/>
      <c r="U82" s="94">
        <v>5028643530</v>
      </c>
      <c r="V82" s="94">
        <v>10</v>
      </c>
      <c r="W82" s="311">
        <v>43374</v>
      </c>
      <c r="X82" s="94"/>
      <c r="Y82" s="94"/>
      <c r="Z82" s="94">
        <v>6717592317</v>
      </c>
      <c r="AA82" s="94">
        <v>10</v>
      </c>
      <c r="AB82" s="311">
        <v>43556</v>
      </c>
      <c r="AC82" s="329"/>
      <c r="AD82" s="233"/>
      <c r="AE82" s="233"/>
      <c r="AF82" s="233">
        <f t="shared" si="16"/>
        <v>0</v>
      </c>
      <c r="AG82" s="233"/>
      <c r="AH82" s="94">
        <v>0</v>
      </c>
      <c r="AI82" s="94">
        <v>0</v>
      </c>
      <c r="AJ82" s="94"/>
      <c r="AK82" s="94">
        <f t="shared" si="15"/>
        <v>0</v>
      </c>
      <c r="AL82" s="233">
        <v>877</v>
      </c>
      <c r="AM82" s="94">
        <v>10</v>
      </c>
      <c r="AN82" s="158"/>
      <c r="AO82" s="158"/>
      <c r="AP82" s="158"/>
      <c r="AQ82" s="158"/>
      <c r="AR82" s="158"/>
      <c r="AS82" s="158"/>
      <c r="AT82" s="2">
        <v>1</v>
      </c>
      <c r="AU82" s="58" t="s">
        <v>646</v>
      </c>
      <c r="AV82" s="104" t="s">
        <v>1841</v>
      </c>
      <c r="AW82" s="158"/>
      <c r="AX82" s="158"/>
      <c r="AY82" s="12"/>
      <c r="AZ82" s="158">
        <v>152</v>
      </c>
      <c r="BA82" s="158"/>
      <c r="BB82" s="158"/>
      <c r="BC82" s="69"/>
      <c r="BD82" s="69">
        <v>152</v>
      </c>
      <c r="BE82" s="69"/>
      <c r="BF82" s="271">
        <v>2019</v>
      </c>
      <c r="BG82" s="271">
        <v>2019</v>
      </c>
      <c r="BH82" s="271"/>
      <c r="BI82" s="271" t="s">
        <v>2375</v>
      </c>
    </row>
    <row r="83" spans="1:61" s="204" customFormat="1" ht="18" customHeight="1">
      <c r="A83" s="160" t="s">
        <v>501</v>
      </c>
      <c r="B83" s="58" t="s">
        <v>1068</v>
      </c>
      <c r="C83" s="118" t="s">
        <v>1089</v>
      </c>
      <c r="D83" s="58" t="s">
        <v>16</v>
      </c>
      <c r="E83" s="58"/>
      <c r="F83" s="58"/>
      <c r="G83" s="58"/>
      <c r="H83" s="30" t="s">
        <v>1058</v>
      </c>
      <c r="I83" s="78">
        <v>31</v>
      </c>
      <c r="J83" s="212">
        <v>43363</v>
      </c>
      <c r="K83" s="94"/>
      <c r="L83" s="94"/>
      <c r="M83" s="158">
        <v>1</v>
      </c>
      <c r="N83" s="158">
        <v>0</v>
      </c>
      <c r="O83" s="94"/>
      <c r="P83" s="94">
        <f>154555735-77277868</f>
        <v>77277867</v>
      </c>
      <c r="Q83" s="94">
        <f t="shared" si="17"/>
        <v>77277867</v>
      </c>
      <c r="R83" s="94"/>
      <c r="S83" s="94"/>
      <c r="T83" s="94"/>
      <c r="U83" s="94"/>
      <c r="V83" s="94"/>
      <c r="W83" s="94"/>
      <c r="X83" s="94"/>
      <c r="Y83" s="94"/>
      <c r="Z83" s="94">
        <v>77277867</v>
      </c>
      <c r="AA83" s="218">
        <v>10</v>
      </c>
      <c r="AB83" s="311">
        <v>44012</v>
      </c>
      <c r="AC83" s="218"/>
      <c r="AD83" s="218"/>
      <c r="AE83" s="218"/>
      <c r="AF83" s="94">
        <f t="shared" si="16"/>
        <v>0</v>
      </c>
      <c r="AG83" s="94"/>
      <c r="AH83" s="94">
        <v>0</v>
      </c>
      <c r="AI83" s="94">
        <v>77277867</v>
      </c>
      <c r="AJ83" s="94"/>
      <c r="AK83" s="602">
        <f>P83-R83-U83-Z83</f>
        <v>0</v>
      </c>
      <c r="AL83" s="670">
        <v>877</v>
      </c>
      <c r="AM83" s="175">
        <v>10</v>
      </c>
      <c r="AN83" s="61"/>
      <c r="AO83" s="158"/>
      <c r="AP83" s="61"/>
      <c r="AQ83" s="158"/>
      <c r="AR83" s="158"/>
      <c r="AS83" s="158"/>
      <c r="AT83" s="2">
        <v>1</v>
      </c>
      <c r="AU83" s="58" t="s">
        <v>646</v>
      </c>
      <c r="AV83" s="104" t="s">
        <v>1841</v>
      </c>
      <c r="AW83" s="158"/>
      <c r="AX83" s="158"/>
      <c r="AY83" s="158"/>
      <c r="AZ83" s="158">
        <v>1</v>
      </c>
      <c r="BA83" s="158"/>
      <c r="BB83" s="158"/>
      <c r="BC83" s="69"/>
      <c r="BD83" s="69">
        <v>1</v>
      </c>
      <c r="BE83" s="69"/>
      <c r="BF83" s="271">
        <v>2019</v>
      </c>
      <c r="BG83" s="271">
        <v>2019</v>
      </c>
      <c r="BH83" s="430" t="s">
        <v>2194</v>
      </c>
      <c r="BI83" s="271" t="s">
        <v>2375</v>
      </c>
    </row>
    <row r="84" spans="1:61" s="204" customFormat="1" ht="18" customHeight="1">
      <c r="A84" s="160" t="s">
        <v>501</v>
      </c>
      <c r="B84" s="58" t="s">
        <v>1068</v>
      </c>
      <c r="C84" s="118" t="s">
        <v>1089</v>
      </c>
      <c r="D84" s="58" t="s">
        <v>16</v>
      </c>
      <c r="E84" s="58"/>
      <c r="F84" s="58"/>
      <c r="G84" s="58"/>
      <c r="H84" s="30" t="s">
        <v>1058</v>
      </c>
      <c r="I84" s="78">
        <v>31</v>
      </c>
      <c r="J84" s="212">
        <v>43363</v>
      </c>
      <c r="K84" s="94"/>
      <c r="L84" s="94"/>
      <c r="M84" s="158">
        <v>1</v>
      </c>
      <c r="N84" s="158"/>
      <c r="O84" s="94"/>
      <c r="P84" s="94">
        <v>77277868</v>
      </c>
      <c r="Q84" s="94">
        <f t="shared" si="17"/>
        <v>77277868</v>
      </c>
      <c r="R84" s="94"/>
      <c r="S84" s="94"/>
      <c r="T84" s="94"/>
      <c r="U84" s="94">
        <v>34775041</v>
      </c>
      <c r="V84" s="94">
        <v>20</v>
      </c>
      <c r="W84" s="311">
        <v>43800</v>
      </c>
      <c r="X84" s="311"/>
      <c r="Y84" s="311"/>
      <c r="Z84" s="94">
        <v>42502827</v>
      </c>
      <c r="AA84" s="218">
        <v>20</v>
      </c>
      <c r="AB84" s="311">
        <v>43800</v>
      </c>
      <c r="AC84" s="582"/>
      <c r="AD84" s="283"/>
      <c r="AE84" s="283"/>
      <c r="AF84" s="94">
        <f t="shared" si="16"/>
        <v>0</v>
      </c>
      <c r="AG84" s="94"/>
      <c r="AH84" s="94">
        <v>0</v>
      </c>
      <c r="AI84" s="94">
        <v>0</v>
      </c>
      <c r="AJ84" s="94"/>
      <c r="AK84" s="94">
        <f t="shared" ref="AK84:AK95" si="18">AF84+AH84</f>
        <v>0</v>
      </c>
      <c r="AL84" s="233">
        <v>877</v>
      </c>
      <c r="AM84" s="94">
        <v>20</v>
      </c>
      <c r="AN84" s="61"/>
      <c r="AO84" s="158"/>
      <c r="AP84" s="61"/>
      <c r="AQ84" s="158"/>
      <c r="AR84" s="158"/>
      <c r="AS84" s="158"/>
      <c r="AT84" s="2">
        <v>1</v>
      </c>
      <c r="AU84" s="58" t="s">
        <v>646</v>
      </c>
      <c r="AV84" s="104" t="s">
        <v>1841</v>
      </c>
      <c r="AW84" s="158"/>
      <c r="AX84" s="158"/>
      <c r="AY84" s="158"/>
      <c r="AZ84" s="158">
        <v>1</v>
      </c>
      <c r="BA84" s="158"/>
      <c r="BB84" s="158"/>
      <c r="BC84" s="69"/>
      <c r="BD84" s="69">
        <v>1</v>
      </c>
      <c r="BE84" s="69"/>
      <c r="BF84" s="271">
        <v>2019</v>
      </c>
      <c r="BG84" s="271">
        <v>2019</v>
      </c>
      <c r="BH84" s="271" t="s">
        <v>0</v>
      </c>
      <c r="BI84" s="271" t="s">
        <v>2375</v>
      </c>
    </row>
    <row r="85" spans="1:61" s="204" customFormat="1" ht="18" customHeight="1">
      <c r="A85" s="248" t="s">
        <v>501</v>
      </c>
      <c r="B85" s="251" t="s">
        <v>1068</v>
      </c>
      <c r="C85" s="253" t="s">
        <v>1066</v>
      </c>
      <c r="D85" s="251" t="s">
        <v>1067</v>
      </c>
      <c r="E85" s="251"/>
      <c r="F85" s="251"/>
      <c r="G85" s="251"/>
      <c r="H85" s="47" t="s">
        <v>1058</v>
      </c>
      <c r="I85" s="30">
        <v>20</v>
      </c>
      <c r="J85" s="212">
        <v>43363</v>
      </c>
      <c r="K85" s="94">
        <v>37</v>
      </c>
      <c r="L85" s="94">
        <v>37</v>
      </c>
      <c r="M85" s="158"/>
      <c r="N85" s="158"/>
      <c r="O85" s="94"/>
      <c r="P85" s="94">
        <v>2881831184</v>
      </c>
      <c r="Q85" s="94">
        <f t="shared" si="17"/>
        <v>77887329.297297299</v>
      </c>
      <c r="R85" s="94"/>
      <c r="S85" s="94"/>
      <c r="T85" s="94"/>
      <c r="U85" s="94">
        <f>1222508864</f>
        <v>1222508864</v>
      </c>
      <c r="V85" s="94">
        <v>10</v>
      </c>
      <c r="W85" s="311">
        <v>43344</v>
      </c>
      <c r="X85" s="94"/>
      <c r="Y85" s="94"/>
      <c r="Z85" s="94">
        <v>1659322320</v>
      </c>
      <c r="AA85" s="94">
        <v>10</v>
      </c>
      <c r="AB85" s="311">
        <v>43525</v>
      </c>
      <c r="AC85" s="583"/>
      <c r="AD85" s="254"/>
      <c r="AE85" s="254"/>
      <c r="AF85" s="254">
        <f t="shared" si="16"/>
        <v>0</v>
      </c>
      <c r="AG85" s="254"/>
      <c r="AH85" s="94">
        <v>0</v>
      </c>
      <c r="AI85" s="94">
        <v>0</v>
      </c>
      <c r="AJ85" s="94"/>
      <c r="AK85" s="94">
        <f t="shared" si="18"/>
        <v>0</v>
      </c>
      <c r="AL85" s="233">
        <v>877</v>
      </c>
      <c r="AM85" s="94">
        <v>10</v>
      </c>
      <c r="AN85" s="158"/>
      <c r="AO85" s="158"/>
      <c r="AP85" s="158"/>
      <c r="AQ85" s="158"/>
      <c r="AR85" s="158"/>
      <c r="AS85" s="158"/>
      <c r="AT85" s="2">
        <v>1</v>
      </c>
      <c r="AU85" s="58" t="s">
        <v>646</v>
      </c>
      <c r="AV85" s="104"/>
      <c r="AW85" s="158"/>
      <c r="AX85" s="158"/>
      <c r="AY85" s="158"/>
      <c r="AZ85" s="158">
        <v>37</v>
      </c>
      <c r="BA85" s="158"/>
      <c r="BB85" s="158"/>
      <c r="BC85" s="69"/>
      <c r="BD85" s="69">
        <v>37</v>
      </c>
      <c r="BE85" s="69"/>
      <c r="BF85" s="271">
        <v>2019</v>
      </c>
      <c r="BG85" s="271">
        <v>2019</v>
      </c>
      <c r="BH85" s="271"/>
      <c r="BI85" s="271" t="s">
        <v>2375</v>
      </c>
    </row>
    <row r="86" spans="1:61" s="204" customFormat="1" ht="18" customHeight="1">
      <c r="A86" s="230" t="s">
        <v>501</v>
      </c>
      <c r="B86" s="58" t="s">
        <v>1825</v>
      </c>
      <c r="C86" s="234" t="s">
        <v>1088</v>
      </c>
      <c r="D86" s="28" t="s">
        <v>67</v>
      </c>
      <c r="E86" s="28"/>
      <c r="F86" s="28"/>
      <c r="G86" s="28"/>
      <c r="H86" s="44" t="s">
        <v>1058</v>
      </c>
      <c r="I86" s="30">
        <v>28</v>
      </c>
      <c r="J86" s="212">
        <v>43363</v>
      </c>
      <c r="K86" s="94">
        <v>120</v>
      </c>
      <c r="L86" s="94">
        <v>120</v>
      </c>
      <c r="M86" s="158"/>
      <c r="N86" s="158"/>
      <c r="O86" s="94"/>
      <c r="P86" s="94">
        <f>9904830150-319510650</f>
        <v>9585319500</v>
      </c>
      <c r="Q86" s="94">
        <f t="shared" si="17"/>
        <v>79877662.5</v>
      </c>
      <c r="R86" s="94"/>
      <c r="S86" s="94"/>
      <c r="T86" s="94"/>
      <c r="U86" s="94">
        <f>4237601775</f>
        <v>4237601775</v>
      </c>
      <c r="V86" s="94">
        <v>10</v>
      </c>
      <c r="W86" s="311">
        <v>43344</v>
      </c>
      <c r="X86" s="94"/>
      <c r="Y86" s="94"/>
      <c r="Z86" s="94">
        <f>5347717725</f>
        <v>5347717725</v>
      </c>
      <c r="AA86" s="94">
        <v>10</v>
      </c>
      <c r="AB86" s="311">
        <v>43556</v>
      </c>
      <c r="AC86" s="329"/>
      <c r="AD86" s="233"/>
      <c r="AE86" s="233"/>
      <c r="AF86" s="233">
        <f t="shared" si="16"/>
        <v>0</v>
      </c>
      <c r="AG86" s="233"/>
      <c r="AH86" s="94">
        <v>0</v>
      </c>
      <c r="AI86" s="94">
        <v>0</v>
      </c>
      <c r="AJ86" s="94"/>
      <c r="AK86" s="94">
        <f t="shared" si="18"/>
        <v>0</v>
      </c>
      <c r="AL86" s="233">
        <v>877</v>
      </c>
      <c r="AM86" s="94">
        <v>10</v>
      </c>
      <c r="AN86" s="158"/>
      <c r="AO86" s="158"/>
      <c r="AP86" s="158"/>
      <c r="AQ86" s="158"/>
      <c r="AR86" s="158"/>
      <c r="AS86" s="158"/>
      <c r="AT86" s="2">
        <v>1</v>
      </c>
      <c r="AU86" s="58" t="s">
        <v>646</v>
      </c>
      <c r="AV86" s="104"/>
      <c r="AW86" s="158"/>
      <c r="AX86" s="158"/>
      <c r="AY86" s="158"/>
      <c r="AZ86" s="158">
        <v>120</v>
      </c>
      <c r="BA86" s="158"/>
      <c r="BB86" s="158"/>
      <c r="BC86" s="69"/>
      <c r="BD86" s="69">
        <v>120</v>
      </c>
      <c r="BE86" s="69"/>
      <c r="BF86" s="271">
        <v>2019</v>
      </c>
      <c r="BG86" s="271">
        <v>2019</v>
      </c>
      <c r="BH86" s="271"/>
      <c r="BI86" s="271" t="s">
        <v>2375</v>
      </c>
    </row>
    <row r="87" spans="1:61" s="204" customFormat="1" ht="24.75" customHeight="1">
      <c r="A87" s="160" t="s">
        <v>501</v>
      </c>
      <c r="B87" s="88" t="s">
        <v>1825</v>
      </c>
      <c r="C87" s="118" t="s">
        <v>1088</v>
      </c>
      <c r="D87" s="58" t="s">
        <v>67</v>
      </c>
      <c r="E87" s="58"/>
      <c r="F87" s="58"/>
      <c r="G87" s="58"/>
      <c r="H87" s="30" t="s">
        <v>1058</v>
      </c>
      <c r="I87" s="78">
        <v>28</v>
      </c>
      <c r="J87" s="212">
        <v>43363</v>
      </c>
      <c r="K87" s="94">
        <v>4</v>
      </c>
      <c r="L87" s="94">
        <v>4</v>
      </c>
      <c r="M87" s="158"/>
      <c r="N87" s="158"/>
      <c r="O87" s="158">
        <v>4</v>
      </c>
      <c r="P87" s="94">
        <v>319510650</v>
      </c>
      <c r="Q87" s="94">
        <f>P87/AN87</f>
        <v>79877662.5</v>
      </c>
      <c r="R87" s="94"/>
      <c r="S87" s="94"/>
      <c r="T87" s="94"/>
      <c r="U87" s="94"/>
      <c r="V87" s="94"/>
      <c r="W87" s="94"/>
      <c r="X87" s="94"/>
      <c r="Y87" s="94"/>
      <c r="Z87" s="94"/>
      <c r="AA87" s="218"/>
      <c r="AB87" s="218"/>
      <c r="AC87" s="218"/>
      <c r="AD87" s="218"/>
      <c r="AE87" s="218"/>
      <c r="AF87" s="94">
        <f t="shared" si="16"/>
        <v>319510650</v>
      </c>
      <c r="AG87" s="94"/>
      <c r="AH87" s="94">
        <v>0</v>
      </c>
      <c r="AI87" s="94">
        <v>319510650</v>
      </c>
      <c r="AJ87" s="94"/>
      <c r="AK87" s="602">
        <f>P87-R87-U87-Z87</f>
        <v>319510650</v>
      </c>
      <c r="AL87" s="670">
        <v>877</v>
      </c>
      <c r="AM87" s="175">
        <v>10</v>
      </c>
      <c r="AN87" s="61">
        <v>4</v>
      </c>
      <c r="AO87" s="158"/>
      <c r="AP87" s="158"/>
      <c r="AQ87" s="158"/>
      <c r="AR87" s="158"/>
      <c r="AS87" s="158"/>
      <c r="AT87" s="2">
        <v>0</v>
      </c>
      <c r="AU87" s="58" t="s">
        <v>521</v>
      </c>
      <c r="AV87" s="104" t="s">
        <v>2156</v>
      </c>
      <c r="AW87" s="158"/>
      <c r="AX87" s="158"/>
      <c r="AY87" s="158"/>
      <c r="AZ87" s="158"/>
      <c r="BA87" s="158"/>
      <c r="BB87" s="158"/>
      <c r="BC87" s="69"/>
      <c r="BD87" s="69"/>
      <c r="BE87" s="69"/>
      <c r="BF87" s="271"/>
      <c r="BG87" s="271">
        <v>2019</v>
      </c>
      <c r="BH87" s="271">
        <v>2020</v>
      </c>
      <c r="BI87" s="271" t="s">
        <v>2375</v>
      </c>
    </row>
    <row r="88" spans="1:61" s="204" customFormat="1" ht="18" customHeight="1">
      <c r="A88" s="243" t="s">
        <v>501</v>
      </c>
      <c r="B88" s="58" t="s">
        <v>1825</v>
      </c>
      <c r="C88" s="255" t="s">
        <v>1069</v>
      </c>
      <c r="D88" s="246" t="s">
        <v>67</v>
      </c>
      <c r="E88" s="246"/>
      <c r="F88" s="246"/>
      <c r="G88" s="246"/>
      <c r="H88" s="46" t="s">
        <v>1058</v>
      </c>
      <c r="I88" s="30">
        <v>29</v>
      </c>
      <c r="J88" s="212">
        <v>43363</v>
      </c>
      <c r="K88" s="94">
        <f>62-2</f>
        <v>60</v>
      </c>
      <c r="L88" s="94">
        <v>60</v>
      </c>
      <c r="M88" s="158"/>
      <c r="N88" s="158"/>
      <c r="O88" s="94"/>
      <c r="P88" s="94">
        <f>4952415075-159755325</f>
        <v>4792659750</v>
      </c>
      <c r="Q88" s="94">
        <f>P88/BD88</f>
        <v>79877662.5</v>
      </c>
      <c r="R88" s="94"/>
      <c r="S88" s="94"/>
      <c r="T88" s="94"/>
      <c r="U88" s="94">
        <f>2127193609</f>
        <v>2127193609</v>
      </c>
      <c r="V88" s="94">
        <v>20</v>
      </c>
      <c r="W88" s="311">
        <v>43344</v>
      </c>
      <c r="X88" s="218"/>
      <c r="Y88" s="218"/>
      <c r="Z88" s="94">
        <v>2665466141</v>
      </c>
      <c r="AA88" s="94">
        <v>10</v>
      </c>
      <c r="AB88" s="311">
        <v>43497</v>
      </c>
      <c r="AC88" s="584"/>
      <c r="AD88" s="252"/>
      <c r="AE88" s="252"/>
      <c r="AF88" s="252">
        <f t="shared" si="16"/>
        <v>0</v>
      </c>
      <c r="AG88" s="252"/>
      <c r="AH88" s="94">
        <v>0</v>
      </c>
      <c r="AI88" s="94">
        <v>0</v>
      </c>
      <c r="AJ88" s="94"/>
      <c r="AK88" s="94">
        <f t="shared" si="18"/>
        <v>0</v>
      </c>
      <c r="AL88" s="233">
        <v>877</v>
      </c>
      <c r="AM88" s="94">
        <v>10</v>
      </c>
      <c r="AN88" s="158"/>
      <c r="AO88" s="158"/>
      <c r="AP88" s="158"/>
      <c r="AQ88" s="158"/>
      <c r="AR88" s="158"/>
      <c r="AS88" s="158"/>
      <c r="AT88" s="2">
        <v>1</v>
      </c>
      <c r="AU88" s="58" t="s">
        <v>646</v>
      </c>
      <c r="AV88" s="104"/>
      <c r="AW88" s="158"/>
      <c r="AX88" s="158"/>
      <c r="AY88" s="158"/>
      <c r="AZ88" s="158">
        <v>60</v>
      </c>
      <c r="BA88" s="158"/>
      <c r="BB88" s="158"/>
      <c r="BC88" s="69"/>
      <c r="BD88" s="69">
        <v>60</v>
      </c>
      <c r="BE88" s="69"/>
      <c r="BF88" s="271">
        <v>2019</v>
      </c>
      <c r="BG88" s="271">
        <v>2019</v>
      </c>
      <c r="BH88" s="271"/>
      <c r="BI88" s="271" t="s">
        <v>2375</v>
      </c>
    </row>
    <row r="89" spans="1:61" s="204" customFormat="1" ht="39" customHeight="1">
      <c r="A89" s="160" t="s">
        <v>501</v>
      </c>
      <c r="B89" s="88" t="s">
        <v>1825</v>
      </c>
      <c r="C89" s="77" t="s">
        <v>1069</v>
      </c>
      <c r="D89" s="58" t="s">
        <v>67</v>
      </c>
      <c r="E89" s="58"/>
      <c r="F89" s="58"/>
      <c r="G89" s="58"/>
      <c r="H89" s="30" t="s">
        <v>1058</v>
      </c>
      <c r="I89" s="78">
        <v>29</v>
      </c>
      <c r="J89" s="212">
        <v>43363</v>
      </c>
      <c r="K89" s="94">
        <v>2</v>
      </c>
      <c r="L89" s="94">
        <v>2</v>
      </c>
      <c r="M89" s="158"/>
      <c r="N89" s="158"/>
      <c r="O89" s="158">
        <v>2</v>
      </c>
      <c r="P89" s="94">
        <v>159755325</v>
      </c>
      <c r="Q89" s="94">
        <f>P89/AS89</f>
        <v>79877662.5</v>
      </c>
      <c r="R89" s="94"/>
      <c r="S89" s="94"/>
      <c r="T89" s="94"/>
      <c r="U89" s="94"/>
      <c r="V89" s="94"/>
      <c r="W89" s="94"/>
      <c r="X89" s="94"/>
      <c r="Y89" s="94"/>
      <c r="Z89" s="94"/>
      <c r="AA89" s="218"/>
      <c r="AB89" s="218"/>
      <c r="AC89" s="218"/>
      <c r="AD89" s="218">
        <v>159755325</v>
      </c>
      <c r="AE89" s="218"/>
      <c r="AF89" s="94">
        <f>P89-U89-Z89-AD89</f>
        <v>0</v>
      </c>
      <c r="AG89" s="94"/>
      <c r="AH89" s="94">
        <v>0</v>
      </c>
      <c r="AI89" s="94">
        <v>0</v>
      </c>
      <c r="AJ89" s="94"/>
      <c r="AK89" s="72">
        <f>P89-R89-U89-Z89-AD89</f>
        <v>0</v>
      </c>
      <c r="AL89" s="233">
        <v>877</v>
      </c>
      <c r="AM89" s="94">
        <v>10</v>
      </c>
      <c r="AN89" s="158"/>
      <c r="AO89" s="158"/>
      <c r="AP89" s="158"/>
      <c r="AQ89" s="158"/>
      <c r="AR89" s="158"/>
      <c r="AS89" s="158">
        <v>2</v>
      </c>
      <c r="AT89" s="2">
        <v>0</v>
      </c>
      <c r="AU89" s="58" t="s">
        <v>687</v>
      </c>
      <c r="AV89" s="308" t="s">
        <v>2343</v>
      </c>
      <c r="AW89" s="158"/>
      <c r="AX89" s="158"/>
      <c r="AY89" s="158"/>
      <c r="AZ89" s="158"/>
      <c r="BA89" s="158"/>
      <c r="BB89" s="158"/>
      <c r="BC89" s="69"/>
      <c r="BD89" s="69"/>
      <c r="BE89" s="69">
        <v>2</v>
      </c>
      <c r="BF89" s="271" t="s">
        <v>2200</v>
      </c>
      <c r="BG89" s="271">
        <v>2019</v>
      </c>
      <c r="BH89" s="271">
        <v>2020</v>
      </c>
      <c r="BI89" s="271" t="s">
        <v>2375</v>
      </c>
    </row>
    <row r="90" spans="1:61" s="204" customFormat="1" ht="25.5" customHeight="1">
      <c r="A90" s="160" t="s">
        <v>501</v>
      </c>
      <c r="B90" s="256" t="s">
        <v>727</v>
      </c>
      <c r="C90" s="77" t="s">
        <v>1262</v>
      </c>
      <c r="D90" s="246" t="s">
        <v>1117</v>
      </c>
      <c r="E90" s="246"/>
      <c r="F90" s="246"/>
      <c r="G90" s="246"/>
      <c r="H90" s="46" t="s">
        <v>1116</v>
      </c>
      <c r="I90" s="30">
        <v>335</v>
      </c>
      <c r="J90" s="212">
        <v>43406</v>
      </c>
      <c r="K90" s="94">
        <v>26</v>
      </c>
      <c r="L90" s="94">
        <v>26</v>
      </c>
      <c r="M90" s="158"/>
      <c r="N90" s="158"/>
      <c r="O90" s="94"/>
      <c r="P90" s="94">
        <v>2086867753</v>
      </c>
      <c r="Q90" s="94">
        <f>P90/BD90</f>
        <v>80264144.34615384</v>
      </c>
      <c r="R90" s="94"/>
      <c r="S90" s="94"/>
      <c r="T90" s="94"/>
      <c r="U90" s="94">
        <v>911271312</v>
      </c>
      <c r="V90" s="94">
        <v>10</v>
      </c>
      <c r="W90" s="311">
        <v>43405</v>
      </c>
      <c r="X90" s="94"/>
      <c r="Y90" s="94"/>
      <c r="Z90" s="94">
        <v>1175596441</v>
      </c>
      <c r="AA90" s="94">
        <v>10</v>
      </c>
      <c r="AB90" s="311">
        <v>43586</v>
      </c>
      <c r="AC90" s="584"/>
      <c r="AD90" s="252"/>
      <c r="AE90" s="252"/>
      <c r="AF90" s="252">
        <f t="shared" si="16"/>
        <v>0</v>
      </c>
      <c r="AG90" s="252"/>
      <c r="AH90" s="94">
        <v>0</v>
      </c>
      <c r="AI90" s="94">
        <v>0</v>
      </c>
      <c r="AJ90" s="94"/>
      <c r="AK90" s="94">
        <f t="shared" si="18"/>
        <v>0</v>
      </c>
      <c r="AL90" s="233">
        <v>877</v>
      </c>
      <c r="AM90" s="94">
        <v>10</v>
      </c>
      <c r="AN90" s="158"/>
      <c r="AO90" s="94"/>
      <c r="AP90" s="94"/>
      <c r="AQ90" s="158"/>
      <c r="AR90" s="158"/>
      <c r="AS90" s="158"/>
      <c r="AT90" s="2">
        <v>1</v>
      </c>
      <c r="AU90" s="58" t="s">
        <v>646</v>
      </c>
      <c r="AV90" s="104"/>
      <c r="AW90" s="158"/>
      <c r="AX90" s="158"/>
      <c r="AY90" s="158"/>
      <c r="AZ90" s="158">
        <v>26</v>
      </c>
      <c r="BA90" s="158"/>
      <c r="BB90" s="158"/>
      <c r="BC90" s="69"/>
      <c r="BD90" s="69">
        <v>26</v>
      </c>
      <c r="BE90" s="69"/>
      <c r="BF90" s="271">
        <v>2019</v>
      </c>
      <c r="BG90" s="271">
        <v>2019</v>
      </c>
      <c r="BH90" s="271"/>
      <c r="BI90" s="271" t="s">
        <v>2375</v>
      </c>
    </row>
    <row r="91" spans="1:61" s="204" customFormat="1" ht="18" customHeight="1">
      <c r="A91" s="160" t="s">
        <v>501</v>
      </c>
      <c r="B91" s="58" t="s">
        <v>32</v>
      </c>
      <c r="C91" s="118" t="s">
        <v>722</v>
      </c>
      <c r="D91" s="58" t="s">
        <v>1133</v>
      </c>
      <c r="E91" s="58"/>
      <c r="F91" s="58"/>
      <c r="G91" s="58"/>
      <c r="H91" s="30" t="s">
        <v>1113</v>
      </c>
      <c r="I91" s="78">
        <v>732</v>
      </c>
      <c r="J91" s="212">
        <v>43453</v>
      </c>
      <c r="K91" s="94">
        <v>44</v>
      </c>
      <c r="L91" s="158">
        <v>44</v>
      </c>
      <c r="M91" s="158"/>
      <c r="N91" s="158">
        <v>44</v>
      </c>
      <c r="O91" s="158"/>
      <c r="P91" s="158">
        <v>3294258000</v>
      </c>
      <c r="Q91" s="94">
        <f>P91/AO91</f>
        <v>74869500</v>
      </c>
      <c r="R91" s="158"/>
      <c r="S91" s="158"/>
      <c r="T91" s="158"/>
      <c r="U91" s="158">
        <v>1750415320</v>
      </c>
      <c r="V91" s="158">
        <v>10</v>
      </c>
      <c r="W91" s="311">
        <v>43435</v>
      </c>
      <c r="X91" s="158"/>
      <c r="Y91" s="158"/>
      <c r="Z91" s="94">
        <v>1543842680</v>
      </c>
      <c r="AA91" s="69">
        <v>20</v>
      </c>
      <c r="AB91" s="311">
        <v>43709</v>
      </c>
      <c r="AC91" s="577"/>
      <c r="AD91" s="69"/>
      <c r="AE91" s="69"/>
      <c r="AF91" s="94">
        <f t="shared" si="16"/>
        <v>0</v>
      </c>
      <c r="AG91" s="94"/>
      <c r="AH91" s="94">
        <v>0</v>
      </c>
      <c r="AI91" s="94">
        <v>0</v>
      </c>
      <c r="AJ91" s="94"/>
      <c r="AK91" s="158">
        <f>P91-R91-U91-Z91</f>
        <v>0</v>
      </c>
      <c r="AL91" s="233">
        <v>877</v>
      </c>
      <c r="AM91" s="94">
        <v>20</v>
      </c>
      <c r="AN91" s="61"/>
      <c r="AO91" s="94">
        <v>44</v>
      </c>
      <c r="AP91" s="158"/>
      <c r="AQ91" s="158"/>
      <c r="AR91" s="158"/>
      <c r="AS91" s="158"/>
      <c r="AT91" s="2">
        <v>0.81589999999999996</v>
      </c>
      <c r="AU91" s="58" t="s">
        <v>38</v>
      </c>
      <c r="AV91" s="104"/>
      <c r="AW91" s="158"/>
      <c r="AX91" s="158"/>
      <c r="AY91" s="158"/>
      <c r="AZ91" s="158"/>
      <c r="BA91" s="158"/>
      <c r="BB91" s="158"/>
      <c r="BC91" s="69"/>
      <c r="BD91" s="69"/>
      <c r="BE91" s="69"/>
      <c r="BF91" s="271"/>
      <c r="BG91" s="271">
        <v>2019</v>
      </c>
      <c r="BH91" s="430">
        <v>2020</v>
      </c>
      <c r="BI91" s="271" t="s">
        <v>2375</v>
      </c>
    </row>
    <row r="92" spans="1:61" s="204" customFormat="1" ht="18" customHeight="1">
      <c r="A92" s="160" t="s">
        <v>501</v>
      </c>
      <c r="B92" s="58" t="s">
        <v>28</v>
      </c>
      <c r="C92" s="118" t="s">
        <v>1131</v>
      </c>
      <c r="D92" s="58" t="s">
        <v>1134</v>
      </c>
      <c r="E92" s="58"/>
      <c r="F92" s="58"/>
      <c r="G92" s="58"/>
      <c r="H92" s="30" t="s">
        <v>1113</v>
      </c>
      <c r="I92" s="78">
        <v>733</v>
      </c>
      <c r="J92" s="212">
        <v>43453</v>
      </c>
      <c r="K92" s="158">
        <v>13</v>
      </c>
      <c r="L92" s="158">
        <v>13</v>
      </c>
      <c r="M92" s="158"/>
      <c r="N92" s="158"/>
      <c r="O92" s="158"/>
      <c r="P92" s="158">
        <v>855753835</v>
      </c>
      <c r="Q92" s="94">
        <f t="shared" ref="Q92:Q97" si="19">P92/BD92</f>
        <v>65827218.07692308</v>
      </c>
      <c r="R92" s="158"/>
      <c r="S92" s="158"/>
      <c r="T92" s="158"/>
      <c r="U92" s="158">
        <v>453730987</v>
      </c>
      <c r="V92" s="158">
        <v>10</v>
      </c>
      <c r="W92" s="311">
        <v>43525</v>
      </c>
      <c r="X92" s="311"/>
      <c r="Y92" s="311"/>
      <c r="Z92" s="94">
        <v>402022848</v>
      </c>
      <c r="AA92" s="69">
        <v>10</v>
      </c>
      <c r="AB92" s="311">
        <v>43678</v>
      </c>
      <c r="AC92" s="577"/>
      <c r="AD92" s="69"/>
      <c r="AE92" s="69"/>
      <c r="AF92" s="94">
        <f t="shared" si="16"/>
        <v>0</v>
      </c>
      <c r="AG92" s="94"/>
      <c r="AH92" s="94">
        <v>0</v>
      </c>
      <c r="AI92" s="94">
        <v>0</v>
      </c>
      <c r="AJ92" s="94"/>
      <c r="AK92" s="94">
        <f t="shared" si="18"/>
        <v>0</v>
      </c>
      <c r="AL92" s="233">
        <v>877</v>
      </c>
      <c r="AM92" s="94">
        <v>10</v>
      </c>
      <c r="AN92" s="61"/>
      <c r="AO92" s="158"/>
      <c r="AP92" s="158"/>
      <c r="AQ92" s="158"/>
      <c r="AR92" s="158"/>
      <c r="AS92" s="158"/>
      <c r="AT92" s="2">
        <v>1</v>
      </c>
      <c r="AU92" s="58" t="s">
        <v>646</v>
      </c>
      <c r="AV92" s="104" t="s">
        <v>1841</v>
      </c>
      <c r="AW92" s="158"/>
      <c r="AX92" s="158"/>
      <c r="AY92" s="158"/>
      <c r="AZ92" s="158">
        <v>13</v>
      </c>
      <c r="BA92" s="158"/>
      <c r="BB92" s="158"/>
      <c r="BC92" s="69"/>
      <c r="BD92" s="69">
        <v>13</v>
      </c>
      <c r="BE92" s="69"/>
      <c r="BF92" s="271">
        <v>2019</v>
      </c>
      <c r="BG92" s="271">
        <v>2019</v>
      </c>
      <c r="BH92" s="271"/>
      <c r="BI92" s="271" t="s">
        <v>2375</v>
      </c>
    </row>
    <row r="93" spans="1:61" s="204" customFormat="1" ht="18" customHeight="1">
      <c r="A93" s="248" t="s">
        <v>501</v>
      </c>
      <c r="B93" s="118" t="s">
        <v>727</v>
      </c>
      <c r="C93" s="253" t="s">
        <v>1132</v>
      </c>
      <c r="D93" s="58" t="s">
        <v>16</v>
      </c>
      <c r="E93" s="58"/>
      <c r="F93" s="58"/>
      <c r="G93" s="58"/>
      <c r="H93" s="30" t="s">
        <v>1113</v>
      </c>
      <c r="I93" s="30">
        <v>738</v>
      </c>
      <c r="J93" s="212">
        <v>43453</v>
      </c>
      <c r="K93" s="94">
        <v>34</v>
      </c>
      <c r="L93" s="158">
        <v>34</v>
      </c>
      <c r="M93" s="158"/>
      <c r="N93" s="158"/>
      <c r="O93" s="155"/>
      <c r="P93" s="158">
        <v>2627447492</v>
      </c>
      <c r="Q93" s="94">
        <f t="shared" si="19"/>
        <v>77277867.411764711</v>
      </c>
      <c r="R93" s="158"/>
      <c r="S93" s="158"/>
      <c r="T93" s="158"/>
      <c r="U93" s="158">
        <v>1412158834</v>
      </c>
      <c r="V93" s="158">
        <v>10</v>
      </c>
      <c r="W93" s="311">
        <v>43435</v>
      </c>
      <c r="X93" s="158"/>
      <c r="Y93" s="158"/>
      <c r="Z93" s="94">
        <v>1215288658</v>
      </c>
      <c r="AA93" s="158">
        <v>10</v>
      </c>
      <c r="AB93" s="311">
        <v>43586</v>
      </c>
      <c r="AC93" s="583"/>
      <c r="AD93" s="92"/>
      <c r="AE93" s="92"/>
      <c r="AF93" s="254">
        <f t="shared" si="16"/>
        <v>0</v>
      </c>
      <c r="AG93" s="254"/>
      <c r="AH93" s="94">
        <v>0</v>
      </c>
      <c r="AI93" s="94">
        <v>0</v>
      </c>
      <c r="AJ93" s="94"/>
      <c r="AK93" s="94">
        <f t="shared" si="18"/>
        <v>0</v>
      </c>
      <c r="AL93" s="233">
        <v>877</v>
      </c>
      <c r="AM93" s="94">
        <v>10</v>
      </c>
      <c r="AN93" s="155"/>
      <c r="AO93" s="94"/>
      <c r="AP93" s="94"/>
      <c r="AQ93" s="158"/>
      <c r="AR93" s="158"/>
      <c r="AS93" s="158"/>
      <c r="AT93" s="2">
        <v>1</v>
      </c>
      <c r="AU93" s="58" t="s">
        <v>646</v>
      </c>
      <c r="AV93" s="104"/>
      <c r="AW93" s="158"/>
      <c r="AX93" s="158"/>
      <c r="AY93" s="158"/>
      <c r="AZ93" s="158">
        <v>34</v>
      </c>
      <c r="BA93" s="158"/>
      <c r="BB93" s="158"/>
      <c r="BC93" s="69"/>
      <c r="BD93" s="69">
        <v>34</v>
      </c>
      <c r="BE93" s="69"/>
      <c r="BF93" s="271">
        <v>2019</v>
      </c>
      <c r="BG93" s="271">
        <v>2019</v>
      </c>
      <c r="BH93" s="271"/>
      <c r="BI93" s="271" t="s">
        <v>2375</v>
      </c>
    </row>
    <row r="94" spans="1:61" s="204" customFormat="1" ht="18" customHeight="1">
      <c r="A94" s="230" t="s">
        <v>501</v>
      </c>
      <c r="B94" s="234" t="s">
        <v>727</v>
      </c>
      <c r="C94" s="234" t="s">
        <v>1215</v>
      </c>
      <c r="D94" s="28" t="s">
        <v>16</v>
      </c>
      <c r="E94" s="28"/>
      <c r="F94" s="28"/>
      <c r="G94" s="28"/>
      <c r="H94" s="44" t="s">
        <v>1116</v>
      </c>
      <c r="I94" s="30">
        <v>494</v>
      </c>
      <c r="J94" s="212">
        <v>43430</v>
      </c>
      <c r="K94" s="94">
        <v>50</v>
      </c>
      <c r="L94" s="94">
        <v>50</v>
      </c>
      <c r="M94" s="158"/>
      <c r="N94" s="158"/>
      <c r="O94" s="94"/>
      <c r="P94" s="94">
        <v>3893366738</v>
      </c>
      <c r="Q94" s="94">
        <f t="shared" si="19"/>
        <v>77867334.760000005</v>
      </c>
      <c r="R94" s="94"/>
      <c r="S94" s="94"/>
      <c r="T94" s="94"/>
      <c r="U94" s="94">
        <v>1643837032</v>
      </c>
      <c r="V94" s="94">
        <v>10</v>
      </c>
      <c r="W94" s="311">
        <v>43405</v>
      </c>
      <c r="X94" s="94"/>
      <c r="Y94" s="94"/>
      <c r="Z94" s="94">
        <v>2249529706</v>
      </c>
      <c r="AA94" s="94">
        <v>10</v>
      </c>
      <c r="AB94" s="311">
        <v>43586</v>
      </c>
      <c r="AC94" s="329"/>
      <c r="AD94" s="233"/>
      <c r="AE94" s="233"/>
      <c r="AF94" s="233">
        <f t="shared" si="16"/>
        <v>0</v>
      </c>
      <c r="AG94" s="233"/>
      <c r="AH94" s="94">
        <v>0</v>
      </c>
      <c r="AI94" s="94">
        <v>0</v>
      </c>
      <c r="AJ94" s="94"/>
      <c r="AK94" s="94">
        <f t="shared" si="18"/>
        <v>0</v>
      </c>
      <c r="AL94" s="233">
        <v>877</v>
      </c>
      <c r="AM94" s="94">
        <v>10</v>
      </c>
      <c r="AN94" s="158"/>
      <c r="AO94" s="94"/>
      <c r="AP94" s="94"/>
      <c r="AQ94" s="158"/>
      <c r="AR94" s="158"/>
      <c r="AS94" s="158"/>
      <c r="AT94" s="2">
        <v>1</v>
      </c>
      <c r="AU94" s="58" t="s">
        <v>646</v>
      </c>
      <c r="AV94" s="104"/>
      <c r="AW94" s="158"/>
      <c r="AX94" s="158"/>
      <c r="AY94" s="158"/>
      <c r="AZ94" s="158">
        <v>50</v>
      </c>
      <c r="BA94" s="158"/>
      <c r="BB94" s="158"/>
      <c r="BC94" s="69"/>
      <c r="BD94" s="69">
        <v>50</v>
      </c>
      <c r="BE94" s="69"/>
      <c r="BF94" s="271">
        <v>2019</v>
      </c>
      <c r="BG94" s="271">
        <v>2019</v>
      </c>
      <c r="BH94" s="271"/>
      <c r="BI94" s="271" t="s">
        <v>2375</v>
      </c>
    </row>
    <row r="95" spans="1:61" s="204" customFormat="1" ht="18" customHeight="1">
      <c r="A95" s="160" t="s">
        <v>501</v>
      </c>
      <c r="B95" s="58" t="s">
        <v>31</v>
      </c>
      <c r="C95" s="118" t="s">
        <v>1238</v>
      </c>
      <c r="D95" s="58" t="s">
        <v>919</v>
      </c>
      <c r="E95" s="58"/>
      <c r="F95" s="58"/>
      <c r="G95" s="58"/>
      <c r="H95" s="30" t="s">
        <v>1232</v>
      </c>
      <c r="I95" s="30">
        <v>489</v>
      </c>
      <c r="J95" s="212">
        <v>43539</v>
      </c>
      <c r="K95" s="94"/>
      <c r="L95" s="94">
        <v>13</v>
      </c>
      <c r="M95" s="158"/>
      <c r="N95" s="158"/>
      <c r="O95" s="94"/>
      <c r="P95" s="94">
        <v>913149734</v>
      </c>
      <c r="Q95" s="94">
        <f t="shared" si="19"/>
        <v>70242287.230769232</v>
      </c>
      <c r="R95" s="94"/>
      <c r="S95" s="94"/>
      <c r="T95" s="94"/>
      <c r="U95" s="94">
        <v>478590119</v>
      </c>
      <c r="V95" s="94">
        <v>10</v>
      </c>
      <c r="W95" s="311">
        <v>43586</v>
      </c>
      <c r="X95" s="311"/>
      <c r="Y95" s="311"/>
      <c r="Z95" s="94">
        <v>434559615</v>
      </c>
      <c r="AA95" s="218">
        <v>10</v>
      </c>
      <c r="AB95" s="311">
        <v>43678</v>
      </c>
      <c r="AC95" s="577"/>
      <c r="AD95" s="218"/>
      <c r="AE95" s="218"/>
      <c r="AF95" s="94">
        <f t="shared" si="16"/>
        <v>0</v>
      </c>
      <c r="AG95" s="94"/>
      <c r="AH95" s="94">
        <v>0</v>
      </c>
      <c r="AI95" s="94">
        <v>0</v>
      </c>
      <c r="AJ95" s="94"/>
      <c r="AK95" s="94">
        <f t="shared" si="18"/>
        <v>0</v>
      </c>
      <c r="AL95" s="233">
        <v>877</v>
      </c>
      <c r="AM95" s="94">
        <v>10</v>
      </c>
      <c r="AN95" s="61"/>
      <c r="AO95" s="158"/>
      <c r="AP95" s="158"/>
      <c r="AQ95" s="158"/>
      <c r="AR95" s="158"/>
      <c r="AS95" s="158"/>
      <c r="AT95" s="2">
        <v>1</v>
      </c>
      <c r="AU95" s="58" t="s">
        <v>646</v>
      </c>
      <c r="AV95" s="104"/>
      <c r="AW95" s="158"/>
      <c r="AX95" s="158"/>
      <c r="AY95" s="158"/>
      <c r="AZ95" s="158">
        <v>13</v>
      </c>
      <c r="BA95" s="158"/>
      <c r="BB95" s="158"/>
      <c r="BC95" s="69"/>
      <c r="BD95" s="69">
        <v>13</v>
      </c>
      <c r="BE95" s="69"/>
      <c r="BF95" s="271">
        <v>2019</v>
      </c>
      <c r="BG95" s="271">
        <v>2019</v>
      </c>
      <c r="BH95" s="271"/>
      <c r="BI95" s="271" t="s">
        <v>2375</v>
      </c>
    </row>
    <row r="96" spans="1:61" s="204" customFormat="1" ht="18" customHeight="1">
      <c r="A96" s="243" t="s">
        <v>501</v>
      </c>
      <c r="B96" s="246" t="s">
        <v>1271</v>
      </c>
      <c r="C96" s="256" t="s">
        <v>1270</v>
      </c>
      <c r="D96" s="246" t="s">
        <v>772</v>
      </c>
      <c r="E96" s="246"/>
      <c r="F96" s="246"/>
      <c r="G96" s="246"/>
      <c r="H96" s="46" t="s">
        <v>1232</v>
      </c>
      <c r="I96" s="30">
        <v>728</v>
      </c>
      <c r="J96" s="212">
        <v>43579</v>
      </c>
      <c r="K96" s="94"/>
      <c r="L96" s="94"/>
      <c r="M96" s="158">
        <v>16</v>
      </c>
      <c r="N96" s="158">
        <v>16</v>
      </c>
      <c r="O96" s="94"/>
      <c r="P96" s="94">
        <v>1119591443</v>
      </c>
      <c r="Q96" s="94">
        <f>P96/AO96</f>
        <v>69974465.1875</v>
      </c>
      <c r="R96" s="94"/>
      <c r="S96" s="94"/>
      <c r="T96" s="94"/>
      <c r="U96" s="94">
        <v>574456206</v>
      </c>
      <c r="V96" s="94">
        <v>20</v>
      </c>
      <c r="W96" s="311">
        <v>43617</v>
      </c>
      <c r="X96" s="311"/>
      <c r="Y96" s="311"/>
      <c r="Z96" s="94"/>
      <c r="AA96" s="94"/>
      <c r="AB96" s="252"/>
      <c r="AC96" s="252"/>
      <c r="AD96" s="252"/>
      <c r="AE96" s="252"/>
      <c r="AF96" s="252">
        <f t="shared" si="16"/>
        <v>545135237</v>
      </c>
      <c r="AG96" s="252"/>
      <c r="AH96" s="94"/>
      <c r="AI96" s="94">
        <v>545135237</v>
      </c>
      <c r="AJ96" s="94"/>
      <c r="AK96" s="666">
        <f t="shared" ref="AK96:AK105" si="20">P96-R96-U96-Z96</f>
        <v>545135237</v>
      </c>
      <c r="AL96" s="664">
        <v>877</v>
      </c>
      <c r="AM96" s="664">
        <v>20</v>
      </c>
      <c r="AN96" s="158"/>
      <c r="AO96" s="158">
        <v>16</v>
      </c>
      <c r="AP96" s="158"/>
      <c r="AQ96" s="158"/>
      <c r="AR96" s="158"/>
      <c r="AS96" s="158"/>
      <c r="AT96" s="2">
        <v>0.31859999999999999</v>
      </c>
      <c r="AU96" s="58" t="s">
        <v>38</v>
      </c>
      <c r="AV96" s="104"/>
      <c r="AW96" s="158"/>
      <c r="AX96" s="158"/>
      <c r="AY96" s="158"/>
      <c r="AZ96" s="158"/>
      <c r="BA96" s="158"/>
      <c r="BB96" s="158"/>
      <c r="BC96" s="69"/>
      <c r="BD96" s="69"/>
      <c r="BE96" s="69"/>
      <c r="BF96" s="271"/>
      <c r="BG96" s="271">
        <v>2019</v>
      </c>
      <c r="BH96" s="430">
        <v>2020</v>
      </c>
      <c r="BI96" s="271" t="s">
        <v>2375</v>
      </c>
    </row>
    <row r="97" spans="1:61 16253:16296" s="204" customFormat="1" ht="18" customHeight="1">
      <c r="A97" s="160" t="s">
        <v>501</v>
      </c>
      <c r="B97" s="58" t="s">
        <v>25</v>
      </c>
      <c r="C97" s="118" t="s">
        <v>1239</v>
      </c>
      <c r="D97" s="58" t="s">
        <v>16</v>
      </c>
      <c r="E97" s="58"/>
      <c r="F97" s="58"/>
      <c r="G97" s="58"/>
      <c r="H97" s="30" t="s">
        <v>1232</v>
      </c>
      <c r="I97" s="78">
        <v>525</v>
      </c>
      <c r="J97" s="212">
        <v>43544</v>
      </c>
      <c r="K97" s="94"/>
      <c r="L97" s="94"/>
      <c r="M97" s="158">
        <v>98</v>
      </c>
      <c r="N97" s="158">
        <v>98</v>
      </c>
      <c r="O97" s="94"/>
      <c r="P97" s="94">
        <v>7731574221</v>
      </c>
      <c r="Q97" s="94">
        <f t="shared" si="19"/>
        <v>78893614.5</v>
      </c>
      <c r="R97" s="94"/>
      <c r="S97" s="94"/>
      <c r="T97" s="94"/>
      <c r="U97" s="94">
        <v>3985486910</v>
      </c>
      <c r="V97" s="94">
        <v>10</v>
      </c>
      <c r="W97" s="311">
        <v>43525</v>
      </c>
      <c r="X97" s="311"/>
      <c r="Y97" s="311"/>
      <c r="Z97" s="94">
        <v>3746087311</v>
      </c>
      <c r="AA97" s="218">
        <v>20</v>
      </c>
      <c r="AB97" s="311">
        <v>43709</v>
      </c>
      <c r="AC97" s="577"/>
      <c r="AD97" s="218"/>
      <c r="AE97" s="218"/>
      <c r="AF97" s="94">
        <f>P97-U97-Z97</f>
        <v>0</v>
      </c>
      <c r="AG97" s="94"/>
      <c r="AH97" s="94">
        <v>0</v>
      </c>
      <c r="AI97" s="94">
        <v>0</v>
      </c>
      <c r="AJ97" s="94"/>
      <c r="AK97" s="158">
        <f t="shared" si="20"/>
        <v>0</v>
      </c>
      <c r="AL97" s="94">
        <v>877</v>
      </c>
      <c r="AM97" s="94">
        <v>20</v>
      </c>
      <c r="AN97" s="61"/>
      <c r="AO97" s="158"/>
      <c r="AP97" s="158">
        <v>98</v>
      </c>
      <c r="AQ97" s="158"/>
      <c r="AR97" s="158"/>
      <c r="AS97" s="158"/>
      <c r="AT97" s="2">
        <v>1</v>
      </c>
      <c r="AU97" s="58" t="s">
        <v>646</v>
      </c>
      <c r="AV97" s="104"/>
      <c r="AW97" s="158"/>
      <c r="AX97" s="158"/>
      <c r="AY97" s="158"/>
      <c r="AZ97" s="158"/>
      <c r="BA97" s="158">
        <v>98</v>
      </c>
      <c r="BB97" s="158"/>
      <c r="BC97" s="69"/>
      <c r="BD97" s="69">
        <v>98</v>
      </c>
      <c r="BE97" s="69"/>
      <c r="BF97" s="271">
        <v>2020</v>
      </c>
      <c r="BG97" s="271">
        <v>2019</v>
      </c>
      <c r="BH97" s="430">
        <v>2020</v>
      </c>
      <c r="BI97" s="271" t="s">
        <v>2375</v>
      </c>
    </row>
    <row r="98" spans="1:61 16253:16296" s="204" customFormat="1" ht="31.5" customHeight="1">
      <c r="A98" s="160" t="s">
        <v>501</v>
      </c>
      <c r="B98" s="88" t="s">
        <v>1644</v>
      </c>
      <c r="C98" s="118" t="s">
        <v>1643</v>
      </c>
      <c r="D98" s="58" t="s">
        <v>16</v>
      </c>
      <c r="E98" s="58"/>
      <c r="F98" s="58"/>
      <c r="G98" s="58"/>
      <c r="H98" s="30" t="s">
        <v>1605</v>
      </c>
      <c r="I98" s="78">
        <v>1369</v>
      </c>
      <c r="J98" s="212">
        <v>43685</v>
      </c>
      <c r="K98" s="94"/>
      <c r="L98" s="94"/>
      <c r="M98" s="158">
        <v>68</v>
      </c>
      <c r="N98" s="158">
        <v>68</v>
      </c>
      <c r="O98" s="94"/>
      <c r="P98" s="94">
        <f>5103184539-145805272</f>
        <v>4957379267</v>
      </c>
      <c r="Q98" s="94">
        <f>P98/AO98</f>
        <v>72902636.279411763</v>
      </c>
      <c r="R98" s="94"/>
      <c r="S98" s="94"/>
      <c r="T98" s="94"/>
      <c r="U98" s="94">
        <v>2694793644</v>
      </c>
      <c r="V98" s="94">
        <v>20</v>
      </c>
      <c r="W98" s="311">
        <v>43678</v>
      </c>
      <c r="X98" s="311"/>
      <c r="Y98" s="311"/>
      <c r="Z98" s="94">
        <v>2262585623</v>
      </c>
      <c r="AA98" s="218">
        <v>20</v>
      </c>
      <c r="AB98" s="311">
        <v>43800</v>
      </c>
      <c r="AC98" s="582"/>
      <c r="AD98" s="283"/>
      <c r="AE98" s="283"/>
      <c r="AF98" s="94">
        <f>P98-U98-Z98</f>
        <v>0</v>
      </c>
      <c r="AG98" s="94"/>
      <c r="AH98" s="94">
        <v>0</v>
      </c>
      <c r="AI98" s="94">
        <v>0</v>
      </c>
      <c r="AJ98" s="94"/>
      <c r="AK98" s="158">
        <f t="shared" si="20"/>
        <v>0</v>
      </c>
      <c r="AL98" s="94">
        <v>877</v>
      </c>
      <c r="AM98" s="94">
        <v>20</v>
      </c>
      <c r="AN98" s="61"/>
      <c r="AO98" s="158">
        <v>68</v>
      </c>
      <c r="AP98" s="158"/>
      <c r="AQ98" s="158"/>
      <c r="AR98" s="158"/>
      <c r="AS98" s="158"/>
      <c r="AT98" s="2">
        <v>0.76519999999999999</v>
      </c>
      <c r="AU98" s="58" t="s">
        <v>38</v>
      </c>
      <c r="AV98" s="104"/>
      <c r="AW98" s="158"/>
      <c r="AX98" s="158"/>
      <c r="AY98" s="158"/>
      <c r="AZ98" s="158"/>
      <c r="BA98" s="158"/>
      <c r="BB98" s="158"/>
      <c r="BC98" s="69"/>
      <c r="BD98" s="69"/>
      <c r="BE98" s="69"/>
      <c r="BF98" s="271"/>
      <c r="BG98" s="271">
        <v>2019</v>
      </c>
      <c r="BH98" s="430">
        <v>2020</v>
      </c>
      <c r="BI98" s="271" t="s">
        <v>2375</v>
      </c>
    </row>
    <row r="99" spans="1:61 16253:16296" s="204" customFormat="1" ht="31.5" customHeight="1">
      <c r="A99" s="160" t="s">
        <v>501</v>
      </c>
      <c r="B99" s="88" t="s">
        <v>1644</v>
      </c>
      <c r="C99" s="118" t="s">
        <v>1643</v>
      </c>
      <c r="D99" s="58" t="s">
        <v>16</v>
      </c>
      <c r="E99" s="58"/>
      <c r="F99" s="58"/>
      <c r="G99" s="58"/>
      <c r="H99" s="30" t="s">
        <v>1605</v>
      </c>
      <c r="I99" s="78">
        <v>1369</v>
      </c>
      <c r="J99" s="212">
        <v>43685</v>
      </c>
      <c r="K99" s="94"/>
      <c r="L99" s="94"/>
      <c r="M99" s="158">
        <v>1</v>
      </c>
      <c r="N99" s="158">
        <v>1</v>
      </c>
      <c r="O99" s="94"/>
      <c r="P99" s="94">
        <v>72902636</v>
      </c>
      <c r="Q99" s="94">
        <f>P99/AO99</f>
        <v>72902636</v>
      </c>
      <c r="R99" s="94"/>
      <c r="S99" s="94"/>
      <c r="T99" s="94"/>
      <c r="U99" s="94">
        <v>72902636</v>
      </c>
      <c r="V99" s="94">
        <v>20</v>
      </c>
      <c r="W99" s="311">
        <v>43800</v>
      </c>
      <c r="X99" s="311"/>
      <c r="Y99" s="311"/>
      <c r="Z99" s="94"/>
      <c r="AA99" s="218"/>
      <c r="AB99" s="283"/>
      <c r="AC99" s="283"/>
      <c r="AD99" s="283"/>
      <c r="AE99" s="283"/>
      <c r="AF99" s="94">
        <f>P99-U99-Z99</f>
        <v>0</v>
      </c>
      <c r="AG99" s="94"/>
      <c r="AH99" s="94">
        <v>0</v>
      </c>
      <c r="AI99" s="94">
        <v>0</v>
      </c>
      <c r="AJ99" s="94"/>
      <c r="AK99" s="158">
        <f t="shared" si="20"/>
        <v>0</v>
      </c>
      <c r="AL99" s="94">
        <v>877</v>
      </c>
      <c r="AM99" s="94">
        <v>20</v>
      </c>
      <c r="AN99" s="61"/>
      <c r="AO99" s="158">
        <v>1</v>
      </c>
      <c r="AP99" s="158"/>
      <c r="AQ99" s="158"/>
      <c r="AR99" s="158"/>
      <c r="AS99" s="158"/>
      <c r="AT99" s="2">
        <v>0.75519999999999998</v>
      </c>
      <c r="AU99" s="58" t="s">
        <v>38</v>
      </c>
      <c r="AV99" s="104"/>
      <c r="AW99" s="158"/>
      <c r="AX99" s="158"/>
      <c r="AY99" s="158"/>
      <c r="AZ99" s="158"/>
      <c r="BA99" s="158"/>
      <c r="BB99" s="158"/>
      <c r="BC99" s="69"/>
      <c r="BD99" s="69"/>
      <c r="BE99" s="69"/>
      <c r="BF99" s="271"/>
      <c r="BG99" s="271">
        <v>2019</v>
      </c>
      <c r="BH99" s="271">
        <v>2020</v>
      </c>
      <c r="BI99" s="271" t="s">
        <v>2375</v>
      </c>
    </row>
    <row r="100" spans="1:61 16253:16296" s="204" customFormat="1" ht="29.25" customHeight="1">
      <c r="A100" s="160" t="s">
        <v>501</v>
      </c>
      <c r="B100" s="88" t="s">
        <v>1644</v>
      </c>
      <c r="C100" s="118" t="s">
        <v>1643</v>
      </c>
      <c r="D100" s="58" t="s">
        <v>16</v>
      </c>
      <c r="E100" s="58"/>
      <c r="F100" s="58"/>
      <c r="G100" s="58"/>
      <c r="H100" s="30" t="s">
        <v>1605</v>
      </c>
      <c r="I100" s="78">
        <v>1369</v>
      </c>
      <c r="J100" s="212">
        <v>43685</v>
      </c>
      <c r="K100" s="94"/>
      <c r="L100" s="94"/>
      <c r="M100" s="158">
        <v>1</v>
      </c>
      <c r="N100" s="158">
        <v>1</v>
      </c>
      <c r="O100" s="94"/>
      <c r="P100" s="94">
        <f>145805272-72902636</f>
        <v>72902636</v>
      </c>
      <c r="Q100" s="94">
        <f>P100/AN100</f>
        <v>72902636</v>
      </c>
      <c r="R100" s="94"/>
      <c r="S100" s="94"/>
      <c r="T100" s="94"/>
      <c r="U100" s="94"/>
      <c r="V100" s="94"/>
      <c r="W100" s="94"/>
      <c r="X100" s="94"/>
      <c r="Y100" s="94"/>
      <c r="Z100" s="94"/>
      <c r="AA100" s="218"/>
      <c r="AB100" s="283"/>
      <c r="AC100" s="283"/>
      <c r="AD100" s="283"/>
      <c r="AE100" s="283"/>
      <c r="AF100" s="94">
        <f>P100-U100-Z100</f>
        <v>72902636</v>
      </c>
      <c r="AG100" s="94"/>
      <c r="AH100" s="94">
        <v>0</v>
      </c>
      <c r="AI100" s="94">
        <v>72902636</v>
      </c>
      <c r="AJ100" s="94"/>
      <c r="AK100" s="158">
        <f t="shared" si="20"/>
        <v>72902636</v>
      </c>
      <c r="AL100" s="94">
        <v>877</v>
      </c>
      <c r="AM100" s="94">
        <v>20</v>
      </c>
      <c r="AN100" s="61">
        <v>1</v>
      </c>
      <c r="AO100" s="158"/>
      <c r="AP100" s="158"/>
      <c r="AQ100" s="158"/>
      <c r="AR100" s="158"/>
      <c r="AS100" s="158"/>
      <c r="AT100" s="2">
        <v>0</v>
      </c>
      <c r="AU100" s="58" t="s">
        <v>521</v>
      </c>
      <c r="AV100" s="104"/>
      <c r="AW100" s="158"/>
      <c r="AX100" s="158"/>
      <c r="AY100" s="158"/>
      <c r="AZ100" s="158"/>
      <c r="BA100" s="158"/>
      <c r="BB100" s="158"/>
      <c r="BC100" s="69"/>
      <c r="BD100" s="69"/>
      <c r="BE100" s="69"/>
      <c r="BF100" s="271"/>
      <c r="BG100" s="271">
        <v>2019</v>
      </c>
      <c r="BH100" s="271">
        <v>2020</v>
      </c>
      <c r="BI100" s="271" t="s">
        <v>2375</v>
      </c>
    </row>
    <row r="101" spans="1:61 16253:16296" s="204" customFormat="1" ht="21" customHeight="1">
      <c r="A101" s="160" t="s">
        <v>501</v>
      </c>
      <c r="B101" s="88" t="s">
        <v>1825</v>
      </c>
      <c r="C101" s="77" t="s">
        <v>1556</v>
      </c>
      <c r="D101" s="58" t="s">
        <v>1557</v>
      </c>
      <c r="E101" s="28"/>
      <c r="F101" s="28"/>
      <c r="G101" s="28"/>
      <c r="H101" s="44" t="s">
        <v>1553</v>
      </c>
      <c r="I101" s="78">
        <v>1659</v>
      </c>
      <c r="J101" s="212">
        <v>43731</v>
      </c>
      <c r="K101" s="94"/>
      <c r="L101" s="94"/>
      <c r="M101" s="158">
        <v>52</v>
      </c>
      <c r="N101" s="158">
        <v>52</v>
      </c>
      <c r="O101" s="94"/>
      <c r="P101" s="94">
        <v>4329916139</v>
      </c>
      <c r="Q101" s="94">
        <f t="shared" ref="Q101:Q106" si="21">P101/AO101</f>
        <v>83267618.057692304</v>
      </c>
      <c r="R101" s="94"/>
      <c r="S101" s="94"/>
      <c r="T101" s="94"/>
      <c r="U101" s="94">
        <v>2353731485</v>
      </c>
      <c r="V101" s="94">
        <v>20</v>
      </c>
      <c r="W101" s="311">
        <v>43739</v>
      </c>
      <c r="X101" s="311"/>
      <c r="Y101" s="311"/>
      <c r="Z101" s="94">
        <v>1976184654</v>
      </c>
      <c r="AA101" s="218">
        <v>20</v>
      </c>
      <c r="AB101" s="311">
        <v>43951</v>
      </c>
      <c r="AC101" s="582"/>
      <c r="AD101" s="283"/>
      <c r="AE101" s="283"/>
      <c r="AF101" s="158">
        <f>P101-U101</f>
        <v>1976184654</v>
      </c>
      <c r="AG101" s="94"/>
      <c r="AH101" s="94">
        <f>P101-U101-Z101</f>
        <v>0</v>
      </c>
      <c r="AI101" s="94">
        <v>1976184654</v>
      </c>
      <c r="AJ101" s="94"/>
      <c r="AK101" s="158">
        <f t="shared" si="20"/>
        <v>0</v>
      </c>
      <c r="AL101" s="94">
        <v>877</v>
      </c>
      <c r="AM101" s="94">
        <v>20</v>
      </c>
      <c r="AN101" s="61"/>
      <c r="AO101" s="61">
        <v>52</v>
      </c>
      <c r="AP101" s="158"/>
      <c r="AQ101" s="158"/>
      <c r="AR101" s="158"/>
      <c r="AS101" s="158"/>
      <c r="AT101" s="2">
        <v>0.55359999999999998</v>
      </c>
      <c r="AU101" s="58" t="s">
        <v>38</v>
      </c>
      <c r="AV101" s="104" t="s">
        <v>1565</v>
      </c>
      <c r="AW101" s="158"/>
      <c r="AX101" s="158"/>
      <c r="AY101" s="158"/>
      <c r="AZ101" s="158"/>
      <c r="BA101" s="158"/>
      <c r="BB101" s="158"/>
      <c r="BC101" s="69"/>
      <c r="BD101" s="69"/>
      <c r="BE101" s="69"/>
      <c r="BF101" s="271"/>
      <c r="BG101" s="271">
        <v>2019</v>
      </c>
      <c r="BH101" s="430">
        <v>2020</v>
      </c>
      <c r="BI101" s="271" t="s">
        <v>2375</v>
      </c>
    </row>
    <row r="102" spans="1:61 16253:16296" s="204" customFormat="1" ht="18" customHeight="1">
      <c r="A102" s="160" t="s">
        <v>501</v>
      </c>
      <c r="B102" s="58" t="s">
        <v>31</v>
      </c>
      <c r="C102" s="118" t="s">
        <v>1768</v>
      </c>
      <c r="D102" s="58" t="s">
        <v>1769</v>
      </c>
      <c r="E102" s="28"/>
      <c r="F102" s="28"/>
      <c r="G102" s="28"/>
      <c r="H102" s="44" t="s">
        <v>1763</v>
      </c>
      <c r="I102" s="78">
        <v>1861</v>
      </c>
      <c r="J102" s="212">
        <v>43766</v>
      </c>
      <c r="K102" s="94"/>
      <c r="L102" s="94"/>
      <c r="M102" s="158">
        <v>70</v>
      </c>
      <c r="N102" s="158">
        <v>70</v>
      </c>
      <c r="O102" s="94"/>
      <c r="P102" s="94">
        <v>5409922833</v>
      </c>
      <c r="Q102" s="94">
        <f t="shared" si="21"/>
        <v>77284611.900000006</v>
      </c>
      <c r="R102" s="94"/>
      <c r="S102" s="94"/>
      <c r="T102" s="94"/>
      <c r="U102" s="94">
        <v>2938442297</v>
      </c>
      <c r="V102" s="94">
        <v>20</v>
      </c>
      <c r="W102" s="311">
        <v>43770</v>
      </c>
      <c r="X102" s="311"/>
      <c r="Y102" s="311"/>
      <c r="Z102" s="94"/>
      <c r="AA102" s="218"/>
      <c r="AB102" s="283"/>
      <c r="AC102" s="283"/>
      <c r="AD102" s="283"/>
      <c r="AE102" s="283"/>
      <c r="AF102" s="94">
        <f>P102-U102-Z102</f>
        <v>2471480536</v>
      </c>
      <c r="AG102" s="94"/>
      <c r="AH102" s="94">
        <v>0</v>
      </c>
      <c r="AI102" s="94">
        <v>2471480536</v>
      </c>
      <c r="AJ102" s="94"/>
      <c r="AK102" s="158">
        <f t="shared" si="20"/>
        <v>2471480536</v>
      </c>
      <c r="AL102" s="94">
        <v>877</v>
      </c>
      <c r="AM102" s="94">
        <v>20</v>
      </c>
      <c r="AN102" s="94"/>
      <c r="AO102" s="158">
        <v>70</v>
      </c>
      <c r="AP102" s="158"/>
      <c r="AQ102" s="158"/>
      <c r="AR102" s="158"/>
      <c r="AS102" s="158"/>
      <c r="AT102" s="2">
        <v>7.4499999999999997E-2</v>
      </c>
      <c r="AU102" s="58" t="s">
        <v>38</v>
      </c>
      <c r="AV102" s="104" t="s">
        <v>1565</v>
      </c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271"/>
      <c r="BG102" s="271">
        <v>2019</v>
      </c>
      <c r="BH102" s="430">
        <v>2020</v>
      </c>
      <c r="BI102" s="271" t="s">
        <v>2375</v>
      </c>
    </row>
    <row r="103" spans="1:61 16253:16296" s="204" customFormat="1" ht="18" customHeight="1">
      <c r="A103" s="160" t="s">
        <v>501</v>
      </c>
      <c r="B103" s="58" t="s">
        <v>37</v>
      </c>
      <c r="C103" s="692" t="s">
        <v>2235</v>
      </c>
      <c r="D103" s="95" t="s">
        <v>16</v>
      </c>
      <c r="E103" s="702"/>
      <c r="F103" s="78">
        <v>4</v>
      </c>
      <c r="G103" s="332"/>
      <c r="H103" s="523" t="s">
        <v>2236</v>
      </c>
      <c r="I103" s="78">
        <v>265</v>
      </c>
      <c r="J103" s="459">
        <v>43899</v>
      </c>
      <c r="K103" s="225"/>
      <c r="L103" s="225"/>
      <c r="M103" s="61"/>
      <c r="N103" s="693">
        <v>46</v>
      </c>
      <c r="O103" s="225"/>
      <c r="P103" s="225">
        <f>(2097761100+1735321439)</f>
        <v>3833082539</v>
      </c>
      <c r="Q103" s="94">
        <f t="shared" si="21"/>
        <v>83327881.282608703</v>
      </c>
      <c r="R103" s="225"/>
      <c r="S103" s="225"/>
      <c r="T103" s="225"/>
      <c r="U103" s="649">
        <v>2097761100</v>
      </c>
      <c r="V103" s="225">
        <v>20</v>
      </c>
      <c r="W103" s="460">
        <v>43921</v>
      </c>
      <c r="X103" s="460"/>
      <c r="Y103" s="460"/>
      <c r="Z103" s="225"/>
      <c r="AA103" s="521">
        <v>20</v>
      </c>
      <c r="AB103" s="94"/>
      <c r="AC103" s="94"/>
      <c r="AD103" s="94"/>
      <c r="AE103" s="94"/>
      <c r="AF103" s="94">
        <f t="shared" ref="AF103:AF106" si="22">P103</f>
        <v>3833082539</v>
      </c>
      <c r="AG103" s="225"/>
      <c r="AH103" s="225"/>
      <c r="AI103" s="225">
        <v>3833082539</v>
      </c>
      <c r="AJ103" s="225"/>
      <c r="AK103" s="158">
        <f t="shared" si="20"/>
        <v>1735321439</v>
      </c>
      <c r="AL103" s="94">
        <v>877</v>
      </c>
      <c r="AM103" s="158">
        <v>20</v>
      </c>
      <c r="AN103" s="225"/>
      <c r="AO103" s="61">
        <v>46</v>
      </c>
      <c r="AP103" s="61"/>
      <c r="AQ103" s="61"/>
      <c r="AR103" s="61"/>
      <c r="AS103" s="61"/>
      <c r="AT103" s="2">
        <v>0</v>
      </c>
      <c r="AU103" s="58" t="s">
        <v>38</v>
      </c>
      <c r="AV103" s="462"/>
      <c r="AW103" s="61"/>
      <c r="AX103" s="61"/>
      <c r="AY103" s="61"/>
      <c r="AZ103" s="61"/>
      <c r="BA103" s="61"/>
      <c r="BB103" s="61"/>
      <c r="BC103" s="61"/>
      <c r="BD103" s="158"/>
      <c r="BE103" s="158"/>
      <c r="BF103" s="271"/>
      <c r="BG103" s="464"/>
      <c r="BH103" s="712">
        <v>2020</v>
      </c>
      <c r="BI103" s="271" t="s">
        <v>2375</v>
      </c>
    </row>
    <row r="104" spans="1:61 16253:16296" s="204" customFormat="1" ht="18" customHeight="1">
      <c r="A104" s="160" t="s">
        <v>501</v>
      </c>
      <c r="B104" s="520" t="s">
        <v>1068</v>
      </c>
      <c r="C104" s="692" t="s">
        <v>2245</v>
      </c>
      <c r="D104" s="95" t="s">
        <v>2246</v>
      </c>
      <c r="E104" s="703"/>
      <c r="F104" s="78">
        <v>4</v>
      </c>
      <c r="G104" s="332"/>
      <c r="H104" s="541" t="s">
        <v>2236</v>
      </c>
      <c r="I104" s="78">
        <v>272</v>
      </c>
      <c r="J104" s="459">
        <v>43900</v>
      </c>
      <c r="K104" s="225"/>
      <c r="L104" s="225"/>
      <c r="M104" s="61"/>
      <c r="N104" s="693">
        <v>54</v>
      </c>
      <c r="O104" s="225"/>
      <c r="P104" s="225">
        <f>(2473025734+2025928452)</f>
        <v>4498954186</v>
      </c>
      <c r="Q104" s="94">
        <f t="shared" si="21"/>
        <v>83313966.407407403</v>
      </c>
      <c r="R104" s="225"/>
      <c r="S104" s="225"/>
      <c r="T104" s="225"/>
      <c r="U104" s="649">
        <v>2473025734</v>
      </c>
      <c r="V104" s="225">
        <v>20</v>
      </c>
      <c r="W104" s="460">
        <v>43921</v>
      </c>
      <c r="X104" s="460"/>
      <c r="Y104" s="460"/>
      <c r="Z104" s="225"/>
      <c r="AA104" s="521">
        <v>20</v>
      </c>
      <c r="AB104" s="94"/>
      <c r="AC104" s="94"/>
      <c r="AD104" s="94"/>
      <c r="AE104" s="94"/>
      <c r="AF104" s="94">
        <f t="shared" si="22"/>
        <v>4498954186</v>
      </c>
      <c r="AG104" s="225"/>
      <c r="AH104" s="225"/>
      <c r="AI104" s="225">
        <v>4498954186</v>
      </c>
      <c r="AJ104" s="225"/>
      <c r="AK104" s="158">
        <f t="shared" si="20"/>
        <v>2025928452</v>
      </c>
      <c r="AL104" s="94">
        <v>877</v>
      </c>
      <c r="AM104" s="158">
        <v>20</v>
      </c>
      <c r="AN104" s="225"/>
      <c r="AO104" s="61">
        <v>54</v>
      </c>
      <c r="AP104" s="61"/>
      <c r="AQ104" s="61"/>
      <c r="AR104" s="61"/>
      <c r="AS104" s="61"/>
      <c r="AT104" s="2">
        <v>0</v>
      </c>
      <c r="AU104" s="58" t="s">
        <v>38</v>
      </c>
      <c r="AV104" s="462"/>
      <c r="AW104" s="61"/>
      <c r="AX104" s="61"/>
      <c r="AY104" s="61"/>
      <c r="AZ104" s="61"/>
      <c r="BA104" s="61"/>
      <c r="BB104" s="61"/>
      <c r="BC104" s="61"/>
      <c r="BD104" s="158"/>
      <c r="BE104" s="158"/>
      <c r="BF104" s="271"/>
      <c r="BG104" s="464"/>
      <c r="BH104" s="712">
        <v>2020</v>
      </c>
      <c r="BI104" s="271" t="s">
        <v>2375</v>
      </c>
    </row>
    <row r="105" spans="1:61 16253:16296" s="204" customFormat="1" ht="28.5" customHeight="1">
      <c r="A105" s="160" t="s">
        <v>501</v>
      </c>
      <c r="B105" s="88" t="s">
        <v>1644</v>
      </c>
      <c r="C105" s="95" t="s">
        <v>2265</v>
      </c>
      <c r="D105" s="95" t="s">
        <v>2266</v>
      </c>
      <c r="E105" s="703"/>
      <c r="F105" s="78">
        <v>4</v>
      </c>
      <c r="G105" s="332"/>
      <c r="H105" s="541" t="s">
        <v>2236</v>
      </c>
      <c r="I105" s="78">
        <v>310</v>
      </c>
      <c r="J105" s="459">
        <v>43909</v>
      </c>
      <c r="K105" s="225"/>
      <c r="L105" s="225"/>
      <c r="M105" s="61"/>
      <c r="N105" s="693">
        <v>40</v>
      </c>
      <c r="O105" s="225"/>
      <c r="P105" s="225">
        <f>(1523730607+1285657178)</f>
        <v>2809387785</v>
      </c>
      <c r="Q105" s="94">
        <f t="shared" si="21"/>
        <v>70234694.625</v>
      </c>
      <c r="R105" s="225"/>
      <c r="S105" s="225"/>
      <c r="T105" s="225"/>
      <c r="U105" s="649">
        <v>1523730607</v>
      </c>
      <c r="V105" s="225">
        <v>20</v>
      </c>
      <c r="W105" s="460">
        <v>43951</v>
      </c>
      <c r="X105" s="460"/>
      <c r="Y105" s="460"/>
      <c r="Z105" s="225"/>
      <c r="AA105" s="521">
        <v>20</v>
      </c>
      <c r="AB105" s="94"/>
      <c r="AC105" s="94"/>
      <c r="AD105" s="94"/>
      <c r="AE105" s="94"/>
      <c r="AF105" s="94">
        <f t="shared" si="22"/>
        <v>2809387785</v>
      </c>
      <c r="AG105" s="225"/>
      <c r="AH105" s="225"/>
      <c r="AI105" s="225">
        <v>2809387785</v>
      </c>
      <c r="AJ105" s="225"/>
      <c r="AK105" s="158">
        <f t="shared" si="20"/>
        <v>1285657178</v>
      </c>
      <c r="AL105" s="94">
        <v>877</v>
      </c>
      <c r="AM105" s="158">
        <v>20</v>
      </c>
      <c r="AN105" s="225"/>
      <c r="AO105" s="61">
        <v>40</v>
      </c>
      <c r="AP105" s="61"/>
      <c r="AQ105" s="61"/>
      <c r="AR105" s="61"/>
      <c r="AS105" s="61"/>
      <c r="AT105" s="2">
        <v>0</v>
      </c>
      <c r="AU105" s="58" t="s">
        <v>38</v>
      </c>
      <c r="AV105" s="462"/>
      <c r="AW105" s="61"/>
      <c r="AX105" s="61"/>
      <c r="AY105" s="61"/>
      <c r="AZ105" s="61"/>
      <c r="BA105" s="61"/>
      <c r="BB105" s="61"/>
      <c r="BC105" s="61"/>
      <c r="BD105" s="158"/>
      <c r="BE105" s="158"/>
      <c r="BF105" s="271"/>
      <c r="BG105" s="464"/>
      <c r="BH105" s="712">
        <v>2020</v>
      </c>
      <c r="BI105" s="271" t="s">
        <v>2375</v>
      </c>
    </row>
    <row r="106" spans="1:61 16253:16296" s="204" customFormat="1" ht="18" customHeight="1">
      <c r="A106" s="160" t="s">
        <v>501</v>
      </c>
      <c r="B106" s="520" t="s">
        <v>1068</v>
      </c>
      <c r="C106" s="95" t="s">
        <v>2271</v>
      </c>
      <c r="D106" s="95" t="s">
        <v>2272</v>
      </c>
      <c r="E106" s="703"/>
      <c r="F106" s="78">
        <v>4</v>
      </c>
      <c r="G106" s="332"/>
      <c r="H106" s="541" t="s">
        <v>2236</v>
      </c>
      <c r="I106" s="78">
        <v>337</v>
      </c>
      <c r="J106" s="459">
        <v>43920</v>
      </c>
      <c r="K106" s="225"/>
      <c r="L106" s="225"/>
      <c r="M106" s="61"/>
      <c r="N106" s="693">
        <v>79</v>
      </c>
      <c r="O106" s="225"/>
      <c r="P106" s="225">
        <f>(3446861421+2820615155)</f>
        <v>6267476576</v>
      </c>
      <c r="Q106" s="94">
        <f t="shared" si="21"/>
        <v>79335146.531645566</v>
      </c>
      <c r="R106" s="225"/>
      <c r="S106" s="225"/>
      <c r="T106" s="225"/>
      <c r="U106" s="649">
        <v>3446861421</v>
      </c>
      <c r="V106" s="225">
        <v>20</v>
      </c>
      <c r="W106" s="460">
        <v>43951</v>
      </c>
      <c r="X106" s="460"/>
      <c r="Y106" s="460"/>
      <c r="Z106" s="225"/>
      <c r="AA106" s="521">
        <v>20</v>
      </c>
      <c r="AB106" s="94"/>
      <c r="AC106" s="94"/>
      <c r="AD106" s="94"/>
      <c r="AE106" s="94"/>
      <c r="AF106" s="94">
        <f t="shared" si="22"/>
        <v>6267476576</v>
      </c>
      <c r="AG106" s="225"/>
      <c r="AH106" s="225"/>
      <c r="AI106" s="225">
        <v>6267476576</v>
      </c>
      <c r="AJ106" s="225"/>
      <c r="AK106" s="158">
        <f>P106-R106-U106-Z106</f>
        <v>2820615155</v>
      </c>
      <c r="AL106" s="94">
        <v>877</v>
      </c>
      <c r="AM106" s="158">
        <v>20</v>
      </c>
      <c r="AN106" s="225"/>
      <c r="AO106" s="61">
        <v>79</v>
      </c>
      <c r="AP106" s="61"/>
      <c r="AQ106" s="61"/>
      <c r="AR106" s="61"/>
      <c r="AS106" s="61"/>
      <c r="AT106" s="2">
        <v>0</v>
      </c>
      <c r="AU106" s="58" t="s">
        <v>38</v>
      </c>
      <c r="AV106" s="462"/>
      <c r="AW106" s="61"/>
      <c r="AX106" s="61"/>
      <c r="AY106" s="61"/>
      <c r="AZ106" s="61"/>
      <c r="BA106" s="61"/>
      <c r="BB106" s="61"/>
      <c r="BC106" s="61"/>
      <c r="BD106" s="158"/>
      <c r="BE106" s="158"/>
      <c r="BF106" s="271"/>
      <c r="BG106" s="464"/>
      <c r="BH106" s="712">
        <v>2020</v>
      </c>
      <c r="BI106" s="271" t="s">
        <v>2375</v>
      </c>
    </row>
    <row r="107" spans="1:61 16253:16296" ht="15" customHeight="1">
      <c r="A107" s="371" t="s">
        <v>502</v>
      </c>
      <c r="B107" s="371"/>
      <c r="C107" s="371"/>
      <c r="D107" s="371"/>
      <c r="E107" s="371"/>
      <c r="F107" s="371"/>
      <c r="G107" s="371"/>
      <c r="H107" s="371"/>
      <c r="I107" s="370"/>
      <c r="J107" s="370"/>
      <c r="K107" s="370">
        <f>SUM(K108:K136)</f>
        <v>178</v>
      </c>
      <c r="L107" s="370">
        <f t="shared" ref="L107:O107" si="23">SUM(L108:L136)</f>
        <v>228</v>
      </c>
      <c r="M107" s="370">
        <f t="shared" si="23"/>
        <v>207</v>
      </c>
      <c r="N107" s="424">
        <f>SUM(N108:N137)</f>
        <v>265</v>
      </c>
      <c r="O107" s="370">
        <f t="shared" si="23"/>
        <v>0</v>
      </c>
      <c r="P107" s="370"/>
      <c r="Q107" s="370"/>
      <c r="R107" s="371"/>
      <c r="S107" s="371"/>
      <c r="T107" s="371"/>
      <c r="U107" s="371"/>
      <c r="V107" s="371"/>
      <c r="W107" s="371"/>
      <c r="X107" s="371"/>
      <c r="Y107" s="371"/>
      <c r="Z107" s="371"/>
      <c r="AA107" s="371"/>
      <c r="AB107" s="371"/>
      <c r="AC107" s="371"/>
      <c r="AD107" s="370"/>
      <c r="AE107" s="370"/>
      <c r="AF107" s="370"/>
      <c r="AG107" s="370"/>
      <c r="AH107" s="370"/>
      <c r="AI107" s="370"/>
      <c r="AJ107" s="370"/>
      <c r="AK107" s="370"/>
      <c r="AL107" s="370"/>
      <c r="AM107" s="370"/>
      <c r="AN107" s="424">
        <f t="shared" ref="AN107:AS107" si="24">SUM(AN108:AN137)</f>
        <v>70</v>
      </c>
      <c r="AO107" s="424">
        <f t="shared" si="24"/>
        <v>62</v>
      </c>
      <c r="AP107" s="424">
        <f t="shared" si="24"/>
        <v>133</v>
      </c>
      <c r="AQ107" s="424">
        <f t="shared" si="24"/>
        <v>0</v>
      </c>
      <c r="AR107" s="424">
        <f t="shared" si="24"/>
        <v>0</v>
      </c>
      <c r="AS107" s="424">
        <f t="shared" si="24"/>
        <v>0</v>
      </c>
      <c r="AT107" s="371"/>
      <c r="AU107" s="371"/>
      <c r="AV107" s="385"/>
      <c r="AW107" s="370">
        <f t="shared" ref="AW107:AZ107" si="25">SUM(AW108:AW136)</f>
        <v>283</v>
      </c>
      <c r="AX107" s="370">
        <f t="shared" si="25"/>
        <v>86</v>
      </c>
      <c r="AY107" s="370">
        <f t="shared" si="25"/>
        <v>106</v>
      </c>
      <c r="AZ107" s="370">
        <f t="shared" si="25"/>
        <v>228</v>
      </c>
      <c r="BA107" s="424">
        <f t="shared" ref="BA107:BE107" si="26">SUM(BA108:BA137)</f>
        <v>133</v>
      </c>
      <c r="BB107" s="424">
        <f t="shared" si="26"/>
        <v>38</v>
      </c>
      <c r="BC107" s="424">
        <f t="shared" si="26"/>
        <v>68</v>
      </c>
      <c r="BD107" s="424">
        <f t="shared" si="26"/>
        <v>429</v>
      </c>
      <c r="BE107" s="424">
        <f t="shared" si="26"/>
        <v>2</v>
      </c>
      <c r="BF107" s="371"/>
      <c r="BG107" s="371">
        <v>2019</v>
      </c>
      <c r="BH107" s="371">
        <v>2020</v>
      </c>
      <c r="BI107" s="434" t="s">
        <v>2419</v>
      </c>
      <c r="XAC107" s="371"/>
      <c r="XAD107" s="371"/>
      <c r="XAE107" s="371"/>
      <c r="XAF107" s="371"/>
      <c r="XAG107" s="371"/>
      <c r="XAH107" s="370"/>
      <c r="XAI107" s="370"/>
      <c r="XAJ107" s="370"/>
      <c r="XAK107" s="370"/>
      <c r="XAL107" s="370"/>
      <c r="XAM107" s="370"/>
      <c r="XAN107" s="370"/>
      <c r="XAO107" s="370"/>
      <c r="XAP107" s="370"/>
      <c r="XAQ107" s="370"/>
      <c r="XBF107" s="371"/>
      <c r="XBG107" s="371"/>
      <c r="XBH107" s="371"/>
      <c r="XBI107" s="371"/>
      <c r="XBJ107" s="371"/>
      <c r="XBK107" s="370"/>
      <c r="XBL107" s="370"/>
      <c r="XBM107" s="370"/>
      <c r="XBN107" s="370"/>
      <c r="XBO107" s="370"/>
      <c r="XBP107" s="370"/>
      <c r="XBQ107" s="371"/>
      <c r="XBR107" s="371"/>
      <c r="XBS107" s="371"/>
      <c r="XBT107" s="371"/>
    </row>
    <row r="108" spans="1:61 16253:16296" s="204" customFormat="1" ht="15" customHeight="1">
      <c r="A108" s="131" t="s">
        <v>502</v>
      </c>
      <c r="B108" s="122" t="s">
        <v>49</v>
      </c>
      <c r="C108" s="122" t="s">
        <v>47</v>
      </c>
      <c r="D108" s="122" t="s">
        <v>48</v>
      </c>
      <c r="E108" s="122"/>
      <c r="F108" s="122"/>
      <c r="G108" s="122"/>
      <c r="H108" s="122"/>
      <c r="I108" s="122"/>
      <c r="J108" s="212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  <c r="Y108" s="158"/>
      <c r="Z108" s="94"/>
      <c r="AA108" s="158"/>
      <c r="AB108" s="158"/>
      <c r="AC108" s="158"/>
      <c r="AD108" s="158"/>
      <c r="AE108" s="158"/>
      <c r="AF108" s="158"/>
      <c r="AG108" s="158"/>
      <c r="AH108" s="158"/>
      <c r="AI108" s="158"/>
      <c r="AJ108" s="158"/>
      <c r="AK108" s="158">
        <f t="shared" ref="AK108:AK131" si="27">AF108+AH108</f>
        <v>0</v>
      </c>
      <c r="AL108" s="158"/>
      <c r="AM108" s="94"/>
      <c r="AN108" s="158"/>
      <c r="AO108" s="158"/>
      <c r="AP108" s="158"/>
      <c r="AQ108" s="158"/>
      <c r="AR108" s="158"/>
      <c r="AS108" s="158"/>
      <c r="AT108" s="2"/>
      <c r="AU108" s="58"/>
      <c r="AV108" s="102"/>
      <c r="AW108" s="158">
        <v>39</v>
      </c>
      <c r="AX108" s="158"/>
      <c r="AY108" s="158"/>
      <c r="AZ108" s="158"/>
      <c r="BA108" s="158"/>
      <c r="BB108" s="158"/>
      <c r="BC108" s="69"/>
      <c r="BD108" s="69"/>
      <c r="BE108" s="69"/>
      <c r="BF108" s="271">
        <v>2016</v>
      </c>
      <c r="BG108" s="271"/>
      <c r="BH108" s="271"/>
      <c r="BI108" s="271" t="s">
        <v>2376</v>
      </c>
    </row>
    <row r="109" spans="1:61 16253:16296" s="204" customFormat="1" ht="15" customHeight="1">
      <c r="A109" s="131" t="s">
        <v>502</v>
      </c>
      <c r="B109" s="58" t="s">
        <v>55</v>
      </c>
      <c r="C109" s="58" t="s">
        <v>53</v>
      </c>
      <c r="D109" s="58" t="s">
        <v>54</v>
      </c>
      <c r="E109" s="58"/>
      <c r="F109" s="58"/>
      <c r="G109" s="58"/>
      <c r="H109" s="58"/>
      <c r="I109" s="58"/>
      <c r="J109" s="212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  <c r="Y109" s="158"/>
      <c r="Z109" s="94"/>
      <c r="AA109" s="158"/>
      <c r="AB109" s="158"/>
      <c r="AC109" s="158"/>
      <c r="AD109" s="158"/>
      <c r="AE109" s="158"/>
      <c r="AF109" s="158"/>
      <c r="AG109" s="158"/>
      <c r="AH109" s="158"/>
      <c r="AI109" s="158"/>
      <c r="AJ109" s="158"/>
      <c r="AK109" s="158">
        <f t="shared" si="27"/>
        <v>0</v>
      </c>
      <c r="AL109" s="158"/>
      <c r="AM109" s="94"/>
      <c r="AN109" s="158"/>
      <c r="AO109" s="158"/>
      <c r="AP109" s="158"/>
      <c r="AQ109" s="158"/>
      <c r="AR109" s="158"/>
      <c r="AS109" s="158"/>
      <c r="AT109" s="2"/>
      <c r="AU109" s="58"/>
      <c r="AV109" s="104"/>
      <c r="AW109" s="158">
        <v>102</v>
      </c>
      <c r="AX109" s="158"/>
      <c r="AY109" s="158"/>
      <c r="AZ109" s="158"/>
      <c r="BA109" s="158"/>
      <c r="BB109" s="158"/>
      <c r="BC109" s="69"/>
      <c r="BD109" s="69"/>
      <c r="BE109" s="69"/>
      <c r="BF109" s="271">
        <v>2016</v>
      </c>
      <c r="BG109" s="271"/>
      <c r="BH109" s="271"/>
      <c r="BI109" s="271" t="s">
        <v>2376</v>
      </c>
    </row>
    <row r="110" spans="1:61 16253:16296" s="204" customFormat="1" ht="15" customHeight="1">
      <c r="A110" s="131" t="s">
        <v>502</v>
      </c>
      <c r="B110" s="58" t="s">
        <v>50</v>
      </c>
      <c r="C110" s="58" t="s">
        <v>56</v>
      </c>
      <c r="D110" s="58" t="s">
        <v>57</v>
      </c>
      <c r="E110" s="58"/>
      <c r="F110" s="58"/>
      <c r="G110" s="58"/>
      <c r="H110" s="58"/>
      <c r="I110" s="58"/>
      <c r="J110" s="212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  <c r="Y110" s="158"/>
      <c r="Z110" s="94"/>
      <c r="AA110" s="158"/>
      <c r="AB110" s="158"/>
      <c r="AC110" s="158"/>
      <c r="AD110" s="158"/>
      <c r="AE110" s="158"/>
      <c r="AF110" s="158"/>
      <c r="AG110" s="158"/>
      <c r="AH110" s="158"/>
      <c r="AI110" s="158"/>
      <c r="AJ110" s="158"/>
      <c r="AK110" s="158">
        <f t="shared" si="27"/>
        <v>0</v>
      </c>
      <c r="AL110" s="158"/>
      <c r="AM110" s="94"/>
      <c r="AN110" s="158"/>
      <c r="AO110" s="158"/>
      <c r="AP110" s="158"/>
      <c r="AQ110" s="158"/>
      <c r="AR110" s="158"/>
      <c r="AS110" s="158"/>
      <c r="AT110" s="2"/>
      <c r="AU110" s="58"/>
      <c r="AV110" s="104"/>
      <c r="AW110" s="158">
        <v>33</v>
      </c>
      <c r="AX110" s="158"/>
      <c r="AY110" s="158"/>
      <c r="AZ110" s="158"/>
      <c r="BA110" s="158"/>
      <c r="BB110" s="158"/>
      <c r="BC110" s="69"/>
      <c r="BD110" s="69"/>
      <c r="BE110" s="69"/>
      <c r="BF110" s="271">
        <v>2016</v>
      </c>
      <c r="BG110" s="271"/>
      <c r="BH110" s="271"/>
      <c r="BI110" s="271" t="s">
        <v>2376</v>
      </c>
    </row>
    <row r="111" spans="1:61 16253:16296" s="204" customFormat="1" ht="15" customHeight="1">
      <c r="A111" s="131" t="s">
        <v>502</v>
      </c>
      <c r="B111" s="58" t="s">
        <v>51</v>
      </c>
      <c r="C111" s="58" t="s">
        <v>58</v>
      </c>
      <c r="D111" s="58" t="s">
        <v>54</v>
      </c>
      <c r="E111" s="58"/>
      <c r="F111" s="58"/>
      <c r="G111" s="58"/>
      <c r="H111" s="30" t="s">
        <v>653</v>
      </c>
      <c r="I111" s="30"/>
      <c r="J111" s="212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  <c r="Y111" s="158"/>
      <c r="Z111" s="94"/>
      <c r="AA111" s="158"/>
      <c r="AB111" s="158"/>
      <c r="AC111" s="158"/>
      <c r="AD111" s="158"/>
      <c r="AE111" s="158"/>
      <c r="AF111" s="158"/>
      <c r="AG111" s="158"/>
      <c r="AH111" s="158"/>
      <c r="AI111" s="158"/>
      <c r="AJ111" s="158"/>
      <c r="AK111" s="158">
        <f t="shared" si="27"/>
        <v>0</v>
      </c>
      <c r="AL111" s="158"/>
      <c r="AM111" s="94"/>
      <c r="AN111" s="158"/>
      <c r="AO111" s="158"/>
      <c r="AP111" s="158"/>
      <c r="AQ111" s="158"/>
      <c r="AR111" s="158"/>
      <c r="AS111" s="158"/>
      <c r="AT111" s="2">
        <v>1</v>
      </c>
      <c r="AU111" s="58" t="s">
        <v>646</v>
      </c>
      <c r="AV111" s="104"/>
      <c r="AW111" s="158" t="s">
        <v>0</v>
      </c>
      <c r="AX111" s="11">
        <v>49</v>
      </c>
      <c r="AY111" s="158"/>
      <c r="AZ111" s="158"/>
      <c r="BA111" s="158"/>
      <c r="BB111" s="158"/>
      <c r="BC111" s="69"/>
      <c r="BD111" s="69"/>
      <c r="BE111" s="69"/>
      <c r="BF111" s="271">
        <v>2017</v>
      </c>
      <c r="BG111" s="268"/>
      <c r="BH111" s="271"/>
      <c r="BI111" s="271" t="s">
        <v>2376</v>
      </c>
    </row>
    <row r="112" spans="1:61 16253:16296" s="204" customFormat="1" ht="15" customHeight="1">
      <c r="A112" s="131" t="s">
        <v>502</v>
      </c>
      <c r="B112" s="58" t="s">
        <v>51</v>
      </c>
      <c r="C112" s="122" t="s">
        <v>58</v>
      </c>
      <c r="D112" s="58" t="s">
        <v>54</v>
      </c>
      <c r="E112" s="58"/>
      <c r="F112" s="58"/>
      <c r="G112" s="58"/>
      <c r="H112" s="30" t="s">
        <v>653</v>
      </c>
      <c r="I112" s="30"/>
      <c r="J112" s="212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58"/>
      <c r="Z112" s="94"/>
      <c r="AA112" s="158"/>
      <c r="AB112" s="158"/>
      <c r="AC112" s="158"/>
      <c r="AD112" s="158"/>
      <c r="AE112" s="158"/>
      <c r="AF112" s="158"/>
      <c r="AG112" s="158"/>
      <c r="AH112" s="158"/>
      <c r="AI112" s="158"/>
      <c r="AJ112" s="158"/>
      <c r="AK112" s="158">
        <f t="shared" si="27"/>
        <v>0</v>
      </c>
      <c r="AL112" s="158"/>
      <c r="AM112" s="94"/>
      <c r="AN112" s="158"/>
      <c r="AO112" s="158"/>
      <c r="AP112" s="158"/>
      <c r="AQ112" s="158"/>
      <c r="AR112" s="158"/>
      <c r="AS112" s="158"/>
      <c r="AT112" s="2">
        <v>1</v>
      </c>
      <c r="AU112" s="58" t="s">
        <v>646</v>
      </c>
      <c r="AV112" s="7" t="s">
        <v>1061</v>
      </c>
      <c r="AW112" s="158" t="s">
        <v>0</v>
      </c>
      <c r="AX112" s="158"/>
      <c r="AY112" s="12">
        <v>38</v>
      </c>
      <c r="AZ112" s="158"/>
      <c r="BA112" s="158"/>
      <c r="BB112" s="158"/>
      <c r="BC112" s="69">
        <v>38</v>
      </c>
      <c r="BD112" s="69">
        <f>+AY112</f>
        <v>38</v>
      </c>
      <c r="BE112" s="69"/>
      <c r="BF112" s="271">
        <v>2018</v>
      </c>
      <c r="BG112" s="268"/>
      <c r="BH112" s="271"/>
      <c r="BI112" s="271" t="s">
        <v>2375</v>
      </c>
    </row>
    <row r="113" spans="1:61" s="204" customFormat="1" ht="29.25" customHeight="1">
      <c r="A113" s="131" t="s">
        <v>502</v>
      </c>
      <c r="B113" s="58" t="s">
        <v>51</v>
      </c>
      <c r="C113" s="29" t="s">
        <v>58</v>
      </c>
      <c r="D113" s="58" t="s">
        <v>54</v>
      </c>
      <c r="E113" s="58"/>
      <c r="F113" s="58"/>
      <c r="G113" s="58"/>
      <c r="H113" s="30" t="s">
        <v>653</v>
      </c>
      <c r="I113" s="30">
        <v>2948</v>
      </c>
      <c r="J113" s="212">
        <v>42364</v>
      </c>
      <c r="K113" s="158"/>
      <c r="L113" s="158"/>
      <c r="M113" s="158">
        <v>10</v>
      </c>
      <c r="N113" s="158">
        <v>10</v>
      </c>
      <c r="O113" s="158"/>
      <c r="P113" s="158">
        <v>536686620</v>
      </c>
      <c r="Q113" s="158"/>
      <c r="R113" s="158"/>
      <c r="S113" s="158"/>
      <c r="T113" s="158"/>
      <c r="U113" s="158"/>
      <c r="V113" s="158"/>
      <c r="W113" s="158"/>
      <c r="X113" s="158"/>
      <c r="Y113" s="158"/>
      <c r="Z113" s="94"/>
      <c r="AA113" s="158"/>
      <c r="AB113" s="158"/>
      <c r="AC113" s="158"/>
      <c r="AD113" s="158"/>
      <c r="AE113" s="158"/>
      <c r="AF113" s="94">
        <f>P113-U113-Z113-536686620</f>
        <v>0</v>
      </c>
      <c r="AG113" s="94"/>
      <c r="AH113" s="94">
        <v>536686620</v>
      </c>
      <c r="AI113" s="94">
        <v>536686620</v>
      </c>
      <c r="AJ113" s="94"/>
      <c r="AK113" s="602">
        <f>P113-R113-U113-Z113</f>
        <v>536686620</v>
      </c>
      <c r="AL113" s="175">
        <v>877</v>
      </c>
      <c r="AM113" s="175">
        <v>10</v>
      </c>
      <c r="AN113" s="158">
        <v>10</v>
      </c>
      <c r="AO113" s="158"/>
      <c r="AP113" s="158"/>
      <c r="AQ113" s="158"/>
      <c r="AR113" s="158"/>
      <c r="AS113" s="158"/>
      <c r="AT113" s="2">
        <v>0</v>
      </c>
      <c r="AU113" s="58" t="s">
        <v>521</v>
      </c>
      <c r="AV113" s="104"/>
      <c r="AW113" s="158" t="s">
        <v>0</v>
      </c>
      <c r="AX113" s="158"/>
      <c r="AY113" s="12"/>
      <c r="AZ113" s="158"/>
      <c r="BA113" s="158"/>
      <c r="BB113" s="158"/>
      <c r="BC113" s="69"/>
      <c r="BD113" s="69"/>
      <c r="BE113" s="69"/>
      <c r="BF113" s="271"/>
      <c r="BG113" s="271">
        <v>2019</v>
      </c>
      <c r="BH113" s="271">
        <v>2020</v>
      </c>
      <c r="BI113" s="271" t="s">
        <v>2375</v>
      </c>
    </row>
    <row r="114" spans="1:61" s="204" customFormat="1" ht="15" customHeight="1">
      <c r="A114" s="131" t="s">
        <v>502</v>
      </c>
      <c r="B114" s="58" t="s">
        <v>51</v>
      </c>
      <c r="C114" s="58" t="s">
        <v>654</v>
      </c>
      <c r="D114" s="58" t="s">
        <v>8</v>
      </c>
      <c r="E114" s="58"/>
      <c r="F114" s="58"/>
      <c r="G114" s="58"/>
      <c r="H114" s="30" t="s">
        <v>655</v>
      </c>
      <c r="I114" s="30"/>
      <c r="J114" s="212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8"/>
      <c r="Z114" s="94"/>
      <c r="AA114" s="158"/>
      <c r="AB114" s="158"/>
      <c r="AC114" s="158"/>
      <c r="AD114" s="158"/>
      <c r="AE114" s="158"/>
      <c r="AF114" s="158"/>
      <c r="AG114" s="158"/>
      <c r="AH114" s="158"/>
      <c r="AI114" s="158"/>
      <c r="AJ114" s="158"/>
      <c r="AK114" s="158">
        <f t="shared" si="27"/>
        <v>0</v>
      </c>
      <c r="AL114" s="158"/>
      <c r="AM114" s="94"/>
      <c r="AN114" s="158"/>
      <c r="AO114" s="158"/>
      <c r="AP114" s="158"/>
      <c r="AQ114" s="158"/>
      <c r="AR114" s="158"/>
      <c r="AS114" s="158"/>
      <c r="AT114" s="2">
        <v>1</v>
      </c>
      <c r="AU114" s="58" t="s">
        <v>646</v>
      </c>
      <c r="AV114" s="104" t="s">
        <v>1291</v>
      </c>
      <c r="AW114" s="158" t="s">
        <v>0</v>
      </c>
      <c r="AX114" s="158"/>
      <c r="AY114" s="12"/>
      <c r="AZ114" s="158"/>
      <c r="BA114" s="158"/>
      <c r="BB114" s="158"/>
      <c r="BC114" s="69"/>
      <c r="BD114" s="69"/>
      <c r="BE114" s="69"/>
      <c r="BF114" s="271">
        <v>2015</v>
      </c>
      <c r="BG114" s="268"/>
      <c r="BH114" s="271"/>
      <c r="BI114" s="271" t="s">
        <v>2376</v>
      </c>
    </row>
    <row r="115" spans="1:61" s="204" customFormat="1" ht="15" customHeight="1">
      <c r="A115" s="131" t="s">
        <v>502</v>
      </c>
      <c r="B115" s="58" t="s">
        <v>51</v>
      </c>
      <c r="C115" s="58" t="s">
        <v>59</v>
      </c>
      <c r="D115" s="58" t="s">
        <v>40</v>
      </c>
      <c r="E115" s="58"/>
      <c r="F115" s="58"/>
      <c r="G115" s="58"/>
      <c r="H115" s="58"/>
      <c r="I115" s="58"/>
      <c r="J115" s="212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  <c r="Y115" s="158"/>
      <c r="Z115" s="94"/>
      <c r="AA115" s="158"/>
      <c r="AB115" s="158"/>
      <c r="AC115" s="158"/>
      <c r="AD115" s="158"/>
      <c r="AE115" s="158"/>
      <c r="AF115" s="158"/>
      <c r="AG115" s="158"/>
      <c r="AH115" s="158"/>
      <c r="AI115" s="158"/>
      <c r="AJ115" s="158"/>
      <c r="AK115" s="158">
        <f t="shared" si="27"/>
        <v>0</v>
      </c>
      <c r="AL115" s="158"/>
      <c r="AM115" s="94"/>
      <c r="AN115" s="158"/>
      <c r="AO115" s="158"/>
      <c r="AP115" s="158"/>
      <c r="AQ115" s="158"/>
      <c r="AR115" s="158"/>
      <c r="AS115" s="158"/>
      <c r="AT115" s="2"/>
      <c r="AU115" s="58"/>
      <c r="AV115" s="105"/>
      <c r="AW115" s="158">
        <v>30</v>
      </c>
      <c r="AX115" s="158"/>
      <c r="AY115" s="12"/>
      <c r="AZ115" s="158"/>
      <c r="BA115" s="158"/>
      <c r="BB115" s="158"/>
      <c r="BC115" s="69"/>
      <c r="BD115" s="69"/>
      <c r="BE115" s="69"/>
      <c r="BF115" s="271">
        <v>2016</v>
      </c>
      <c r="BG115" s="271"/>
      <c r="BH115" s="271"/>
      <c r="BI115" s="271" t="s">
        <v>2376</v>
      </c>
    </row>
    <row r="116" spans="1:61" s="204" customFormat="1" ht="29.25" customHeight="1">
      <c r="A116" s="131" t="s">
        <v>502</v>
      </c>
      <c r="B116" s="1" t="s">
        <v>552</v>
      </c>
      <c r="C116" s="1" t="s">
        <v>1062</v>
      </c>
      <c r="D116" s="1" t="s">
        <v>46</v>
      </c>
      <c r="E116" s="1"/>
      <c r="F116" s="1"/>
      <c r="G116" s="1"/>
      <c r="H116" s="30" t="s">
        <v>647</v>
      </c>
      <c r="I116" s="115" t="s">
        <v>1834</v>
      </c>
      <c r="J116" s="215" t="s">
        <v>1835</v>
      </c>
      <c r="K116" s="158"/>
      <c r="L116" s="158"/>
      <c r="M116" s="158"/>
      <c r="N116" s="158"/>
      <c r="O116" s="158"/>
      <c r="P116" s="158">
        <f>2249088420-56227211-56227210</f>
        <v>2136633999</v>
      </c>
      <c r="Q116" s="158"/>
      <c r="R116" s="158"/>
      <c r="S116" s="158"/>
      <c r="T116" s="158"/>
      <c r="U116" s="158">
        <f>919103559-23566758</f>
        <v>895536801</v>
      </c>
      <c r="V116" s="158"/>
      <c r="W116" s="158"/>
      <c r="X116" s="158"/>
      <c r="Y116" s="158"/>
      <c r="Z116" s="158">
        <f>1273757651-32660453</f>
        <v>1241097198</v>
      </c>
      <c r="AA116" s="158"/>
      <c r="AB116" s="158"/>
      <c r="AC116" s="158"/>
      <c r="AD116" s="158"/>
      <c r="AE116" s="158"/>
      <c r="AF116" s="94">
        <f>P116-U116-Z116-AD116</f>
        <v>0</v>
      </c>
      <c r="AG116" s="94"/>
      <c r="AH116" s="158"/>
      <c r="AI116" s="158"/>
      <c r="AJ116" s="158"/>
      <c r="AK116" s="158">
        <f t="shared" si="27"/>
        <v>0</v>
      </c>
      <c r="AL116" s="158"/>
      <c r="AM116" s="94"/>
      <c r="AN116" s="158"/>
      <c r="AO116" s="158"/>
      <c r="AP116" s="158"/>
      <c r="AQ116" s="158"/>
      <c r="AR116" s="158"/>
      <c r="AS116" s="158"/>
      <c r="AT116" s="2">
        <v>1</v>
      </c>
      <c r="AU116" s="58" t="s">
        <v>646</v>
      </c>
      <c r="AV116" s="105" t="s">
        <v>1836</v>
      </c>
      <c r="AW116" s="158"/>
      <c r="AX116" s="158"/>
      <c r="AY116" s="72">
        <v>38</v>
      </c>
      <c r="AZ116" s="158"/>
      <c r="BA116" s="158"/>
      <c r="BB116" s="158">
        <v>38</v>
      </c>
      <c r="BC116" s="69"/>
      <c r="BD116" s="69"/>
      <c r="BE116" s="69"/>
      <c r="BF116" s="271">
        <v>2018</v>
      </c>
      <c r="BG116" s="268"/>
      <c r="BH116" s="271"/>
      <c r="BI116" s="271" t="s">
        <v>2376</v>
      </c>
    </row>
    <row r="117" spans="1:61" s="204" customFormat="1" ht="18" customHeight="1">
      <c r="A117" s="131" t="s">
        <v>502</v>
      </c>
      <c r="B117" s="1" t="s">
        <v>552</v>
      </c>
      <c r="C117" s="1" t="s">
        <v>1062</v>
      </c>
      <c r="D117" s="1" t="s">
        <v>46</v>
      </c>
      <c r="E117" s="1"/>
      <c r="F117" s="1"/>
      <c r="G117" s="1"/>
      <c r="H117" s="30" t="s">
        <v>647</v>
      </c>
      <c r="I117" s="115" t="s">
        <v>1834</v>
      </c>
      <c r="J117" s="215" t="s">
        <v>1835</v>
      </c>
      <c r="K117" s="158"/>
      <c r="L117" s="158"/>
      <c r="M117" s="158">
        <v>1</v>
      </c>
      <c r="N117" s="158"/>
      <c r="O117" s="158"/>
      <c r="P117" s="158">
        <v>56227211</v>
      </c>
      <c r="Q117" s="158"/>
      <c r="R117" s="158"/>
      <c r="S117" s="158"/>
      <c r="T117" s="158"/>
      <c r="U117" s="158">
        <v>23566758</v>
      </c>
      <c r="V117" s="158"/>
      <c r="W117" s="158"/>
      <c r="X117" s="158"/>
      <c r="Y117" s="158"/>
      <c r="Z117" s="158">
        <v>32660453</v>
      </c>
      <c r="AA117" s="158"/>
      <c r="AB117" s="158"/>
      <c r="AC117" s="158"/>
      <c r="AD117" s="158">
        <v>56227211</v>
      </c>
      <c r="AE117" s="158"/>
      <c r="AF117" s="94">
        <f>P117-U117-Z117-AD117+56227211</f>
        <v>0</v>
      </c>
      <c r="AG117" s="94"/>
      <c r="AH117" s="94">
        <v>0</v>
      </c>
      <c r="AI117" s="94">
        <v>0</v>
      </c>
      <c r="AJ117" s="94"/>
      <c r="AK117" s="158">
        <f t="shared" si="27"/>
        <v>0</v>
      </c>
      <c r="AL117" s="158"/>
      <c r="AM117" s="94"/>
      <c r="AN117" s="158"/>
      <c r="AO117" s="158"/>
      <c r="AP117" s="158"/>
      <c r="AQ117" s="158"/>
      <c r="AR117" s="158"/>
      <c r="AS117" s="158"/>
      <c r="AT117" s="2">
        <v>0</v>
      </c>
      <c r="AU117" s="58" t="s">
        <v>687</v>
      </c>
      <c r="AV117" s="386" t="s">
        <v>1837</v>
      </c>
      <c r="AW117" s="158"/>
      <c r="AX117" s="158"/>
      <c r="AY117" s="158"/>
      <c r="AZ117" s="158"/>
      <c r="BA117" s="158"/>
      <c r="BB117" s="158"/>
      <c r="BC117" s="69"/>
      <c r="BD117" s="69"/>
      <c r="BE117" s="69">
        <v>1</v>
      </c>
      <c r="BF117" s="271" t="s">
        <v>1706</v>
      </c>
      <c r="BG117" s="271">
        <v>2019</v>
      </c>
      <c r="BH117" s="271"/>
      <c r="BI117" s="271" t="s">
        <v>2375</v>
      </c>
    </row>
    <row r="118" spans="1:61" s="204" customFormat="1" ht="18" customHeight="1">
      <c r="A118" s="131" t="s">
        <v>502</v>
      </c>
      <c r="B118" s="1" t="s">
        <v>552</v>
      </c>
      <c r="C118" s="1" t="s">
        <v>1062</v>
      </c>
      <c r="D118" s="1" t="s">
        <v>46</v>
      </c>
      <c r="E118" s="1"/>
      <c r="F118" s="1"/>
      <c r="G118" s="1"/>
      <c r="H118" s="30" t="s">
        <v>647</v>
      </c>
      <c r="I118" s="30">
        <v>210</v>
      </c>
      <c r="J118" s="212">
        <v>41688</v>
      </c>
      <c r="K118" s="158"/>
      <c r="L118" s="158"/>
      <c r="M118" s="158">
        <v>1</v>
      </c>
      <c r="N118" s="158"/>
      <c r="O118" s="158"/>
      <c r="P118" s="158">
        <v>56227210</v>
      </c>
      <c r="Q118" s="158"/>
      <c r="R118" s="158"/>
      <c r="S118" s="158"/>
      <c r="T118" s="158"/>
      <c r="U118" s="158"/>
      <c r="V118" s="158"/>
      <c r="W118" s="158"/>
      <c r="X118" s="158"/>
      <c r="Y118" s="158"/>
      <c r="Z118" s="94"/>
      <c r="AA118" s="158"/>
      <c r="AB118" s="158"/>
      <c r="AC118" s="158"/>
      <c r="AD118" s="158">
        <v>56227210</v>
      </c>
      <c r="AE118" s="158"/>
      <c r="AF118" s="94">
        <f>P118-U118-Z118-AD118</f>
        <v>0</v>
      </c>
      <c r="AG118" s="94"/>
      <c r="AH118" s="94">
        <v>0</v>
      </c>
      <c r="AI118" s="94">
        <v>0</v>
      </c>
      <c r="AJ118" s="94"/>
      <c r="AK118" s="158">
        <f t="shared" si="27"/>
        <v>0</v>
      </c>
      <c r="AL118" s="94"/>
      <c r="AM118" s="94"/>
      <c r="AN118" s="158"/>
      <c r="AO118" s="158"/>
      <c r="AP118" s="158"/>
      <c r="AQ118" s="158"/>
      <c r="AR118" s="158"/>
      <c r="AS118" s="158"/>
      <c r="AT118" s="2">
        <v>0</v>
      </c>
      <c r="AU118" s="58" t="s">
        <v>687</v>
      </c>
      <c r="AV118" s="387" t="s">
        <v>1365</v>
      </c>
      <c r="AW118" s="158"/>
      <c r="AX118" s="158"/>
      <c r="AY118" s="158"/>
      <c r="AZ118" s="158"/>
      <c r="BA118" s="158"/>
      <c r="BB118" s="158"/>
      <c r="BC118" s="69"/>
      <c r="BD118" s="69"/>
      <c r="BE118" s="69">
        <v>1</v>
      </c>
      <c r="BF118" s="271" t="s">
        <v>1706</v>
      </c>
      <c r="BG118" s="271">
        <v>2019</v>
      </c>
      <c r="BH118" s="271"/>
      <c r="BI118" s="271" t="s">
        <v>2375</v>
      </c>
    </row>
    <row r="119" spans="1:61" s="204" customFormat="1" ht="15" customHeight="1">
      <c r="A119" s="131" t="s">
        <v>502</v>
      </c>
      <c r="B119" s="58" t="s">
        <v>52</v>
      </c>
      <c r="C119" s="58" t="s">
        <v>550</v>
      </c>
      <c r="D119" s="58" t="s">
        <v>46</v>
      </c>
      <c r="E119" s="58"/>
      <c r="F119" s="58"/>
      <c r="G119" s="58"/>
      <c r="H119" s="58"/>
      <c r="I119" s="58"/>
      <c r="J119" s="212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  <c r="Z119" s="94"/>
      <c r="AA119" s="158"/>
      <c r="AB119" s="158"/>
      <c r="AC119" s="158"/>
      <c r="AD119" s="158"/>
      <c r="AE119" s="158"/>
      <c r="AF119" s="158"/>
      <c r="AG119" s="158"/>
      <c r="AH119" s="158"/>
      <c r="AI119" s="158"/>
      <c r="AJ119" s="158"/>
      <c r="AK119" s="158">
        <f t="shared" si="27"/>
        <v>0</v>
      </c>
      <c r="AL119" s="158"/>
      <c r="AM119" s="94"/>
      <c r="AN119" s="158"/>
      <c r="AO119" s="158"/>
      <c r="AP119" s="158"/>
      <c r="AQ119" s="158"/>
      <c r="AR119" s="158"/>
      <c r="AS119" s="158"/>
      <c r="AT119" s="2"/>
      <c r="AU119" s="58"/>
      <c r="AV119" s="349"/>
      <c r="AW119" s="158">
        <v>39</v>
      </c>
      <c r="AX119" s="158"/>
      <c r="AY119" s="158"/>
      <c r="AZ119" s="158"/>
      <c r="BA119" s="158"/>
      <c r="BB119" s="158"/>
      <c r="BC119" s="69"/>
      <c r="BD119" s="69"/>
      <c r="BE119" s="69"/>
      <c r="BF119" s="271">
        <v>2016</v>
      </c>
      <c r="BG119" s="271"/>
      <c r="BH119" s="271"/>
      <c r="BI119" s="271" t="s">
        <v>2376</v>
      </c>
    </row>
    <row r="120" spans="1:61" s="204" customFormat="1" ht="15" customHeight="1">
      <c r="A120" s="131" t="s">
        <v>502</v>
      </c>
      <c r="B120" s="1" t="s">
        <v>51</v>
      </c>
      <c r="C120" s="1" t="s">
        <v>937</v>
      </c>
      <c r="D120" s="1" t="s">
        <v>54</v>
      </c>
      <c r="E120" s="1"/>
      <c r="F120" s="1"/>
      <c r="G120" s="1"/>
      <c r="H120" s="1"/>
      <c r="I120" s="1"/>
      <c r="J120" s="212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58"/>
      <c r="Z120" s="94"/>
      <c r="AA120" s="158"/>
      <c r="AB120" s="158"/>
      <c r="AC120" s="158"/>
      <c r="AD120" s="158"/>
      <c r="AE120" s="158"/>
      <c r="AF120" s="158"/>
      <c r="AG120" s="158"/>
      <c r="AH120" s="158"/>
      <c r="AI120" s="158"/>
      <c r="AJ120" s="158"/>
      <c r="AK120" s="158">
        <f t="shared" si="27"/>
        <v>0</v>
      </c>
      <c r="AL120" s="158"/>
      <c r="AM120" s="94"/>
      <c r="AN120" s="158"/>
      <c r="AO120" s="158"/>
      <c r="AP120" s="158"/>
      <c r="AQ120" s="158"/>
      <c r="AR120" s="158"/>
      <c r="AS120" s="158"/>
      <c r="AT120" s="2"/>
      <c r="AU120" s="58"/>
      <c r="AV120" s="349"/>
      <c r="AW120" s="158">
        <v>40</v>
      </c>
      <c r="AX120" s="158"/>
      <c r="AY120" s="158"/>
      <c r="AZ120" s="158"/>
      <c r="BA120" s="158"/>
      <c r="BB120" s="158"/>
      <c r="BC120" s="69"/>
      <c r="BD120" s="69"/>
      <c r="BE120" s="69"/>
      <c r="BF120" s="271">
        <v>2016</v>
      </c>
      <c r="BG120" s="271"/>
      <c r="BH120" s="271"/>
      <c r="BI120" s="271" t="s">
        <v>2376</v>
      </c>
    </row>
    <row r="121" spans="1:61" s="204" customFormat="1" ht="15" customHeight="1">
      <c r="A121" s="131" t="s">
        <v>502</v>
      </c>
      <c r="B121" s="58" t="s">
        <v>51</v>
      </c>
      <c r="C121" s="58" t="s">
        <v>60</v>
      </c>
      <c r="D121" s="58" t="s">
        <v>54</v>
      </c>
      <c r="E121" s="58"/>
      <c r="F121" s="58"/>
      <c r="G121" s="58"/>
      <c r="H121" s="30" t="s">
        <v>636</v>
      </c>
      <c r="I121" s="30"/>
      <c r="J121" s="212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94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>
        <f t="shared" si="27"/>
        <v>0</v>
      </c>
      <c r="AL121" s="158"/>
      <c r="AM121" s="94"/>
      <c r="AN121" s="158"/>
      <c r="AO121" s="158"/>
      <c r="AP121" s="158"/>
      <c r="AQ121" s="158"/>
      <c r="AR121" s="158"/>
      <c r="AS121" s="158"/>
      <c r="AT121" s="2">
        <v>1</v>
      </c>
      <c r="AU121" s="58" t="s">
        <v>646</v>
      </c>
      <c r="AV121" s="105"/>
      <c r="AW121" s="158"/>
      <c r="AX121" s="158">
        <v>20</v>
      </c>
      <c r="AY121" s="158"/>
      <c r="AZ121" s="158"/>
      <c r="BA121" s="158"/>
      <c r="BB121" s="158"/>
      <c r="BC121" s="69"/>
      <c r="BD121" s="69"/>
      <c r="BE121" s="69"/>
      <c r="BF121" s="271">
        <v>2017</v>
      </c>
      <c r="BG121" s="268"/>
      <c r="BH121" s="271"/>
      <c r="BI121" s="271" t="s">
        <v>2376</v>
      </c>
    </row>
    <row r="122" spans="1:61" s="204" customFormat="1" ht="15" customHeight="1">
      <c r="A122" s="131" t="s">
        <v>502</v>
      </c>
      <c r="B122" s="58" t="s">
        <v>732</v>
      </c>
      <c r="C122" s="58" t="s">
        <v>920</v>
      </c>
      <c r="D122" s="58" t="s">
        <v>61</v>
      </c>
      <c r="E122" s="58"/>
      <c r="F122" s="58"/>
      <c r="G122" s="58"/>
      <c r="H122" s="30" t="s">
        <v>650</v>
      </c>
      <c r="I122" s="30"/>
      <c r="J122" s="212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94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>
        <f t="shared" si="27"/>
        <v>0</v>
      </c>
      <c r="AL122" s="158"/>
      <c r="AM122" s="94"/>
      <c r="AN122" s="158"/>
      <c r="AO122" s="158"/>
      <c r="AP122" s="158"/>
      <c r="AQ122" s="158"/>
      <c r="AR122" s="158"/>
      <c r="AS122" s="158"/>
      <c r="AT122" s="2">
        <v>1</v>
      </c>
      <c r="AU122" s="58" t="s">
        <v>646</v>
      </c>
      <c r="AV122" s="105"/>
      <c r="AW122" s="158"/>
      <c r="AX122" s="158">
        <v>17</v>
      </c>
      <c r="AY122" s="158"/>
      <c r="AZ122" s="158"/>
      <c r="BA122" s="158"/>
      <c r="BB122" s="158"/>
      <c r="BC122" s="69"/>
      <c r="BD122" s="69"/>
      <c r="BE122" s="69"/>
      <c r="BF122" s="271">
        <v>2017</v>
      </c>
      <c r="BG122" s="268"/>
      <c r="BH122" s="271"/>
      <c r="BI122" s="271" t="s">
        <v>2376</v>
      </c>
    </row>
    <row r="123" spans="1:61" s="204" customFormat="1" ht="18" customHeight="1">
      <c r="A123" s="131" t="s">
        <v>502</v>
      </c>
      <c r="B123" s="58" t="s">
        <v>52</v>
      </c>
      <c r="C123" s="1" t="s">
        <v>733</v>
      </c>
      <c r="D123" s="58" t="s">
        <v>734</v>
      </c>
      <c r="E123" s="58"/>
      <c r="F123" s="58"/>
      <c r="G123" s="58"/>
      <c r="H123" s="30" t="s">
        <v>713</v>
      </c>
      <c r="I123" s="30">
        <v>1793</v>
      </c>
      <c r="J123" s="212">
        <v>42971</v>
      </c>
      <c r="K123" s="158"/>
      <c r="L123" s="158">
        <v>24</v>
      </c>
      <c r="M123" s="158"/>
      <c r="N123" s="158"/>
      <c r="O123" s="158"/>
      <c r="P123" s="158">
        <v>1452740905</v>
      </c>
      <c r="Q123" s="158"/>
      <c r="R123" s="158"/>
      <c r="S123" s="158"/>
      <c r="T123" s="158"/>
      <c r="U123" s="158">
        <v>551138845</v>
      </c>
      <c r="V123" s="158"/>
      <c r="W123" s="158"/>
      <c r="X123" s="158"/>
      <c r="Y123" s="158"/>
      <c r="Z123" s="94">
        <v>901602060</v>
      </c>
      <c r="AA123" s="158">
        <v>10</v>
      </c>
      <c r="AB123" s="158"/>
      <c r="AC123" s="158"/>
      <c r="AD123" s="158"/>
      <c r="AE123" s="158"/>
      <c r="AF123" s="94">
        <f>P123-U123-Z123</f>
        <v>0</v>
      </c>
      <c r="AG123" s="94"/>
      <c r="AH123" s="94">
        <v>0</v>
      </c>
      <c r="AI123" s="94">
        <v>0</v>
      </c>
      <c r="AJ123" s="94"/>
      <c r="AK123" s="158">
        <f t="shared" si="27"/>
        <v>0</v>
      </c>
      <c r="AL123" s="94">
        <v>877</v>
      </c>
      <c r="AM123" s="94">
        <v>10</v>
      </c>
      <c r="AN123" s="158"/>
      <c r="AO123" s="158"/>
      <c r="AP123" s="158"/>
      <c r="AQ123" s="158"/>
      <c r="AR123" s="158"/>
      <c r="AS123" s="158"/>
      <c r="AT123" s="2">
        <v>1</v>
      </c>
      <c r="AU123" s="58" t="s">
        <v>646</v>
      </c>
      <c r="AV123" s="388" t="s">
        <v>1710</v>
      </c>
      <c r="AW123" s="158"/>
      <c r="AX123" s="158"/>
      <c r="AY123" s="158"/>
      <c r="AZ123" s="158">
        <v>24</v>
      </c>
      <c r="BA123" s="158"/>
      <c r="BB123" s="158"/>
      <c r="BC123" s="69"/>
      <c r="BD123" s="69">
        <v>24</v>
      </c>
      <c r="BE123" s="69"/>
      <c r="BF123" s="271">
        <v>2019</v>
      </c>
      <c r="BG123" s="271">
        <v>2019</v>
      </c>
      <c r="BH123" s="271"/>
      <c r="BI123" s="271" t="s">
        <v>2375</v>
      </c>
    </row>
    <row r="124" spans="1:61" s="204" customFormat="1" ht="15" customHeight="1">
      <c r="A124" s="131" t="s">
        <v>502</v>
      </c>
      <c r="B124" s="58" t="s">
        <v>736</v>
      </c>
      <c r="C124" s="1" t="s">
        <v>1063</v>
      </c>
      <c r="D124" s="58" t="s">
        <v>735</v>
      </c>
      <c r="E124" s="58"/>
      <c r="F124" s="58"/>
      <c r="G124" s="58"/>
      <c r="H124" s="30" t="s">
        <v>715</v>
      </c>
      <c r="I124" s="30">
        <v>2611</v>
      </c>
      <c r="J124" s="212">
        <v>43054</v>
      </c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94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>
        <f t="shared" si="27"/>
        <v>0</v>
      </c>
      <c r="AL124" s="158"/>
      <c r="AM124" s="94"/>
      <c r="AN124" s="158"/>
      <c r="AO124" s="158"/>
      <c r="AP124" s="158"/>
      <c r="AQ124" s="158"/>
      <c r="AR124" s="158"/>
      <c r="AS124" s="158"/>
      <c r="AT124" s="2">
        <v>1</v>
      </c>
      <c r="AU124" s="58" t="s">
        <v>646</v>
      </c>
      <c r="AV124" s="105"/>
      <c r="AW124" s="158"/>
      <c r="AX124" s="158"/>
      <c r="AY124" s="12">
        <v>25</v>
      </c>
      <c r="AZ124" s="158"/>
      <c r="BA124" s="158"/>
      <c r="BB124" s="158"/>
      <c r="BC124" s="69">
        <v>25</v>
      </c>
      <c r="BD124" s="69">
        <f>+AY124</f>
        <v>25</v>
      </c>
      <c r="BE124" s="69"/>
      <c r="BF124" s="271">
        <v>2018</v>
      </c>
      <c r="BG124" s="268"/>
      <c r="BH124" s="271"/>
      <c r="BI124" s="271" t="s">
        <v>2375</v>
      </c>
    </row>
    <row r="125" spans="1:61" s="204" customFormat="1" ht="18" customHeight="1">
      <c r="A125" s="131" t="s">
        <v>502</v>
      </c>
      <c r="B125" s="251" t="s">
        <v>1552</v>
      </c>
      <c r="C125" s="1" t="s">
        <v>1063</v>
      </c>
      <c r="D125" s="58" t="s">
        <v>735</v>
      </c>
      <c r="E125" s="58"/>
      <c r="F125" s="58"/>
      <c r="G125" s="58"/>
      <c r="H125" s="30" t="s">
        <v>715</v>
      </c>
      <c r="I125" s="30">
        <v>2611</v>
      </c>
      <c r="J125" s="212">
        <v>43054</v>
      </c>
      <c r="K125" s="158"/>
      <c r="L125" s="158">
        <v>2</v>
      </c>
      <c r="M125" s="158"/>
      <c r="N125" s="158"/>
      <c r="O125" s="158"/>
      <c r="P125" s="158">
        <v>149425500</v>
      </c>
      <c r="Q125" s="158"/>
      <c r="R125" s="158"/>
      <c r="S125" s="158"/>
      <c r="T125" s="158"/>
      <c r="U125" s="158">
        <v>67221216</v>
      </c>
      <c r="V125" s="158">
        <v>10</v>
      </c>
      <c r="W125" s="311">
        <v>43344</v>
      </c>
      <c r="X125" s="218"/>
      <c r="Y125" s="218"/>
      <c r="Z125" s="94">
        <v>82204284</v>
      </c>
      <c r="AA125" s="158">
        <v>10</v>
      </c>
      <c r="AB125" s="311">
        <v>43497</v>
      </c>
      <c r="AC125" s="311"/>
      <c r="AD125" s="158"/>
      <c r="AE125" s="158"/>
      <c r="AF125" s="94">
        <f>P125-U125-Z125</f>
        <v>0</v>
      </c>
      <c r="AG125" s="94"/>
      <c r="AH125" s="94">
        <v>0</v>
      </c>
      <c r="AI125" s="94">
        <v>0</v>
      </c>
      <c r="AJ125" s="94"/>
      <c r="AK125" s="158">
        <f t="shared" si="27"/>
        <v>0</v>
      </c>
      <c r="AL125" s="233">
        <v>877</v>
      </c>
      <c r="AM125" s="94">
        <v>10</v>
      </c>
      <c r="AN125" s="158"/>
      <c r="AO125" s="158"/>
      <c r="AP125" s="158"/>
      <c r="AQ125" s="158"/>
      <c r="AR125" s="158"/>
      <c r="AS125" s="158"/>
      <c r="AT125" s="2">
        <v>1</v>
      </c>
      <c r="AU125" s="58" t="s">
        <v>646</v>
      </c>
      <c r="AV125" s="386"/>
      <c r="AW125" s="158"/>
      <c r="AX125" s="158"/>
      <c r="AY125" s="12"/>
      <c r="AZ125" s="158">
        <v>2</v>
      </c>
      <c r="BA125" s="158"/>
      <c r="BB125" s="158"/>
      <c r="BC125" s="69"/>
      <c r="BD125" s="69">
        <f>+AZ125</f>
        <v>2</v>
      </c>
      <c r="BE125" s="69"/>
      <c r="BF125" s="271">
        <v>2019</v>
      </c>
      <c r="BG125" s="271">
        <v>2019</v>
      </c>
      <c r="BH125" s="271"/>
      <c r="BI125" s="271" t="s">
        <v>2375</v>
      </c>
    </row>
    <row r="126" spans="1:61" s="204" customFormat="1" ht="18" customHeight="1">
      <c r="A126" s="131" t="s">
        <v>502</v>
      </c>
      <c r="B126" s="58" t="s">
        <v>552</v>
      </c>
      <c r="C126" s="1" t="s">
        <v>932</v>
      </c>
      <c r="D126" s="58" t="s">
        <v>919</v>
      </c>
      <c r="E126" s="58"/>
      <c r="F126" s="58"/>
      <c r="G126" s="58"/>
      <c r="H126" s="30" t="s">
        <v>720</v>
      </c>
      <c r="I126" s="30">
        <v>3033</v>
      </c>
      <c r="J126" s="212">
        <v>43091</v>
      </c>
      <c r="K126" s="158"/>
      <c r="L126" s="158">
        <v>24</v>
      </c>
      <c r="M126" s="158"/>
      <c r="N126" s="158"/>
      <c r="O126" s="158"/>
      <c r="P126" s="158">
        <v>1526340524</v>
      </c>
      <c r="Q126" s="158"/>
      <c r="R126" s="158"/>
      <c r="S126" s="158"/>
      <c r="T126" s="158"/>
      <c r="U126" s="158">
        <f>642588484</f>
        <v>642588484</v>
      </c>
      <c r="V126" s="158"/>
      <c r="W126" s="158"/>
      <c r="X126" s="158"/>
      <c r="Y126" s="158"/>
      <c r="Z126" s="94">
        <v>883752040</v>
      </c>
      <c r="AA126" s="158">
        <v>10</v>
      </c>
      <c r="AB126" s="311">
        <v>43313</v>
      </c>
      <c r="AC126" s="158"/>
      <c r="AD126" s="158"/>
      <c r="AE126" s="158"/>
      <c r="AF126" s="94">
        <f>P126-U126-Z126</f>
        <v>0</v>
      </c>
      <c r="AG126" s="94"/>
      <c r="AH126" s="94">
        <v>0</v>
      </c>
      <c r="AI126" s="94">
        <v>0</v>
      </c>
      <c r="AJ126" s="94"/>
      <c r="AK126" s="158">
        <f t="shared" si="27"/>
        <v>0</v>
      </c>
      <c r="AL126" s="233">
        <v>877</v>
      </c>
      <c r="AM126" s="94">
        <v>10</v>
      </c>
      <c r="AN126" s="158"/>
      <c r="AO126" s="158"/>
      <c r="AP126" s="158"/>
      <c r="AQ126" s="158"/>
      <c r="AR126" s="158"/>
      <c r="AS126" s="158"/>
      <c r="AT126" s="2">
        <v>1</v>
      </c>
      <c r="AU126" s="58" t="s">
        <v>646</v>
      </c>
      <c r="AV126" s="386"/>
      <c r="AW126" s="158"/>
      <c r="AX126" s="158"/>
      <c r="AY126" s="12"/>
      <c r="AZ126" s="158">
        <v>24</v>
      </c>
      <c r="BA126" s="158"/>
      <c r="BB126" s="158"/>
      <c r="BC126" s="69"/>
      <c r="BD126" s="69">
        <v>24</v>
      </c>
      <c r="BE126" s="69"/>
      <c r="BF126" s="271">
        <v>2019</v>
      </c>
      <c r="BG126" s="271">
        <v>2019</v>
      </c>
      <c r="BH126" s="271"/>
      <c r="BI126" s="271" t="s">
        <v>2375</v>
      </c>
    </row>
    <row r="127" spans="1:61" s="204" customFormat="1" ht="15" customHeight="1">
      <c r="A127" s="131" t="s">
        <v>502</v>
      </c>
      <c r="B127" s="58" t="s">
        <v>732</v>
      </c>
      <c r="C127" s="1" t="s">
        <v>737</v>
      </c>
      <c r="D127" s="58" t="s">
        <v>61</v>
      </c>
      <c r="E127" s="58"/>
      <c r="F127" s="58"/>
      <c r="G127" s="58"/>
      <c r="H127" s="30" t="s">
        <v>720</v>
      </c>
      <c r="I127" s="30"/>
      <c r="J127" s="212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94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>
        <f t="shared" si="27"/>
        <v>0</v>
      </c>
      <c r="AL127" s="158"/>
      <c r="AM127" s="94"/>
      <c r="AN127" s="158"/>
      <c r="AO127" s="158"/>
      <c r="AP127" s="158"/>
      <c r="AQ127" s="158"/>
      <c r="AR127" s="158"/>
      <c r="AS127" s="158"/>
      <c r="AT127" s="2">
        <v>1</v>
      </c>
      <c r="AU127" s="58" t="s">
        <v>646</v>
      </c>
      <c r="AV127" s="105"/>
      <c r="AW127" s="158"/>
      <c r="AX127" s="158"/>
      <c r="AY127" s="12">
        <v>5</v>
      </c>
      <c r="AZ127" s="158"/>
      <c r="BA127" s="158"/>
      <c r="BB127" s="158"/>
      <c r="BC127" s="69">
        <v>5</v>
      </c>
      <c r="BD127" s="69">
        <f>+AY127</f>
        <v>5</v>
      </c>
      <c r="BE127" s="69"/>
      <c r="BF127" s="271">
        <v>2018</v>
      </c>
      <c r="BG127" s="268"/>
      <c r="BH127" s="271"/>
      <c r="BI127" s="271" t="s">
        <v>2375</v>
      </c>
    </row>
    <row r="128" spans="1:61" s="204" customFormat="1" ht="18" customHeight="1">
      <c r="A128" s="131" t="s">
        <v>502</v>
      </c>
      <c r="B128" s="58" t="s">
        <v>1984</v>
      </c>
      <c r="C128" s="1" t="s">
        <v>943</v>
      </c>
      <c r="D128" s="58" t="s">
        <v>54</v>
      </c>
      <c r="E128" s="58"/>
      <c r="F128" s="58"/>
      <c r="G128" s="58"/>
      <c r="H128" s="30" t="s">
        <v>968</v>
      </c>
      <c r="I128" s="30">
        <v>626</v>
      </c>
      <c r="J128" s="212">
        <v>43182</v>
      </c>
      <c r="K128" s="158">
        <v>44</v>
      </c>
      <c r="L128" s="158">
        <v>44</v>
      </c>
      <c r="M128" s="158"/>
      <c r="N128" s="158"/>
      <c r="O128" s="158"/>
      <c r="P128" s="158">
        <v>2960975313</v>
      </c>
      <c r="Q128" s="158"/>
      <c r="R128" s="158">
        <v>321200000</v>
      </c>
      <c r="S128" s="158">
        <v>10</v>
      </c>
      <c r="T128" s="158"/>
      <c r="U128" s="94">
        <v>1103085233</v>
      </c>
      <c r="V128" s="158">
        <v>10</v>
      </c>
      <c r="W128" s="311">
        <v>43435</v>
      </c>
      <c r="X128" s="158"/>
      <c r="Y128" s="158"/>
      <c r="Z128" s="94">
        <v>1536690080</v>
      </c>
      <c r="AA128" s="158">
        <v>10</v>
      </c>
      <c r="AB128" s="311">
        <v>43556</v>
      </c>
      <c r="AC128" s="311"/>
      <c r="AD128" s="158"/>
      <c r="AE128" s="158"/>
      <c r="AF128" s="94">
        <f>P128-R128-U128-Z128</f>
        <v>0</v>
      </c>
      <c r="AG128" s="94"/>
      <c r="AH128" s="94">
        <v>0</v>
      </c>
      <c r="AI128" s="94">
        <v>0</v>
      </c>
      <c r="AJ128" s="94"/>
      <c r="AK128" s="158">
        <f t="shared" si="27"/>
        <v>0</v>
      </c>
      <c r="AL128" s="233">
        <v>877</v>
      </c>
      <c r="AM128" s="94">
        <v>10</v>
      </c>
      <c r="AN128" s="158"/>
      <c r="AO128" s="158"/>
      <c r="AP128" s="158"/>
      <c r="AQ128" s="158"/>
      <c r="AR128" s="158"/>
      <c r="AS128" s="158"/>
      <c r="AT128" s="2">
        <v>1</v>
      </c>
      <c r="AU128" s="58" t="s">
        <v>646</v>
      </c>
      <c r="AV128" s="386"/>
      <c r="AW128" s="158"/>
      <c r="AX128" s="158"/>
      <c r="AY128" s="158"/>
      <c r="AZ128" s="158">
        <v>44</v>
      </c>
      <c r="BA128" s="158"/>
      <c r="BB128" s="158"/>
      <c r="BC128" s="69"/>
      <c r="BD128" s="69">
        <v>44</v>
      </c>
      <c r="BE128" s="69"/>
      <c r="BF128" s="271">
        <v>2019</v>
      </c>
      <c r="BG128" s="271">
        <v>2019</v>
      </c>
      <c r="BH128" s="271"/>
      <c r="BI128" s="271" t="s">
        <v>2375</v>
      </c>
    </row>
    <row r="129" spans="1:61 16224:16286" s="204" customFormat="1" ht="18" customHeight="1">
      <c r="A129" s="131" t="s">
        <v>502</v>
      </c>
      <c r="B129" s="58" t="s">
        <v>1017</v>
      </c>
      <c r="C129" s="58" t="s">
        <v>1016</v>
      </c>
      <c r="D129" s="58" t="s">
        <v>45</v>
      </c>
      <c r="E129" s="58"/>
      <c r="F129" s="58"/>
      <c r="G129" s="58"/>
      <c r="H129" s="30" t="s">
        <v>968</v>
      </c>
      <c r="I129" s="30">
        <v>1298</v>
      </c>
      <c r="J129" s="212">
        <v>43263</v>
      </c>
      <c r="K129" s="158">
        <v>87</v>
      </c>
      <c r="L129" s="158">
        <v>87</v>
      </c>
      <c r="M129" s="158"/>
      <c r="N129" s="158"/>
      <c r="O129" s="158"/>
      <c r="P129" s="158">
        <v>6264551500</v>
      </c>
      <c r="Q129" s="158"/>
      <c r="R129" s="158"/>
      <c r="S129" s="158"/>
      <c r="T129" s="158"/>
      <c r="U129" s="158">
        <v>2656695490</v>
      </c>
      <c r="V129" s="158">
        <v>20</v>
      </c>
      <c r="W129" s="218"/>
      <c r="X129" s="218"/>
      <c r="Y129" s="218"/>
      <c r="Z129" s="94">
        <v>3607856010</v>
      </c>
      <c r="AA129" s="158">
        <v>10</v>
      </c>
      <c r="AB129" s="311">
        <v>43497</v>
      </c>
      <c r="AC129" s="311"/>
      <c r="AD129" s="158"/>
      <c r="AE129" s="158"/>
      <c r="AF129" s="94">
        <f>P129-U129-Z129</f>
        <v>0</v>
      </c>
      <c r="AG129" s="94"/>
      <c r="AH129" s="94">
        <v>0</v>
      </c>
      <c r="AI129" s="94">
        <v>0</v>
      </c>
      <c r="AJ129" s="94"/>
      <c r="AK129" s="158">
        <f t="shared" si="27"/>
        <v>0</v>
      </c>
      <c r="AL129" s="233">
        <v>877</v>
      </c>
      <c r="AM129" s="94">
        <v>10</v>
      </c>
      <c r="AN129" s="158"/>
      <c r="AO129" s="158"/>
      <c r="AP129" s="158"/>
      <c r="AQ129" s="158"/>
      <c r="AR129" s="158"/>
      <c r="AS129" s="158"/>
      <c r="AT129" s="2">
        <v>1</v>
      </c>
      <c r="AU129" s="58" t="s">
        <v>646</v>
      </c>
      <c r="AV129" s="386" t="s">
        <v>1709</v>
      </c>
      <c r="AW129" s="158"/>
      <c r="AX129" s="158"/>
      <c r="AY129" s="158"/>
      <c r="AZ129" s="158">
        <v>87</v>
      </c>
      <c r="BA129" s="158"/>
      <c r="BB129" s="158"/>
      <c r="BC129" s="69"/>
      <c r="BD129" s="69">
        <v>87</v>
      </c>
      <c r="BE129" s="69"/>
      <c r="BF129" s="271">
        <v>2019</v>
      </c>
      <c r="BG129" s="271">
        <v>2019</v>
      </c>
      <c r="BH129" s="271"/>
      <c r="BI129" s="271" t="s">
        <v>2375</v>
      </c>
    </row>
    <row r="130" spans="1:61 16224:16286" s="204" customFormat="1" ht="18" customHeight="1">
      <c r="A130" s="235" t="s">
        <v>502</v>
      </c>
      <c r="B130" s="58" t="s">
        <v>1137</v>
      </c>
      <c r="C130" s="58" t="s">
        <v>1135</v>
      </c>
      <c r="D130" s="28" t="s">
        <v>566</v>
      </c>
      <c r="E130" s="28"/>
      <c r="F130" s="28"/>
      <c r="G130" s="28"/>
      <c r="H130" s="30" t="s">
        <v>1113</v>
      </c>
      <c r="I130" s="30">
        <v>731</v>
      </c>
      <c r="J130" s="212">
        <v>43453</v>
      </c>
      <c r="K130" s="158">
        <v>14</v>
      </c>
      <c r="L130" s="158">
        <v>14</v>
      </c>
      <c r="M130" s="158"/>
      <c r="N130" s="158"/>
      <c r="O130" s="158"/>
      <c r="P130" s="158">
        <v>912750655</v>
      </c>
      <c r="Q130" s="158"/>
      <c r="R130" s="158"/>
      <c r="S130" s="158"/>
      <c r="T130" s="158"/>
      <c r="U130" s="158">
        <v>473555172</v>
      </c>
      <c r="V130" s="158">
        <v>10</v>
      </c>
      <c r="W130" s="311">
        <v>43497</v>
      </c>
      <c r="X130" s="311"/>
      <c r="Y130" s="311"/>
      <c r="Z130" s="94">
        <v>439195483</v>
      </c>
      <c r="AA130" s="158">
        <v>10</v>
      </c>
      <c r="AB130" s="311">
        <v>43617</v>
      </c>
      <c r="AC130" s="311"/>
      <c r="AD130" s="158"/>
      <c r="AE130" s="158"/>
      <c r="AF130" s="94">
        <f>P130-U130-Z130</f>
        <v>0</v>
      </c>
      <c r="AG130" s="94"/>
      <c r="AH130" s="94">
        <v>0</v>
      </c>
      <c r="AI130" s="94">
        <v>0</v>
      </c>
      <c r="AJ130" s="94"/>
      <c r="AK130" s="158">
        <f t="shared" si="27"/>
        <v>0</v>
      </c>
      <c r="AL130" s="233">
        <v>877</v>
      </c>
      <c r="AM130" s="94">
        <v>10</v>
      </c>
      <c r="AN130" s="158"/>
      <c r="AO130" s="158"/>
      <c r="AP130" s="158"/>
      <c r="AQ130" s="158"/>
      <c r="AR130" s="158"/>
      <c r="AS130" s="158"/>
      <c r="AT130" s="2">
        <v>1</v>
      </c>
      <c r="AU130" s="58" t="s">
        <v>646</v>
      </c>
      <c r="AV130" s="386"/>
      <c r="AW130" s="158"/>
      <c r="AX130" s="158"/>
      <c r="AY130" s="158"/>
      <c r="AZ130" s="158">
        <v>14</v>
      </c>
      <c r="BA130" s="158"/>
      <c r="BB130" s="158"/>
      <c r="BC130" s="69"/>
      <c r="BD130" s="69">
        <v>14</v>
      </c>
      <c r="BE130" s="69"/>
      <c r="BF130" s="271">
        <v>2019</v>
      </c>
      <c r="BG130" s="271">
        <v>2019</v>
      </c>
      <c r="BH130" s="271"/>
      <c r="BI130" s="271" t="s">
        <v>2375</v>
      </c>
    </row>
    <row r="131" spans="1:61 16224:16286" s="204" customFormat="1" ht="18" customHeight="1">
      <c r="A131" s="131" t="s">
        <v>502</v>
      </c>
      <c r="B131" s="58" t="s">
        <v>1017</v>
      </c>
      <c r="C131" s="58" t="s">
        <v>1136</v>
      </c>
      <c r="D131" s="58" t="s">
        <v>1138</v>
      </c>
      <c r="E131" s="58"/>
      <c r="F131" s="58"/>
      <c r="G131" s="58"/>
      <c r="H131" s="30" t="s">
        <v>1113</v>
      </c>
      <c r="I131" s="78">
        <v>766</v>
      </c>
      <c r="J131" s="212">
        <v>43455</v>
      </c>
      <c r="K131" s="158">
        <v>33</v>
      </c>
      <c r="L131" s="158">
        <v>33</v>
      </c>
      <c r="M131" s="158"/>
      <c r="N131" s="158"/>
      <c r="O131" s="158"/>
      <c r="P131" s="158">
        <v>2538168306</v>
      </c>
      <c r="Q131" s="158"/>
      <c r="R131" s="158"/>
      <c r="S131" s="158"/>
      <c r="T131" s="158"/>
      <c r="U131" s="158">
        <v>1368281051</v>
      </c>
      <c r="V131" s="158">
        <v>10</v>
      </c>
      <c r="W131" s="311">
        <v>43497</v>
      </c>
      <c r="X131" s="311"/>
      <c r="Y131" s="311"/>
      <c r="Z131" s="94">
        <v>1169887255</v>
      </c>
      <c r="AA131" s="158">
        <v>10</v>
      </c>
      <c r="AB131" s="311">
        <v>43647</v>
      </c>
      <c r="AC131" s="577"/>
      <c r="AD131" s="69"/>
      <c r="AE131" s="69"/>
      <c r="AF131" s="94">
        <f>P131-U131-Z131</f>
        <v>0</v>
      </c>
      <c r="AG131" s="94"/>
      <c r="AH131" s="94">
        <v>0</v>
      </c>
      <c r="AI131" s="94">
        <v>0</v>
      </c>
      <c r="AJ131" s="94"/>
      <c r="AK131" s="158">
        <f t="shared" si="27"/>
        <v>0</v>
      </c>
      <c r="AL131" s="94">
        <v>877</v>
      </c>
      <c r="AM131" s="94">
        <v>10</v>
      </c>
      <c r="AN131" s="61"/>
      <c r="AO131" s="158"/>
      <c r="AP131" s="158"/>
      <c r="AQ131" s="158"/>
      <c r="AR131" s="158"/>
      <c r="AS131" s="158"/>
      <c r="AT131" s="2">
        <v>1</v>
      </c>
      <c r="AU131" s="58" t="s">
        <v>646</v>
      </c>
      <c r="AV131" s="386" t="s">
        <v>1839</v>
      </c>
      <c r="AW131" s="158"/>
      <c r="AX131" s="158"/>
      <c r="AY131" s="158"/>
      <c r="AZ131" s="158">
        <v>33</v>
      </c>
      <c r="BA131" s="158"/>
      <c r="BB131" s="158"/>
      <c r="BC131" s="69"/>
      <c r="BD131" s="69">
        <v>33</v>
      </c>
      <c r="BE131" s="69"/>
      <c r="BF131" s="271">
        <v>2019</v>
      </c>
      <c r="BG131" s="271">
        <v>2019</v>
      </c>
      <c r="BH131" s="271"/>
      <c r="BI131" s="271" t="s">
        <v>2375</v>
      </c>
    </row>
    <row r="132" spans="1:61 16224:16286" s="204" customFormat="1" ht="18" customHeight="1">
      <c r="A132" s="257" t="s">
        <v>502</v>
      </c>
      <c r="B132" s="251" t="s">
        <v>1017</v>
      </c>
      <c r="C132" s="251" t="s">
        <v>1240</v>
      </c>
      <c r="D132" s="251" t="s">
        <v>1320</v>
      </c>
      <c r="E132" s="251"/>
      <c r="F132" s="251"/>
      <c r="G132" s="251"/>
      <c r="H132" s="47" t="s">
        <v>1232</v>
      </c>
      <c r="I132" s="30">
        <v>483</v>
      </c>
      <c r="J132" s="212">
        <v>43538</v>
      </c>
      <c r="K132" s="158"/>
      <c r="L132" s="158"/>
      <c r="M132" s="158">
        <v>49</v>
      </c>
      <c r="N132" s="158">
        <v>49</v>
      </c>
      <c r="O132" s="158"/>
      <c r="P132" s="158">
        <v>3881035984</v>
      </c>
      <c r="Q132" s="158"/>
      <c r="R132" s="158"/>
      <c r="S132" s="158"/>
      <c r="T132" s="158"/>
      <c r="U132" s="158">
        <v>2090832553</v>
      </c>
      <c r="V132" s="158">
        <v>20</v>
      </c>
      <c r="W132" s="311">
        <v>43586</v>
      </c>
      <c r="X132" s="311"/>
      <c r="Y132" s="311"/>
      <c r="Z132" s="94">
        <v>1790203431</v>
      </c>
      <c r="AA132" s="158">
        <v>20</v>
      </c>
      <c r="AB132" s="311">
        <v>43709</v>
      </c>
      <c r="AC132" s="583"/>
      <c r="AD132" s="92"/>
      <c r="AE132" s="92"/>
      <c r="AF132" s="254">
        <f>P132-U132-Z132</f>
        <v>0</v>
      </c>
      <c r="AG132" s="252"/>
      <c r="AH132" s="233">
        <f>P132-U132-Z132</f>
        <v>0</v>
      </c>
      <c r="AI132" s="233">
        <v>0</v>
      </c>
      <c r="AJ132" s="233"/>
      <c r="AK132" s="158">
        <f t="shared" ref="AK132:AK137" si="28">P132-R132-U132-Z132</f>
        <v>0</v>
      </c>
      <c r="AL132" s="254">
        <v>877</v>
      </c>
      <c r="AM132" s="94">
        <v>20</v>
      </c>
      <c r="AN132" s="158"/>
      <c r="AO132" s="158"/>
      <c r="AP132" s="158">
        <v>49</v>
      </c>
      <c r="AQ132" s="158"/>
      <c r="AR132" s="158"/>
      <c r="AS132" s="158"/>
      <c r="AT132" s="2">
        <v>1</v>
      </c>
      <c r="AU132" s="58" t="s">
        <v>646</v>
      </c>
      <c r="AV132" s="386"/>
      <c r="AW132" s="158"/>
      <c r="AX132" s="158"/>
      <c r="AY132" s="158"/>
      <c r="AZ132" s="158"/>
      <c r="BA132" s="158">
        <v>49</v>
      </c>
      <c r="BB132" s="158"/>
      <c r="BC132" s="69"/>
      <c r="BD132" s="69">
        <v>49</v>
      </c>
      <c r="BE132" s="69"/>
      <c r="BF132" s="271">
        <v>2020</v>
      </c>
      <c r="BG132" s="271">
        <v>2019</v>
      </c>
      <c r="BH132" s="430">
        <v>2020</v>
      </c>
      <c r="BI132" s="271" t="s">
        <v>2375</v>
      </c>
    </row>
    <row r="133" spans="1:61 16224:16286" s="204" customFormat="1" ht="18" customHeight="1">
      <c r="A133" s="257" t="s">
        <v>502</v>
      </c>
      <c r="B133" s="251" t="s">
        <v>49</v>
      </c>
      <c r="C133" s="251" t="s">
        <v>1554</v>
      </c>
      <c r="D133" s="251" t="s">
        <v>1555</v>
      </c>
      <c r="E133" s="251"/>
      <c r="F133" s="251"/>
      <c r="G133" s="251"/>
      <c r="H133" s="47" t="s">
        <v>1553</v>
      </c>
      <c r="I133" s="78">
        <v>1662</v>
      </c>
      <c r="J133" s="212">
        <v>43731</v>
      </c>
      <c r="K133" s="158"/>
      <c r="L133" s="158"/>
      <c r="M133" s="158">
        <v>46</v>
      </c>
      <c r="N133" s="158">
        <v>46</v>
      </c>
      <c r="O133" s="158"/>
      <c r="P133" s="158">
        <v>3353947119</v>
      </c>
      <c r="Q133" s="158"/>
      <c r="R133" s="158"/>
      <c r="S133" s="158"/>
      <c r="T133" s="158"/>
      <c r="U133" s="158">
        <v>1836525971</v>
      </c>
      <c r="V133" s="158">
        <v>20</v>
      </c>
      <c r="W133" s="311">
        <v>43739</v>
      </c>
      <c r="X133" s="311"/>
      <c r="Y133" s="311"/>
      <c r="Z133" s="94">
        <v>1517421148</v>
      </c>
      <c r="AA133" s="158">
        <v>20</v>
      </c>
      <c r="AB133" s="329">
        <v>43888</v>
      </c>
      <c r="AC133" s="311"/>
      <c r="AD133" s="92"/>
      <c r="AE133" s="92"/>
      <c r="AF133" s="158">
        <f t="shared" ref="AF133:AF134" si="29">P133-U133</f>
        <v>1517421148</v>
      </c>
      <c r="AG133" s="233"/>
      <c r="AH133" s="233">
        <f>P133-U133-Z133</f>
        <v>0</v>
      </c>
      <c r="AI133" s="233">
        <v>1517421148</v>
      </c>
      <c r="AJ133" s="233"/>
      <c r="AK133" s="666">
        <f t="shared" si="28"/>
        <v>0</v>
      </c>
      <c r="AL133" s="664">
        <v>877</v>
      </c>
      <c r="AM133" s="664">
        <v>20</v>
      </c>
      <c r="AN133" s="158"/>
      <c r="AO133" s="158"/>
      <c r="AP133" s="158">
        <v>46</v>
      </c>
      <c r="AQ133" s="158"/>
      <c r="AR133" s="158"/>
      <c r="AS133" s="158"/>
      <c r="AT133" s="2">
        <v>1</v>
      </c>
      <c r="AU133" s="58" t="s">
        <v>646</v>
      </c>
      <c r="AV133" s="104" t="s">
        <v>1565</v>
      </c>
      <c r="AW133" s="158"/>
      <c r="AX133" s="158"/>
      <c r="AY133" s="158"/>
      <c r="AZ133" s="158"/>
      <c r="BA133" s="158">
        <v>46</v>
      </c>
      <c r="BB133" s="158"/>
      <c r="BC133" s="69"/>
      <c r="BD133" s="69">
        <v>46</v>
      </c>
      <c r="BE133" s="69"/>
      <c r="BF133" s="271">
        <v>2020</v>
      </c>
      <c r="BG133" s="271">
        <v>2019</v>
      </c>
      <c r="BH133" s="430">
        <v>2020</v>
      </c>
      <c r="BI133" s="271" t="s">
        <v>2375</v>
      </c>
    </row>
    <row r="134" spans="1:61 16224:16286" s="204" customFormat="1" ht="18" customHeight="1">
      <c r="A134" s="331" t="s">
        <v>502</v>
      </c>
      <c r="B134" s="246" t="s">
        <v>1552</v>
      </c>
      <c r="C134" s="246" t="s">
        <v>1551</v>
      </c>
      <c r="D134" s="246" t="s">
        <v>214</v>
      </c>
      <c r="E134" s="246"/>
      <c r="F134" s="246"/>
      <c r="G134" s="246"/>
      <c r="H134" s="46" t="s">
        <v>1553</v>
      </c>
      <c r="I134" s="332">
        <v>1646</v>
      </c>
      <c r="J134" s="212">
        <v>43728</v>
      </c>
      <c r="K134" s="5"/>
      <c r="L134" s="5"/>
      <c r="M134" s="158">
        <v>38</v>
      </c>
      <c r="N134" s="158">
        <v>38</v>
      </c>
      <c r="O134" s="5"/>
      <c r="P134" s="5">
        <v>2766086780</v>
      </c>
      <c r="Q134" s="5"/>
      <c r="R134" s="5"/>
      <c r="S134" s="5"/>
      <c r="T134" s="5"/>
      <c r="U134" s="5">
        <f>1509026534+7583048</f>
        <v>1516609582</v>
      </c>
      <c r="V134" s="5">
        <v>20</v>
      </c>
      <c r="W134" s="329">
        <v>43739</v>
      </c>
      <c r="X134" s="329"/>
      <c r="Y134" s="329"/>
      <c r="Z134" s="233">
        <v>1249477198</v>
      </c>
      <c r="AA134" s="5">
        <v>20</v>
      </c>
      <c r="AB134" s="329">
        <v>43861</v>
      </c>
      <c r="AC134" s="584"/>
      <c r="AD134" s="247"/>
      <c r="AE134" s="247"/>
      <c r="AF134" s="158">
        <f t="shared" si="29"/>
        <v>1249477198</v>
      </c>
      <c r="AG134" s="233"/>
      <c r="AH134" s="233">
        <f>P134-U134-Z134</f>
        <v>0</v>
      </c>
      <c r="AI134" s="233">
        <v>1249477198</v>
      </c>
      <c r="AJ134" s="233"/>
      <c r="AK134" s="666">
        <f t="shared" si="28"/>
        <v>0</v>
      </c>
      <c r="AL134" s="665">
        <v>877</v>
      </c>
      <c r="AM134" s="664">
        <v>20</v>
      </c>
      <c r="AN134" s="5"/>
      <c r="AO134" s="5"/>
      <c r="AP134" s="5">
        <v>38</v>
      </c>
      <c r="AQ134" s="5"/>
      <c r="AR134" s="5"/>
      <c r="AS134" s="5"/>
      <c r="AT134" s="4">
        <v>1</v>
      </c>
      <c r="AU134" s="28" t="s">
        <v>646</v>
      </c>
      <c r="AV134" s="330" t="s">
        <v>1565</v>
      </c>
      <c r="AW134" s="5"/>
      <c r="AX134" s="5"/>
      <c r="AY134" s="5"/>
      <c r="AZ134" s="5"/>
      <c r="BA134" s="5">
        <v>38</v>
      </c>
      <c r="BB134" s="5"/>
      <c r="BC134" s="276"/>
      <c r="BD134" s="276">
        <v>38</v>
      </c>
      <c r="BE134" s="276"/>
      <c r="BF134" s="470">
        <v>2020</v>
      </c>
      <c r="BG134" s="470">
        <v>2019</v>
      </c>
      <c r="BH134" s="430">
        <v>2020</v>
      </c>
      <c r="BI134" s="271" t="s">
        <v>2375</v>
      </c>
    </row>
    <row r="135" spans="1:61 16224:16286" s="204" customFormat="1" ht="18" customHeight="1">
      <c r="A135" s="131" t="s">
        <v>502</v>
      </c>
      <c r="B135" s="58" t="s">
        <v>1942</v>
      </c>
      <c r="C135" s="58" t="s">
        <v>1941</v>
      </c>
      <c r="D135" s="58" t="s">
        <v>157</v>
      </c>
      <c r="E135" s="58"/>
      <c r="F135" s="58"/>
      <c r="G135" s="58"/>
      <c r="H135" s="30" t="s">
        <v>1920</v>
      </c>
      <c r="I135" s="30">
        <v>2047</v>
      </c>
      <c r="J135" s="212">
        <v>43797</v>
      </c>
      <c r="K135" s="158"/>
      <c r="L135" s="158"/>
      <c r="M135" s="158">
        <v>43</v>
      </c>
      <c r="N135" s="158">
        <v>43</v>
      </c>
      <c r="O135" s="158"/>
      <c r="P135" s="158">
        <v>3131621746</v>
      </c>
      <c r="Q135" s="158"/>
      <c r="R135" s="158"/>
      <c r="S135" s="158"/>
      <c r="T135" s="158"/>
      <c r="U135" s="158">
        <v>1624931742</v>
      </c>
      <c r="V135" s="158">
        <v>10</v>
      </c>
      <c r="W135" s="329">
        <v>43831</v>
      </c>
      <c r="X135" s="329"/>
      <c r="Y135" s="329"/>
      <c r="Z135" s="94">
        <v>1506690004</v>
      </c>
      <c r="AA135" s="158">
        <v>10</v>
      </c>
      <c r="AB135" s="311">
        <v>44012</v>
      </c>
      <c r="AC135" s="158"/>
      <c r="AD135" s="158"/>
      <c r="AE135" s="158">
        <v>10</v>
      </c>
      <c r="AF135" s="94">
        <f>P135+AH135</f>
        <v>3131621746</v>
      </c>
      <c r="AG135" s="233"/>
      <c r="AH135" s="158"/>
      <c r="AI135" s="158">
        <v>3131621746</v>
      </c>
      <c r="AJ135" s="158"/>
      <c r="AK135" s="602">
        <f t="shared" si="28"/>
        <v>0</v>
      </c>
      <c r="AL135" s="72">
        <v>877</v>
      </c>
      <c r="AM135" s="175">
        <v>10</v>
      </c>
      <c r="AO135" s="158">
        <v>43</v>
      </c>
      <c r="AP135" s="158"/>
      <c r="AQ135" s="158"/>
      <c r="AR135" s="158"/>
      <c r="AS135" s="158"/>
      <c r="AT135" s="2">
        <v>0.52259999999999995</v>
      </c>
      <c r="AU135" s="28" t="s">
        <v>38</v>
      </c>
      <c r="AV135" s="104" t="s">
        <v>1565</v>
      </c>
      <c r="AW135" s="158"/>
      <c r="AX135" s="158"/>
      <c r="AY135" s="158"/>
      <c r="AZ135" s="158"/>
      <c r="BA135" s="158"/>
      <c r="BB135" s="158"/>
      <c r="BC135" s="158"/>
      <c r="BD135" s="158"/>
      <c r="BE135" s="158"/>
      <c r="BF135" s="271"/>
      <c r="BG135" s="271">
        <v>2019</v>
      </c>
      <c r="BH135" s="430">
        <v>2020</v>
      </c>
      <c r="BI135" s="271" t="s">
        <v>2375</v>
      </c>
    </row>
    <row r="136" spans="1:61 16224:16286" s="204" customFormat="1" ht="26.25" customHeight="1">
      <c r="A136" s="131" t="s">
        <v>502</v>
      </c>
      <c r="B136" s="58" t="s">
        <v>1944</v>
      </c>
      <c r="C136" s="88" t="s">
        <v>2157</v>
      </c>
      <c r="D136" s="88" t="s">
        <v>1943</v>
      </c>
      <c r="E136" s="88"/>
      <c r="F136" s="88">
        <v>4</v>
      </c>
      <c r="G136" s="88"/>
      <c r="H136" s="30" t="s">
        <v>1920</v>
      </c>
      <c r="I136" s="78">
        <v>2050</v>
      </c>
      <c r="J136" s="212">
        <v>43797</v>
      </c>
      <c r="K136" s="269"/>
      <c r="L136" s="374"/>
      <c r="M136" s="158">
        <v>19</v>
      </c>
      <c r="N136" s="158">
        <v>19</v>
      </c>
      <c r="O136" s="158"/>
      <c r="P136" s="158">
        <v>1581775186</v>
      </c>
      <c r="Q136" s="158"/>
      <c r="R136" s="269"/>
      <c r="S136" s="158"/>
      <c r="T136" s="269"/>
      <c r="U136" s="158">
        <v>856992620</v>
      </c>
      <c r="V136" s="158">
        <v>10</v>
      </c>
      <c r="W136" s="329">
        <v>43831</v>
      </c>
      <c r="X136" s="329"/>
      <c r="Y136" s="329"/>
      <c r="Z136" s="94">
        <v>724782566</v>
      </c>
      <c r="AA136" s="268">
        <v>10</v>
      </c>
      <c r="AB136" s="311">
        <v>44012</v>
      </c>
      <c r="AC136" s="268"/>
      <c r="AD136" s="268"/>
      <c r="AE136" s="158">
        <v>10</v>
      </c>
      <c r="AF136" s="94">
        <f>P136+AH136</f>
        <v>1581775186</v>
      </c>
      <c r="AG136" s="233"/>
      <c r="AH136" s="158"/>
      <c r="AI136" s="158">
        <v>1581775186</v>
      </c>
      <c r="AJ136" s="158"/>
      <c r="AK136" s="602">
        <f t="shared" si="28"/>
        <v>0</v>
      </c>
      <c r="AL136" s="72">
        <v>877</v>
      </c>
      <c r="AM136" s="175">
        <v>10</v>
      </c>
      <c r="AN136" s="158"/>
      <c r="AO136" s="158">
        <v>19</v>
      </c>
      <c r="AP136" s="471"/>
      <c r="AQ136" s="471"/>
      <c r="AR136" s="471"/>
      <c r="AS136" s="471"/>
      <c r="AT136" s="2">
        <v>0.55410000000000004</v>
      </c>
      <c r="AU136" s="28" t="s">
        <v>38</v>
      </c>
      <c r="AV136" s="104" t="s">
        <v>1565</v>
      </c>
      <c r="AW136" s="268"/>
      <c r="AX136" s="268"/>
      <c r="AY136" s="268"/>
      <c r="AZ136" s="268"/>
      <c r="BA136" s="268"/>
      <c r="BB136" s="268"/>
      <c r="BC136" s="268"/>
      <c r="BD136" s="268"/>
      <c r="BE136" s="268"/>
      <c r="BF136" s="268"/>
      <c r="BG136" s="271">
        <v>2019</v>
      </c>
      <c r="BH136" s="430">
        <v>2020</v>
      </c>
      <c r="BI136" s="271" t="s">
        <v>2375</v>
      </c>
    </row>
    <row r="137" spans="1:61 16224:16286" s="204" customFormat="1" ht="26.25" customHeight="1">
      <c r="A137" s="131" t="s">
        <v>502</v>
      </c>
      <c r="B137" s="520" t="s">
        <v>2275</v>
      </c>
      <c r="C137" s="95" t="s">
        <v>2276</v>
      </c>
      <c r="D137" s="95" t="s">
        <v>1234</v>
      </c>
      <c r="E137" s="716"/>
      <c r="F137" s="78">
        <v>4</v>
      </c>
      <c r="G137" s="78"/>
      <c r="H137" s="533" t="s">
        <v>2236</v>
      </c>
      <c r="I137" s="78">
        <v>309</v>
      </c>
      <c r="J137" s="459">
        <v>43909</v>
      </c>
      <c r="K137" s="529"/>
      <c r="L137" s="530"/>
      <c r="M137" s="61"/>
      <c r="N137" s="61">
        <v>60</v>
      </c>
      <c r="O137" s="61"/>
      <c r="P137" s="61">
        <f>(655717165+4340285463)</f>
        <v>4996002628</v>
      </c>
      <c r="Q137" s="61"/>
      <c r="R137" s="158">
        <v>655717165</v>
      </c>
      <c r="S137" s="61">
        <v>20</v>
      </c>
      <c r="T137" s="311">
        <v>43951</v>
      </c>
      <c r="U137" s="61"/>
      <c r="V137" s="61">
        <v>20</v>
      </c>
      <c r="W137" s="563"/>
      <c r="X137" s="563"/>
      <c r="Y137" s="563"/>
      <c r="Z137" s="706"/>
      <c r="AA137" s="521">
        <v>20</v>
      </c>
      <c r="AB137" s="446"/>
      <c r="AC137" s="446"/>
      <c r="AD137" s="446"/>
      <c r="AE137" s="158"/>
      <c r="AF137" s="158">
        <f>P137</f>
        <v>4996002628</v>
      </c>
      <c r="AG137" s="544"/>
      <c r="AH137" s="61"/>
      <c r="AI137" s="61">
        <v>4996002628</v>
      </c>
      <c r="AJ137" s="61"/>
      <c r="AK137" s="666">
        <f t="shared" si="28"/>
        <v>4340285463</v>
      </c>
      <c r="AL137" s="667">
        <v>877</v>
      </c>
      <c r="AM137" s="668">
        <v>20</v>
      </c>
      <c r="AN137" s="61">
        <v>60</v>
      </c>
      <c r="AO137" s="61"/>
      <c r="AP137" s="532"/>
      <c r="AQ137" s="532"/>
      <c r="AR137" s="532"/>
      <c r="AS137" s="532"/>
      <c r="AT137" s="2">
        <v>0</v>
      </c>
      <c r="AU137" s="58" t="s">
        <v>521</v>
      </c>
      <c r="AV137" s="462"/>
      <c r="AW137" s="531"/>
      <c r="AX137" s="531"/>
      <c r="AY137" s="531"/>
      <c r="AZ137" s="531"/>
      <c r="BA137" s="531"/>
      <c r="BB137" s="531"/>
      <c r="BC137" s="531"/>
      <c r="BD137" s="531"/>
      <c r="BE137" s="531"/>
      <c r="BF137" s="531"/>
      <c r="BG137" s="464"/>
      <c r="BH137" s="712">
        <v>2020</v>
      </c>
      <c r="BI137" s="271" t="s">
        <v>2375</v>
      </c>
    </row>
    <row r="138" spans="1:61 16224:16286" ht="15" customHeight="1">
      <c r="A138" s="371" t="s">
        <v>503</v>
      </c>
      <c r="B138" s="371"/>
      <c r="C138" s="371"/>
      <c r="D138" s="371"/>
      <c r="E138" s="371"/>
      <c r="F138" s="371"/>
      <c r="G138" s="371"/>
      <c r="H138" s="371"/>
      <c r="I138" s="370"/>
      <c r="J138" s="370"/>
      <c r="K138" s="371">
        <f>SUM(K139:K168)</f>
        <v>187</v>
      </c>
      <c r="L138" s="370">
        <f t="shared" ref="L138:M138" si="30">SUM(L139:L168)</f>
        <v>559</v>
      </c>
      <c r="M138" s="370">
        <f t="shared" si="30"/>
        <v>268</v>
      </c>
      <c r="N138" s="424">
        <f>SUM(N139:N168)</f>
        <v>235</v>
      </c>
      <c r="O138" s="424">
        <f>SUM(O139:O168)</f>
        <v>33</v>
      </c>
      <c r="P138" s="371"/>
      <c r="Q138" s="371"/>
      <c r="R138" s="371"/>
      <c r="S138" s="371"/>
      <c r="T138" s="371"/>
      <c r="U138" s="371"/>
      <c r="V138" s="371"/>
      <c r="W138" s="371"/>
      <c r="X138" s="371"/>
      <c r="Y138" s="371"/>
      <c r="Z138" s="371"/>
      <c r="AA138" s="371"/>
      <c r="AB138" s="371"/>
      <c r="AC138" s="371"/>
      <c r="AD138" s="370"/>
      <c r="AE138" s="370"/>
      <c r="AF138" s="371"/>
      <c r="AG138" s="371"/>
      <c r="AH138" s="371"/>
      <c r="AI138" s="371"/>
      <c r="AJ138" s="371"/>
      <c r="AK138" s="371"/>
      <c r="AL138" s="371"/>
      <c r="AM138" s="371"/>
      <c r="AN138" s="424">
        <f>SUM(AN139:AN168)</f>
        <v>1</v>
      </c>
      <c r="AO138" s="370">
        <f t="shared" ref="AO138:AS138" si="31">SUM(AO139:AO168)</f>
        <v>178</v>
      </c>
      <c r="AP138" s="370">
        <f t="shared" si="31"/>
        <v>56</v>
      </c>
      <c r="AQ138" s="370">
        <f t="shared" si="31"/>
        <v>0</v>
      </c>
      <c r="AR138" s="370">
        <f t="shared" si="31"/>
        <v>31</v>
      </c>
      <c r="AS138" s="370">
        <f t="shared" si="31"/>
        <v>2</v>
      </c>
      <c r="AT138" s="371"/>
      <c r="AU138" s="371"/>
      <c r="AV138" s="385"/>
      <c r="AW138" s="370">
        <f t="shared" ref="AW138:AZ138" si="32">SUM(AW139:AW165)</f>
        <v>148</v>
      </c>
      <c r="AX138" s="370">
        <f t="shared" si="32"/>
        <v>78</v>
      </c>
      <c r="AY138" s="370">
        <f t="shared" si="32"/>
        <v>17</v>
      </c>
      <c r="AZ138" s="370">
        <f t="shared" si="32"/>
        <v>559</v>
      </c>
      <c r="BA138" s="370">
        <f t="shared" ref="BA138:BE138" si="33">SUM(BA139:BA168)</f>
        <v>56</v>
      </c>
      <c r="BB138" s="370">
        <f t="shared" si="33"/>
        <v>0</v>
      </c>
      <c r="BC138" s="370">
        <f t="shared" si="33"/>
        <v>17</v>
      </c>
      <c r="BD138" s="370">
        <f t="shared" si="33"/>
        <v>632</v>
      </c>
      <c r="BE138" s="370">
        <f t="shared" si="33"/>
        <v>3</v>
      </c>
      <c r="BF138" s="371"/>
      <c r="BG138" s="371">
        <v>2019</v>
      </c>
      <c r="BH138" s="371">
        <v>2020</v>
      </c>
      <c r="BI138" s="434" t="s">
        <v>2419</v>
      </c>
      <c r="WYZ138" s="371"/>
      <c r="WZA138" s="371"/>
      <c r="WZB138" s="371"/>
      <c r="WZC138" s="371"/>
      <c r="WZD138" s="371"/>
      <c r="WZE138" s="370"/>
      <c r="WZF138" s="370"/>
      <c r="WZG138" s="370"/>
      <c r="WZH138" s="370"/>
      <c r="WZI138" s="370"/>
      <c r="WZJ138" s="370"/>
      <c r="WZK138" s="370"/>
      <c r="WZL138" s="370"/>
      <c r="WZM138" s="370"/>
      <c r="WZN138" s="370"/>
      <c r="XAC138" s="371"/>
      <c r="XAD138" s="371"/>
      <c r="XAE138" s="371"/>
      <c r="XAF138" s="371"/>
      <c r="XAG138" s="371"/>
      <c r="XAH138" s="370"/>
      <c r="XAI138" s="370"/>
      <c r="XBF138" s="371"/>
      <c r="XBG138" s="371"/>
      <c r="XBH138" s="371"/>
      <c r="XBI138" s="371"/>
      <c r="XBJ138" s="371"/>
    </row>
    <row r="139" spans="1:61 16224:16286" s="204" customFormat="1" ht="15" customHeight="1">
      <c r="A139" s="160" t="s">
        <v>503</v>
      </c>
      <c r="B139" s="58" t="s">
        <v>62</v>
      </c>
      <c r="C139" s="58" t="s">
        <v>656</v>
      </c>
      <c r="D139" s="58" t="s">
        <v>61</v>
      </c>
      <c r="E139" s="58"/>
      <c r="F139" s="58"/>
      <c r="G139" s="58"/>
      <c r="H139" s="30" t="s">
        <v>657</v>
      </c>
      <c r="I139" s="30"/>
      <c r="J139" s="212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94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94">
        <v>10</v>
      </c>
      <c r="AN139" s="158"/>
      <c r="AO139" s="158"/>
      <c r="AP139" s="158"/>
      <c r="AQ139" s="158"/>
      <c r="AR139" s="158"/>
      <c r="AS139" s="158"/>
      <c r="AT139" s="2">
        <v>1</v>
      </c>
      <c r="AU139" s="58" t="s">
        <v>646</v>
      </c>
      <c r="AV139" s="185">
        <f>SUM(AV140:AV169)</f>
        <v>0</v>
      </c>
      <c r="AW139" s="158"/>
      <c r="AX139" s="158">
        <v>28</v>
      </c>
      <c r="AY139" s="158"/>
      <c r="AZ139" s="158"/>
      <c r="BA139" s="158"/>
      <c r="BB139" s="158"/>
      <c r="BC139" s="69"/>
      <c r="BD139" s="69"/>
      <c r="BE139" s="69"/>
      <c r="BF139" s="271">
        <v>2017</v>
      </c>
      <c r="BG139" s="271"/>
      <c r="BH139" s="271"/>
      <c r="BI139" s="271" t="s">
        <v>2376</v>
      </c>
    </row>
    <row r="140" spans="1:61 16224:16286" s="204" customFormat="1" ht="15" customHeight="1">
      <c r="A140" s="160" t="s">
        <v>503</v>
      </c>
      <c r="B140" s="58" t="s">
        <v>62</v>
      </c>
      <c r="C140" s="122" t="s">
        <v>64</v>
      </c>
      <c r="D140" s="58" t="s">
        <v>65</v>
      </c>
      <c r="E140" s="58"/>
      <c r="F140" s="58"/>
      <c r="G140" s="58"/>
      <c r="H140" s="30"/>
      <c r="I140" s="58"/>
      <c r="J140" s="212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94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>
        <f t="shared" ref="AK140:AK144" si="34">AF140+AH140</f>
        <v>0</v>
      </c>
      <c r="AL140" s="158"/>
      <c r="AM140" s="94">
        <v>10</v>
      </c>
      <c r="AN140" s="158"/>
      <c r="AO140" s="158"/>
      <c r="AP140" s="158"/>
      <c r="AQ140" s="158"/>
      <c r="AR140" s="158"/>
      <c r="AS140" s="158"/>
      <c r="AT140" s="2"/>
      <c r="AU140" s="58"/>
      <c r="AV140" s="104"/>
      <c r="AW140" s="158">
        <v>43</v>
      </c>
      <c r="AX140" s="158"/>
      <c r="AY140" s="158"/>
      <c r="AZ140" s="158"/>
      <c r="BA140" s="158"/>
      <c r="BB140" s="158"/>
      <c r="BC140" s="69"/>
      <c r="BD140" s="69"/>
      <c r="BE140" s="69"/>
      <c r="BF140" s="271">
        <v>2016</v>
      </c>
      <c r="BG140" s="271"/>
      <c r="BH140" s="271"/>
      <c r="BI140" s="271" t="s">
        <v>2376</v>
      </c>
    </row>
    <row r="141" spans="1:61 16224:16286" s="204" customFormat="1" ht="15" customHeight="1">
      <c r="A141" s="160" t="s">
        <v>503</v>
      </c>
      <c r="B141" s="58" t="s">
        <v>63</v>
      </c>
      <c r="C141" s="122" t="s">
        <v>66</v>
      </c>
      <c r="D141" s="58" t="s">
        <v>67</v>
      </c>
      <c r="E141" s="58"/>
      <c r="F141" s="58"/>
      <c r="G141" s="58"/>
      <c r="H141" s="30"/>
      <c r="I141" s="58"/>
      <c r="J141" s="212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94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>
        <f t="shared" si="34"/>
        <v>0</v>
      </c>
      <c r="AL141" s="158"/>
      <c r="AM141" s="94">
        <v>20</v>
      </c>
      <c r="AN141" s="158"/>
      <c r="AO141" s="158"/>
      <c r="AP141" s="158"/>
      <c r="AQ141" s="158"/>
      <c r="AR141" s="158"/>
      <c r="AS141" s="158"/>
      <c r="AT141" s="2"/>
      <c r="AU141" s="58"/>
      <c r="AV141" s="104"/>
      <c r="AW141" s="158">
        <v>66</v>
      </c>
      <c r="AX141" s="158"/>
      <c r="AY141" s="158"/>
      <c r="AZ141" s="158"/>
      <c r="BA141" s="158"/>
      <c r="BB141" s="158"/>
      <c r="BC141" s="69"/>
      <c r="BD141" s="69"/>
      <c r="BE141" s="69"/>
      <c r="BF141" s="271">
        <v>2016</v>
      </c>
      <c r="BG141" s="271"/>
      <c r="BH141" s="271"/>
      <c r="BI141" s="271" t="s">
        <v>2376</v>
      </c>
    </row>
    <row r="142" spans="1:61 16224:16286" s="204" customFormat="1" ht="15" customHeight="1">
      <c r="A142" s="160" t="s">
        <v>503</v>
      </c>
      <c r="B142" s="58" t="s">
        <v>70</v>
      </c>
      <c r="C142" s="123" t="s">
        <v>68</v>
      </c>
      <c r="D142" s="1" t="s">
        <v>69</v>
      </c>
      <c r="E142" s="1"/>
      <c r="F142" s="1"/>
      <c r="G142" s="1"/>
      <c r="H142" s="30"/>
      <c r="I142" s="58"/>
      <c r="J142" s="212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94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>
        <f t="shared" si="34"/>
        <v>0</v>
      </c>
      <c r="AL142" s="158"/>
      <c r="AM142" s="94">
        <v>20</v>
      </c>
      <c r="AN142" s="158"/>
      <c r="AO142" s="158"/>
      <c r="AP142" s="158"/>
      <c r="AQ142" s="158"/>
      <c r="AR142" s="158"/>
      <c r="AS142" s="158"/>
      <c r="AT142" s="2"/>
      <c r="AU142" s="58"/>
      <c r="AV142" s="104"/>
      <c r="AW142" s="158">
        <v>39</v>
      </c>
      <c r="AX142" s="158"/>
      <c r="AY142" s="158"/>
      <c r="AZ142" s="158"/>
      <c r="BA142" s="158"/>
      <c r="BB142" s="158"/>
      <c r="BC142" s="69"/>
      <c r="BD142" s="69"/>
      <c r="BE142" s="69"/>
      <c r="BF142" s="271">
        <v>2016</v>
      </c>
      <c r="BG142" s="271"/>
      <c r="BH142" s="271"/>
      <c r="BI142" s="271" t="s">
        <v>2376</v>
      </c>
    </row>
    <row r="143" spans="1:61 16224:16286" s="204" customFormat="1" ht="15" customHeight="1">
      <c r="A143" s="160" t="s">
        <v>503</v>
      </c>
      <c r="B143" s="58" t="s">
        <v>70</v>
      </c>
      <c r="C143" s="123" t="s">
        <v>68</v>
      </c>
      <c r="D143" s="1" t="s">
        <v>69</v>
      </c>
      <c r="E143" s="1"/>
      <c r="F143" s="1"/>
      <c r="G143" s="1"/>
      <c r="H143" s="30" t="s">
        <v>658</v>
      </c>
      <c r="I143" s="30"/>
      <c r="J143" s="212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94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>
        <f t="shared" si="34"/>
        <v>0</v>
      </c>
      <c r="AL143" s="158"/>
      <c r="AM143" s="94">
        <v>20</v>
      </c>
      <c r="AN143" s="158"/>
      <c r="AO143" s="158"/>
      <c r="AP143" s="158"/>
      <c r="AQ143" s="158"/>
      <c r="AR143" s="158"/>
      <c r="AS143" s="158"/>
      <c r="AT143" s="2">
        <v>0</v>
      </c>
      <c r="AU143" s="58" t="s">
        <v>687</v>
      </c>
      <c r="AV143" s="58" t="s">
        <v>916</v>
      </c>
      <c r="AW143" s="158"/>
      <c r="AX143" s="158">
        <f>1-1</f>
        <v>0</v>
      </c>
      <c r="AY143" s="158"/>
      <c r="AZ143" s="158"/>
      <c r="BA143" s="158"/>
      <c r="BB143" s="158"/>
      <c r="BC143" s="69"/>
      <c r="BD143" s="69"/>
      <c r="BE143" s="69">
        <v>1</v>
      </c>
      <c r="BF143" s="271" t="s">
        <v>1703</v>
      </c>
      <c r="BG143" s="271"/>
      <c r="BH143" s="271"/>
      <c r="BI143" s="271" t="s">
        <v>2376</v>
      </c>
    </row>
    <row r="144" spans="1:61 16224:16286" s="204" customFormat="1" ht="15" customHeight="1">
      <c r="A144" s="160" t="s">
        <v>503</v>
      </c>
      <c r="B144" s="58" t="s">
        <v>63</v>
      </c>
      <c r="C144" s="122" t="s">
        <v>71</v>
      </c>
      <c r="D144" s="58" t="s">
        <v>16</v>
      </c>
      <c r="E144" s="58"/>
      <c r="F144" s="58"/>
      <c r="G144" s="58"/>
      <c r="H144" s="30" t="s">
        <v>650</v>
      </c>
      <c r="I144" s="30"/>
      <c r="J144" s="212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94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>
        <f t="shared" si="34"/>
        <v>0</v>
      </c>
      <c r="AL144" s="158"/>
      <c r="AM144" s="94">
        <v>20</v>
      </c>
      <c r="AN144" s="158"/>
      <c r="AO144" s="158"/>
      <c r="AP144" s="158"/>
      <c r="AQ144" s="158"/>
      <c r="AR144" s="158"/>
      <c r="AS144" s="158"/>
      <c r="AT144" s="2">
        <v>1</v>
      </c>
      <c r="AU144" s="58" t="s">
        <v>646</v>
      </c>
      <c r="AV144" s="104"/>
      <c r="AW144" s="158"/>
      <c r="AX144" s="158">
        <v>50</v>
      </c>
      <c r="AY144" s="158"/>
      <c r="AZ144" s="158"/>
      <c r="BA144" s="158"/>
      <c r="BB144" s="158"/>
      <c r="BC144" s="69"/>
      <c r="BD144" s="69"/>
      <c r="BE144" s="69"/>
      <c r="BF144" s="271">
        <v>2017</v>
      </c>
      <c r="BG144" s="271"/>
      <c r="BH144" s="271"/>
      <c r="BI144" s="271" t="s">
        <v>2376</v>
      </c>
    </row>
    <row r="145" spans="1:61" s="204" customFormat="1" ht="18.75" customHeight="1">
      <c r="A145" s="160" t="s">
        <v>503</v>
      </c>
      <c r="B145" s="58" t="s">
        <v>62</v>
      </c>
      <c r="C145" s="58" t="s">
        <v>1064</v>
      </c>
      <c r="D145" s="118" t="s">
        <v>157</v>
      </c>
      <c r="E145" s="118"/>
      <c r="F145" s="118"/>
      <c r="G145" s="118"/>
      <c r="H145" s="30" t="s">
        <v>713</v>
      </c>
      <c r="I145" s="82">
        <v>1973</v>
      </c>
      <c r="J145" s="212">
        <v>42992</v>
      </c>
      <c r="K145" s="158"/>
      <c r="L145" s="158">
        <v>22</v>
      </c>
      <c r="M145" s="158"/>
      <c r="N145" s="158"/>
      <c r="O145" s="158"/>
      <c r="P145" s="158">
        <v>1358046513</v>
      </c>
      <c r="Q145" s="158"/>
      <c r="R145" s="158"/>
      <c r="S145" s="158"/>
      <c r="T145" s="158"/>
      <c r="U145" s="158">
        <v>556187413</v>
      </c>
      <c r="V145" s="158"/>
      <c r="W145" s="158"/>
      <c r="X145" s="158"/>
      <c r="Y145" s="158"/>
      <c r="Z145" s="158">
        <v>801859100</v>
      </c>
      <c r="AA145" s="158">
        <v>10</v>
      </c>
      <c r="AB145" s="158"/>
      <c r="AC145" s="158"/>
      <c r="AD145" s="158"/>
      <c r="AE145" s="158"/>
      <c r="AF145" s="94">
        <f t="shared" ref="AF145:AF151" si="35">P145-U145-Z145</f>
        <v>0</v>
      </c>
      <c r="AG145" s="94"/>
      <c r="AH145" s="94">
        <v>0</v>
      </c>
      <c r="AI145" s="94">
        <v>0</v>
      </c>
      <c r="AJ145" s="94"/>
      <c r="AK145" s="94">
        <f t="shared" ref="AK145:AK152" si="36">AF145+AH145</f>
        <v>0</v>
      </c>
      <c r="AL145" s="158">
        <v>877</v>
      </c>
      <c r="AM145" s="94">
        <v>20</v>
      </c>
      <c r="AN145" s="158"/>
      <c r="AO145" s="158"/>
      <c r="AP145" s="158"/>
      <c r="AQ145" s="11"/>
      <c r="AR145" s="158"/>
      <c r="AS145" s="11"/>
      <c r="AT145" s="2">
        <v>1</v>
      </c>
      <c r="AU145" s="58" t="s">
        <v>646</v>
      </c>
      <c r="AV145" s="104" t="s">
        <v>1223</v>
      </c>
      <c r="AW145" s="158"/>
      <c r="AX145" s="11"/>
      <c r="AY145" s="11"/>
      <c r="AZ145" s="158">
        <v>22</v>
      </c>
      <c r="BA145" s="158"/>
      <c r="BB145" s="158"/>
      <c r="BC145" s="69"/>
      <c r="BD145" s="69">
        <f>+AZ145</f>
        <v>22</v>
      </c>
      <c r="BE145" s="69"/>
      <c r="BF145" s="271">
        <v>2019</v>
      </c>
      <c r="BG145" s="271">
        <v>2019</v>
      </c>
      <c r="BH145" s="271"/>
      <c r="BI145" s="271" t="s">
        <v>2375</v>
      </c>
    </row>
    <row r="146" spans="1:61" s="204" customFormat="1" ht="18.75" customHeight="1">
      <c r="A146" s="160" t="s">
        <v>503</v>
      </c>
      <c r="B146" s="58" t="s">
        <v>63</v>
      </c>
      <c r="C146" s="122" t="s">
        <v>745</v>
      </c>
      <c r="D146" s="148" t="s">
        <v>738</v>
      </c>
      <c r="E146" s="148"/>
      <c r="F146" s="148"/>
      <c r="G146" s="148"/>
      <c r="H146" s="30" t="s">
        <v>715</v>
      </c>
      <c r="I146" s="30">
        <v>2677</v>
      </c>
      <c r="J146" s="212">
        <v>43062</v>
      </c>
      <c r="K146" s="158"/>
      <c r="L146" s="158">
        <v>78</v>
      </c>
      <c r="M146" s="158"/>
      <c r="N146" s="158"/>
      <c r="O146" s="158"/>
      <c r="P146" s="158">
        <v>5827594500</v>
      </c>
      <c r="Q146" s="158"/>
      <c r="R146" s="158"/>
      <c r="S146" s="158"/>
      <c r="T146" s="158"/>
      <c r="U146" s="158">
        <v>2619172500</v>
      </c>
      <c r="V146" s="158"/>
      <c r="W146" s="158"/>
      <c r="X146" s="158"/>
      <c r="Y146" s="158"/>
      <c r="Z146" s="158">
        <v>3208422000</v>
      </c>
      <c r="AA146" s="158">
        <v>10</v>
      </c>
      <c r="AB146" s="158"/>
      <c r="AC146" s="158"/>
      <c r="AD146" s="158"/>
      <c r="AE146" s="158"/>
      <c r="AF146" s="94">
        <f t="shared" si="35"/>
        <v>0</v>
      </c>
      <c r="AG146" s="94"/>
      <c r="AH146" s="94">
        <v>0</v>
      </c>
      <c r="AI146" s="94">
        <v>0</v>
      </c>
      <c r="AJ146" s="94"/>
      <c r="AK146" s="94">
        <f t="shared" si="36"/>
        <v>0</v>
      </c>
      <c r="AL146" s="158">
        <v>877</v>
      </c>
      <c r="AM146" s="94">
        <v>20</v>
      </c>
      <c r="AN146" s="158"/>
      <c r="AO146" s="158"/>
      <c r="AP146" s="158"/>
      <c r="AQ146" s="158"/>
      <c r="AR146" s="158"/>
      <c r="AS146" s="158"/>
      <c r="AT146" s="2">
        <v>1</v>
      </c>
      <c r="AU146" s="58" t="s">
        <v>646</v>
      </c>
      <c r="AV146" s="104"/>
      <c r="AW146" s="51"/>
      <c r="AX146" s="158"/>
      <c r="AY146" s="158"/>
      <c r="AZ146" s="158">
        <v>78</v>
      </c>
      <c r="BA146" s="158"/>
      <c r="BB146" s="158"/>
      <c r="BC146" s="69"/>
      <c r="BD146" s="69">
        <v>78</v>
      </c>
      <c r="BE146" s="69"/>
      <c r="BF146" s="271">
        <v>2019</v>
      </c>
      <c r="BG146" s="271">
        <v>2019</v>
      </c>
      <c r="BH146" s="271"/>
      <c r="BI146" s="271" t="s">
        <v>2375</v>
      </c>
    </row>
    <row r="147" spans="1:61" s="204" customFormat="1" ht="18.75" customHeight="1">
      <c r="A147" s="160" t="s">
        <v>503</v>
      </c>
      <c r="B147" s="58" t="s">
        <v>63</v>
      </c>
      <c r="C147" s="122" t="s">
        <v>739</v>
      </c>
      <c r="D147" s="148" t="s">
        <v>740</v>
      </c>
      <c r="E147" s="148"/>
      <c r="F147" s="148"/>
      <c r="G147" s="148"/>
      <c r="H147" s="30" t="s">
        <v>715</v>
      </c>
      <c r="I147" s="30">
        <v>2837</v>
      </c>
      <c r="J147" s="212">
        <v>42918</v>
      </c>
      <c r="K147" s="158"/>
      <c r="L147" s="158">
        <v>69</v>
      </c>
      <c r="M147" s="158"/>
      <c r="N147" s="158"/>
      <c r="O147" s="158"/>
      <c r="P147" s="158">
        <f>5229892500-74712750</f>
        <v>5155179750</v>
      </c>
      <c r="Q147" s="158"/>
      <c r="R147" s="158"/>
      <c r="S147" s="158"/>
      <c r="T147" s="158"/>
      <c r="U147" s="158">
        <v>2319763259</v>
      </c>
      <c r="V147" s="158"/>
      <c r="W147" s="158"/>
      <c r="X147" s="158"/>
      <c r="Y147" s="158"/>
      <c r="Z147" s="158">
        <v>2835416491</v>
      </c>
      <c r="AA147" s="158">
        <v>10</v>
      </c>
      <c r="AB147" s="311">
        <v>43313</v>
      </c>
      <c r="AC147" s="158"/>
      <c r="AD147" s="158"/>
      <c r="AE147" s="158"/>
      <c r="AF147" s="94">
        <f t="shared" si="35"/>
        <v>0</v>
      </c>
      <c r="AG147" s="94"/>
      <c r="AH147" s="94">
        <v>0</v>
      </c>
      <c r="AI147" s="94">
        <v>0</v>
      </c>
      <c r="AJ147" s="94"/>
      <c r="AK147" s="94">
        <f t="shared" si="36"/>
        <v>0</v>
      </c>
      <c r="AL147" s="158">
        <v>877</v>
      </c>
      <c r="AM147" s="94">
        <v>20</v>
      </c>
      <c r="AN147" s="158"/>
      <c r="AO147" s="158"/>
      <c r="AP147" s="158"/>
      <c r="AQ147" s="11"/>
      <c r="AR147" s="11"/>
      <c r="AS147" s="11"/>
      <c r="AT147" s="2">
        <v>1</v>
      </c>
      <c r="AU147" s="58" t="s">
        <v>646</v>
      </c>
      <c r="AV147" s="104"/>
      <c r="AW147" s="51"/>
      <c r="AX147" s="11"/>
      <c r="AY147" s="11"/>
      <c r="AZ147" s="158">
        <v>69</v>
      </c>
      <c r="BA147" s="158"/>
      <c r="BB147" s="158"/>
      <c r="BC147" s="69"/>
      <c r="BD147" s="69">
        <v>69</v>
      </c>
      <c r="BE147" s="69"/>
      <c r="BF147" s="271">
        <v>2019</v>
      </c>
      <c r="BG147" s="271">
        <v>2019</v>
      </c>
      <c r="BH147" s="271"/>
      <c r="BI147" s="271" t="s">
        <v>2375</v>
      </c>
    </row>
    <row r="148" spans="1:61" s="204" customFormat="1" ht="18.75" customHeight="1">
      <c r="A148" s="160" t="s">
        <v>503</v>
      </c>
      <c r="B148" s="58" t="s">
        <v>63</v>
      </c>
      <c r="C148" s="122" t="s">
        <v>739</v>
      </c>
      <c r="D148" s="148" t="s">
        <v>740</v>
      </c>
      <c r="E148" s="148"/>
      <c r="F148" s="148"/>
      <c r="G148" s="148"/>
      <c r="H148" s="30" t="s">
        <v>715</v>
      </c>
      <c r="I148" s="30">
        <v>2837</v>
      </c>
      <c r="J148" s="212">
        <v>42918</v>
      </c>
      <c r="K148" s="158"/>
      <c r="L148" s="158">
        <v>1</v>
      </c>
      <c r="M148" s="158"/>
      <c r="N148" s="158"/>
      <c r="O148" s="158"/>
      <c r="P148" s="158">
        <v>74712750</v>
      </c>
      <c r="Q148" s="158"/>
      <c r="R148" s="158"/>
      <c r="S148" s="158"/>
      <c r="T148" s="158"/>
      <c r="U148" s="158">
        <v>33635585</v>
      </c>
      <c r="V148" s="158"/>
      <c r="W148" s="158"/>
      <c r="X148" s="158"/>
      <c r="Y148" s="158"/>
      <c r="Z148" s="158">
        <v>41077165</v>
      </c>
      <c r="AA148" s="158">
        <v>10</v>
      </c>
      <c r="AB148" s="311">
        <v>43405</v>
      </c>
      <c r="AC148" s="158"/>
      <c r="AD148" s="158"/>
      <c r="AE148" s="158"/>
      <c r="AF148" s="94">
        <f t="shared" si="35"/>
        <v>0</v>
      </c>
      <c r="AG148" s="94"/>
      <c r="AH148" s="94">
        <v>0</v>
      </c>
      <c r="AI148" s="94">
        <v>0</v>
      </c>
      <c r="AJ148" s="94"/>
      <c r="AK148" s="94">
        <f t="shared" si="36"/>
        <v>0</v>
      </c>
      <c r="AL148" s="158">
        <v>877</v>
      </c>
      <c r="AM148" s="94">
        <v>20</v>
      </c>
      <c r="AN148" s="158"/>
      <c r="AO148" s="158"/>
      <c r="AP148" s="158"/>
      <c r="AQ148" s="11"/>
      <c r="AR148" s="11"/>
      <c r="AS148" s="11"/>
      <c r="AT148" s="2">
        <v>1</v>
      </c>
      <c r="AU148" s="58" t="s">
        <v>646</v>
      </c>
      <c r="AV148" s="104"/>
      <c r="AW148" s="51"/>
      <c r="AX148" s="11"/>
      <c r="AY148" s="11"/>
      <c r="AZ148" s="158">
        <v>1</v>
      </c>
      <c r="BA148" s="158"/>
      <c r="BB148" s="158"/>
      <c r="BC148" s="69"/>
      <c r="BD148" s="69">
        <v>1</v>
      </c>
      <c r="BE148" s="69"/>
      <c r="BF148" s="271">
        <v>2019</v>
      </c>
      <c r="BG148" s="271">
        <v>2019</v>
      </c>
      <c r="BH148" s="271"/>
      <c r="BI148" s="271" t="s">
        <v>2375</v>
      </c>
    </row>
    <row r="149" spans="1:61" s="204" customFormat="1" ht="18.75" customHeight="1">
      <c r="A149" s="230" t="s">
        <v>503</v>
      </c>
      <c r="B149" s="58" t="s">
        <v>1351</v>
      </c>
      <c r="C149" s="236" t="s">
        <v>741</v>
      </c>
      <c r="D149" s="237" t="s">
        <v>740</v>
      </c>
      <c r="E149" s="237"/>
      <c r="F149" s="237"/>
      <c r="G149" s="237"/>
      <c r="H149" s="30" t="s">
        <v>715</v>
      </c>
      <c r="I149" s="272" t="s">
        <v>1645</v>
      </c>
      <c r="J149" s="215" t="s">
        <v>1646</v>
      </c>
      <c r="K149" s="158"/>
      <c r="L149" s="158">
        <v>101</v>
      </c>
      <c r="M149" s="158"/>
      <c r="N149" s="158"/>
      <c r="O149" s="158"/>
      <c r="P149" s="158">
        <f>7695413250-149425500</f>
        <v>7545987750</v>
      </c>
      <c r="Q149" s="158"/>
      <c r="R149" s="158"/>
      <c r="S149" s="158"/>
      <c r="T149" s="158"/>
      <c r="U149" s="158">
        <v>3329583896</v>
      </c>
      <c r="V149" s="158"/>
      <c r="W149" s="158"/>
      <c r="X149" s="158"/>
      <c r="Y149" s="158"/>
      <c r="Z149" s="94">
        <v>4216403854</v>
      </c>
      <c r="AA149" s="158">
        <v>20</v>
      </c>
      <c r="AB149" s="5"/>
      <c r="AC149" s="5"/>
      <c r="AD149" s="5"/>
      <c r="AE149" s="158"/>
      <c r="AF149" s="94">
        <f t="shared" si="35"/>
        <v>0</v>
      </c>
      <c r="AG149" s="94"/>
      <c r="AH149" s="94">
        <v>0</v>
      </c>
      <c r="AI149" s="94">
        <v>0</v>
      </c>
      <c r="AJ149" s="94"/>
      <c r="AK149" s="94">
        <f t="shared" si="36"/>
        <v>0</v>
      </c>
      <c r="AL149" s="158">
        <v>877</v>
      </c>
      <c r="AM149" s="94">
        <v>10</v>
      </c>
      <c r="AN149" s="158"/>
      <c r="AO149" s="158"/>
      <c r="AP149" s="158"/>
      <c r="AQ149" s="11"/>
      <c r="AR149" s="11"/>
      <c r="AS149" s="11"/>
      <c r="AT149" s="2">
        <v>1</v>
      </c>
      <c r="AU149" s="58" t="s">
        <v>646</v>
      </c>
      <c r="AV149" s="104"/>
      <c r="AW149" s="51"/>
      <c r="AX149" s="11"/>
      <c r="AY149" s="11"/>
      <c r="AZ149" s="158">
        <v>101</v>
      </c>
      <c r="BA149" s="158"/>
      <c r="BB149" s="158"/>
      <c r="BC149" s="69"/>
      <c r="BD149" s="69">
        <v>101</v>
      </c>
      <c r="BE149" s="69"/>
      <c r="BF149" s="271">
        <v>2019</v>
      </c>
      <c r="BG149" s="271">
        <v>2019</v>
      </c>
      <c r="BH149" s="271"/>
      <c r="BI149" s="271" t="s">
        <v>2375</v>
      </c>
    </row>
    <row r="150" spans="1:61" s="204" customFormat="1" ht="18.75" customHeight="1">
      <c r="A150" s="160" t="s">
        <v>503</v>
      </c>
      <c r="B150" s="58" t="s">
        <v>1351</v>
      </c>
      <c r="C150" s="122" t="s">
        <v>741</v>
      </c>
      <c r="D150" s="148" t="s">
        <v>740</v>
      </c>
      <c r="E150" s="148"/>
      <c r="F150" s="148"/>
      <c r="G150" s="148"/>
      <c r="H150" s="30" t="s">
        <v>715</v>
      </c>
      <c r="I150" s="272" t="s">
        <v>1645</v>
      </c>
      <c r="J150" s="215" t="s">
        <v>1646</v>
      </c>
      <c r="K150" s="158"/>
      <c r="L150" s="158">
        <v>2</v>
      </c>
      <c r="M150" s="158"/>
      <c r="N150" s="158"/>
      <c r="O150" s="158"/>
      <c r="P150" s="158">
        <v>149425500</v>
      </c>
      <c r="Q150" s="158"/>
      <c r="R150" s="158"/>
      <c r="S150" s="158"/>
      <c r="T150" s="158"/>
      <c r="U150" s="158">
        <v>65932354</v>
      </c>
      <c r="V150" s="158">
        <v>20</v>
      </c>
      <c r="W150" s="158"/>
      <c r="X150" s="158"/>
      <c r="Y150" s="158"/>
      <c r="Z150" s="94">
        <v>83493146</v>
      </c>
      <c r="AA150" s="158">
        <v>10</v>
      </c>
      <c r="AB150" s="311">
        <v>43678</v>
      </c>
      <c r="AC150" s="577"/>
      <c r="AD150" s="69"/>
      <c r="AE150" s="158"/>
      <c r="AF150" s="94">
        <f t="shared" si="35"/>
        <v>0</v>
      </c>
      <c r="AG150" s="94"/>
      <c r="AH150" s="94">
        <v>0</v>
      </c>
      <c r="AI150" s="94">
        <v>0</v>
      </c>
      <c r="AJ150" s="94"/>
      <c r="AK150" s="94">
        <f t="shared" si="36"/>
        <v>0</v>
      </c>
      <c r="AL150" s="158">
        <v>877</v>
      </c>
      <c r="AM150" s="94">
        <v>20</v>
      </c>
      <c r="AN150" s="158"/>
      <c r="AO150" s="158"/>
      <c r="AP150" s="158"/>
      <c r="AQ150" s="11"/>
      <c r="AR150" s="11"/>
      <c r="AS150" s="11"/>
      <c r="AT150" s="2">
        <v>1</v>
      </c>
      <c r="AU150" s="58" t="s">
        <v>646</v>
      </c>
      <c r="AV150" s="104"/>
      <c r="AW150" s="51"/>
      <c r="AX150" s="11"/>
      <c r="AY150" s="11"/>
      <c r="AZ150" s="158">
        <v>2</v>
      </c>
      <c r="BA150" s="158"/>
      <c r="BB150" s="158"/>
      <c r="BC150" s="69"/>
      <c r="BD150" s="69">
        <v>2</v>
      </c>
      <c r="BE150" s="69"/>
      <c r="BF150" s="271">
        <v>2019</v>
      </c>
      <c r="BG150" s="271">
        <v>2019</v>
      </c>
      <c r="BH150" s="271"/>
      <c r="BI150" s="271" t="s">
        <v>2375</v>
      </c>
    </row>
    <row r="151" spans="1:61" s="204" customFormat="1" ht="18.75" customHeight="1">
      <c r="A151" s="248" t="s">
        <v>503</v>
      </c>
      <c r="B151" s="58" t="s">
        <v>1351</v>
      </c>
      <c r="C151" s="258" t="s">
        <v>742</v>
      </c>
      <c r="D151" s="259" t="s">
        <v>746</v>
      </c>
      <c r="E151" s="259"/>
      <c r="F151" s="259"/>
      <c r="G151" s="259"/>
      <c r="H151" s="30" t="s">
        <v>720</v>
      </c>
      <c r="I151" s="30">
        <v>3009</v>
      </c>
      <c r="J151" s="212">
        <v>43091</v>
      </c>
      <c r="K151" s="158"/>
      <c r="L151" s="158">
        <v>37</v>
      </c>
      <c r="M151" s="158"/>
      <c r="N151" s="158"/>
      <c r="O151" s="158"/>
      <c r="P151" s="158">
        <v>2352238161</v>
      </c>
      <c r="Q151" s="158"/>
      <c r="R151" s="158"/>
      <c r="S151" s="158"/>
      <c r="T151" s="158"/>
      <c r="U151" s="158">
        <v>998547697</v>
      </c>
      <c r="V151" s="158"/>
      <c r="W151" s="158"/>
      <c r="X151" s="158"/>
      <c r="Y151" s="158"/>
      <c r="Z151" s="94">
        <v>1353690464</v>
      </c>
      <c r="AA151" s="158">
        <v>10</v>
      </c>
      <c r="AB151" s="311">
        <v>43313</v>
      </c>
      <c r="AC151" s="92"/>
      <c r="AD151" s="92"/>
      <c r="AE151" s="158"/>
      <c r="AF151" s="94">
        <f t="shared" si="35"/>
        <v>0</v>
      </c>
      <c r="AG151" s="94"/>
      <c r="AH151" s="94">
        <v>0</v>
      </c>
      <c r="AI151" s="94">
        <v>0</v>
      </c>
      <c r="AJ151" s="94"/>
      <c r="AK151" s="94">
        <f t="shared" si="36"/>
        <v>0</v>
      </c>
      <c r="AL151" s="158">
        <v>877</v>
      </c>
      <c r="AM151" s="94">
        <v>20</v>
      </c>
      <c r="AN151" s="158"/>
      <c r="AO151" s="158"/>
      <c r="AP151" s="158"/>
      <c r="AQ151" s="158"/>
      <c r="AR151" s="158"/>
      <c r="AS151" s="158"/>
      <c r="AT151" s="2">
        <v>1</v>
      </c>
      <c r="AU151" s="58" t="s">
        <v>646</v>
      </c>
      <c r="AV151" s="104"/>
      <c r="AW151" s="51"/>
      <c r="AX151" s="158"/>
      <c r="AY151" s="158"/>
      <c r="AZ151" s="158">
        <v>37</v>
      </c>
      <c r="BA151" s="158"/>
      <c r="BB151" s="158"/>
      <c r="BC151" s="69"/>
      <c r="BD151" s="69">
        <v>37</v>
      </c>
      <c r="BE151" s="69"/>
      <c r="BF151" s="271">
        <v>2019</v>
      </c>
      <c r="BG151" s="271">
        <v>2019</v>
      </c>
      <c r="BH151" s="271"/>
      <c r="BI151" s="271" t="s">
        <v>2375</v>
      </c>
    </row>
    <row r="152" spans="1:61" s="204" customFormat="1" ht="15" customHeight="1">
      <c r="A152" s="160" t="s">
        <v>503</v>
      </c>
      <c r="B152" s="58" t="s">
        <v>915</v>
      </c>
      <c r="C152" s="29" t="s">
        <v>1372</v>
      </c>
      <c r="D152" s="148" t="s">
        <v>746</v>
      </c>
      <c r="E152" s="148"/>
      <c r="F152" s="148"/>
      <c r="G152" s="148"/>
      <c r="H152" s="30" t="s">
        <v>720</v>
      </c>
      <c r="I152" s="30"/>
      <c r="J152" s="212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94"/>
      <c r="AA152" s="158"/>
      <c r="AB152" s="158"/>
      <c r="AC152" s="158"/>
      <c r="AD152" s="158"/>
      <c r="AE152" s="158"/>
      <c r="AF152" s="94"/>
      <c r="AG152" s="94"/>
      <c r="AH152" s="158"/>
      <c r="AI152" s="158"/>
      <c r="AJ152" s="158"/>
      <c r="AK152" s="94">
        <f t="shared" si="36"/>
        <v>0</v>
      </c>
      <c r="AL152" s="158"/>
      <c r="AM152" s="94">
        <v>10</v>
      </c>
      <c r="AN152" s="158"/>
      <c r="AO152" s="158"/>
      <c r="AP152" s="158"/>
      <c r="AQ152" s="158"/>
      <c r="AR152" s="158"/>
      <c r="AS152" s="158"/>
      <c r="AT152" s="2">
        <v>1</v>
      </c>
      <c r="AU152" s="58" t="s">
        <v>646</v>
      </c>
      <c r="AV152" s="104"/>
      <c r="AW152" s="51"/>
      <c r="AX152" s="158"/>
      <c r="AY152" s="12">
        <v>17</v>
      </c>
      <c r="AZ152" s="158"/>
      <c r="BA152" s="158"/>
      <c r="BB152" s="158"/>
      <c r="BC152" s="69">
        <v>17</v>
      </c>
      <c r="BD152" s="69">
        <f>+AY152</f>
        <v>17</v>
      </c>
      <c r="BE152" s="69"/>
      <c r="BF152" s="271">
        <v>2018</v>
      </c>
      <c r="BG152" s="271"/>
      <c r="BH152" s="714"/>
      <c r="BI152" s="271" t="s">
        <v>2375</v>
      </c>
    </row>
    <row r="153" spans="1:61" s="204" customFormat="1" ht="18.75" customHeight="1">
      <c r="A153" s="160" t="s">
        <v>503</v>
      </c>
      <c r="B153" s="58" t="s">
        <v>1351</v>
      </c>
      <c r="C153" s="122" t="s">
        <v>744</v>
      </c>
      <c r="D153" s="148" t="s">
        <v>746</v>
      </c>
      <c r="E153" s="148"/>
      <c r="F153" s="148"/>
      <c r="G153" s="148"/>
      <c r="H153" s="30" t="s">
        <v>720</v>
      </c>
      <c r="I153" s="82">
        <v>3024</v>
      </c>
      <c r="J153" s="212">
        <v>43091</v>
      </c>
      <c r="K153" s="158"/>
      <c r="L153" s="158">
        <v>20</v>
      </c>
      <c r="M153" s="158"/>
      <c r="N153" s="158"/>
      <c r="O153" s="158"/>
      <c r="P153" s="158">
        <v>1271997787</v>
      </c>
      <c r="Q153" s="158"/>
      <c r="R153" s="158"/>
      <c r="S153" s="158"/>
      <c r="T153" s="158"/>
      <c r="U153" s="158">
        <v>545398519</v>
      </c>
      <c r="V153" s="158"/>
      <c r="W153" s="158"/>
      <c r="X153" s="158"/>
      <c r="Y153" s="158"/>
      <c r="Z153" s="94">
        <v>726599268</v>
      </c>
      <c r="AA153" s="158">
        <v>10</v>
      </c>
      <c r="AB153" s="311">
        <v>43374</v>
      </c>
      <c r="AC153" s="158"/>
      <c r="AD153" s="158"/>
      <c r="AE153" s="158"/>
      <c r="AF153" s="94">
        <f t="shared" ref="AF153:AF161" si="37">P153-U153-Z153</f>
        <v>0</v>
      </c>
      <c r="AG153" s="94"/>
      <c r="AH153" s="94">
        <v>0</v>
      </c>
      <c r="AI153" s="94">
        <v>0</v>
      </c>
      <c r="AJ153" s="94"/>
      <c r="AK153" s="94">
        <f t="shared" ref="AK153:AK156" si="38">AF153+AH153</f>
        <v>0</v>
      </c>
      <c r="AL153" s="158">
        <v>877</v>
      </c>
      <c r="AM153" s="94">
        <v>10</v>
      </c>
      <c r="AN153" s="158"/>
      <c r="AO153" s="158"/>
      <c r="AP153" s="158"/>
      <c r="AQ153" s="158"/>
      <c r="AR153" s="158"/>
      <c r="AS153" s="158"/>
      <c r="AT153" s="2">
        <v>1</v>
      </c>
      <c r="AU153" s="58" t="s">
        <v>646</v>
      </c>
      <c r="AV153" s="104" t="s">
        <v>1343</v>
      </c>
      <c r="AW153" s="51"/>
      <c r="AX153" s="158"/>
      <c r="AY153" s="158"/>
      <c r="AZ153" s="158">
        <v>20</v>
      </c>
      <c r="BA153" s="158"/>
      <c r="BB153" s="158"/>
      <c r="BC153" s="69"/>
      <c r="BD153" s="69">
        <v>20</v>
      </c>
      <c r="BE153" s="69"/>
      <c r="BF153" s="271">
        <v>2019</v>
      </c>
      <c r="BG153" s="271">
        <v>2019</v>
      </c>
      <c r="BH153" s="271"/>
      <c r="BI153" s="271" t="s">
        <v>2375</v>
      </c>
    </row>
    <row r="154" spans="1:61" s="204" customFormat="1" ht="18.75" customHeight="1">
      <c r="A154" s="160" t="s">
        <v>503</v>
      </c>
      <c r="B154" s="58" t="s">
        <v>1351</v>
      </c>
      <c r="C154" s="122" t="s">
        <v>744</v>
      </c>
      <c r="D154" s="148" t="s">
        <v>746</v>
      </c>
      <c r="E154" s="148"/>
      <c r="F154" s="148"/>
      <c r="G154" s="148"/>
      <c r="H154" s="30" t="s">
        <v>720</v>
      </c>
      <c r="I154" s="82">
        <v>3024</v>
      </c>
      <c r="J154" s="212">
        <v>43091</v>
      </c>
      <c r="K154" s="158"/>
      <c r="L154" s="158">
        <v>2</v>
      </c>
      <c r="M154" s="158"/>
      <c r="N154" s="158"/>
      <c r="O154" s="158"/>
      <c r="P154" s="158">
        <v>127199779</v>
      </c>
      <c r="Q154" s="158"/>
      <c r="R154" s="158"/>
      <c r="S154" s="158"/>
      <c r="T154" s="158"/>
      <c r="U154" s="158">
        <v>54539852</v>
      </c>
      <c r="V154" s="158"/>
      <c r="W154" s="158"/>
      <c r="X154" s="158"/>
      <c r="Y154" s="158"/>
      <c r="Z154" s="94">
        <v>72659927</v>
      </c>
      <c r="AA154" s="158">
        <v>10</v>
      </c>
      <c r="AB154" s="311">
        <v>43374</v>
      </c>
      <c r="AC154" s="158"/>
      <c r="AD154" s="158"/>
      <c r="AE154" s="158"/>
      <c r="AF154" s="94">
        <f t="shared" si="37"/>
        <v>0</v>
      </c>
      <c r="AG154" s="94"/>
      <c r="AH154" s="94">
        <v>0</v>
      </c>
      <c r="AI154" s="94">
        <v>0</v>
      </c>
      <c r="AJ154" s="94"/>
      <c r="AK154" s="94">
        <f t="shared" si="38"/>
        <v>0</v>
      </c>
      <c r="AL154" s="158">
        <v>877</v>
      </c>
      <c r="AM154" s="94">
        <v>10</v>
      </c>
      <c r="AN154" s="158"/>
      <c r="AO154" s="158"/>
      <c r="AP154" s="158"/>
      <c r="AQ154" s="158"/>
      <c r="AR154" s="158"/>
      <c r="AS154" s="158"/>
      <c r="AT154" s="2">
        <v>1</v>
      </c>
      <c r="AU154" s="58" t="s">
        <v>646</v>
      </c>
      <c r="AV154" s="104" t="s">
        <v>1343</v>
      </c>
      <c r="AW154" s="51"/>
      <c r="AX154" s="158"/>
      <c r="AY154" s="158"/>
      <c r="AZ154" s="158">
        <v>2</v>
      </c>
      <c r="BA154" s="158"/>
      <c r="BB154" s="158"/>
      <c r="BC154" s="69"/>
      <c r="BD154" s="69">
        <v>2</v>
      </c>
      <c r="BE154" s="69"/>
      <c r="BF154" s="271">
        <v>2019</v>
      </c>
      <c r="BG154" s="271">
        <v>2019</v>
      </c>
      <c r="BH154" s="271"/>
      <c r="BI154" s="271" t="s">
        <v>2375</v>
      </c>
    </row>
    <row r="155" spans="1:61" s="204" customFormat="1" ht="18.75" customHeight="1">
      <c r="A155" s="160" t="s">
        <v>503</v>
      </c>
      <c r="B155" s="58" t="s">
        <v>63</v>
      </c>
      <c r="C155" s="122" t="s">
        <v>747</v>
      </c>
      <c r="D155" s="148" t="s">
        <v>69</v>
      </c>
      <c r="E155" s="148"/>
      <c r="F155" s="148"/>
      <c r="G155" s="148"/>
      <c r="H155" s="30" t="s">
        <v>731</v>
      </c>
      <c r="I155" s="30">
        <v>3129</v>
      </c>
      <c r="J155" s="212">
        <v>43098</v>
      </c>
      <c r="K155" s="158"/>
      <c r="L155" s="158"/>
      <c r="M155" s="158">
        <v>31</v>
      </c>
      <c r="N155" s="158"/>
      <c r="O155" s="158">
        <v>31</v>
      </c>
      <c r="P155" s="158">
        <v>2147169031</v>
      </c>
      <c r="Q155" s="158"/>
      <c r="R155" s="158"/>
      <c r="S155" s="158"/>
      <c r="T155" s="158"/>
      <c r="U155" s="158">
        <v>943652044</v>
      </c>
      <c r="V155" s="158"/>
      <c r="W155" s="158"/>
      <c r="X155" s="158"/>
      <c r="Y155" s="158"/>
      <c r="Z155" s="94">
        <v>1203516987</v>
      </c>
      <c r="AA155" s="158">
        <v>10</v>
      </c>
      <c r="AB155" s="311">
        <v>43374</v>
      </c>
      <c r="AC155" s="158"/>
      <c r="AD155" s="158"/>
      <c r="AE155" s="158"/>
      <c r="AF155" s="94">
        <f t="shared" si="37"/>
        <v>0</v>
      </c>
      <c r="AG155" s="94"/>
      <c r="AH155" s="94">
        <v>0</v>
      </c>
      <c r="AI155" s="94">
        <v>0</v>
      </c>
      <c r="AJ155" s="94"/>
      <c r="AK155" s="158">
        <f>P155-R155-U155-Z155</f>
        <v>0</v>
      </c>
      <c r="AL155" s="158">
        <v>877</v>
      </c>
      <c r="AM155" s="94"/>
      <c r="AN155" s="158"/>
      <c r="AO155" s="158"/>
      <c r="AP155" s="158"/>
      <c r="AQ155" s="158"/>
      <c r="AR155" s="158">
        <v>31</v>
      </c>
      <c r="AS155" s="158"/>
      <c r="AT155" s="2">
        <v>0.63519999999999999</v>
      </c>
      <c r="AU155" s="58" t="s">
        <v>986</v>
      </c>
      <c r="AV155" s="104"/>
      <c r="AW155" s="51"/>
      <c r="AX155" s="158"/>
      <c r="AY155" s="158"/>
      <c r="AZ155" s="158"/>
      <c r="BA155" s="158"/>
      <c r="BB155" s="158"/>
      <c r="BC155" s="69"/>
      <c r="BD155" s="69"/>
      <c r="BE155" s="69"/>
      <c r="BF155" s="271"/>
      <c r="BG155" s="271">
        <v>2019</v>
      </c>
      <c r="BH155" s="430">
        <v>2020</v>
      </c>
      <c r="BI155" s="271" t="s">
        <v>2375</v>
      </c>
    </row>
    <row r="156" spans="1:61" s="204" customFormat="1" ht="18.75" customHeight="1">
      <c r="A156" s="230" t="s">
        <v>503</v>
      </c>
      <c r="B156" s="58" t="s">
        <v>63</v>
      </c>
      <c r="C156" s="28" t="s">
        <v>989</v>
      </c>
      <c r="D156" s="237" t="s">
        <v>67</v>
      </c>
      <c r="E156" s="237"/>
      <c r="F156" s="237"/>
      <c r="G156" s="237"/>
      <c r="H156" s="30" t="s">
        <v>968</v>
      </c>
      <c r="I156" s="30">
        <v>561</v>
      </c>
      <c r="J156" s="212">
        <v>43175</v>
      </c>
      <c r="K156" s="158">
        <f>99-2</f>
        <v>97</v>
      </c>
      <c r="L156" s="158">
        <v>97</v>
      </c>
      <c r="M156" s="158"/>
      <c r="N156" s="158"/>
      <c r="O156" s="158"/>
      <c r="P156" s="158">
        <f>6226530874-125788503</f>
        <v>6100742371</v>
      </c>
      <c r="Q156" s="158"/>
      <c r="R156" s="158"/>
      <c r="S156" s="158"/>
      <c r="T156" s="158"/>
      <c r="U156" s="158">
        <v>2706125777</v>
      </c>
      <c r="V156" s="158">
        <v>10</v>
      </c>
      <c r="W156" s="158"/>
      <c r="X156" s="158"/>
      <c r="Y156" s="158"/>
      <c r="Z156" s="94">
        <v>3394616594</v>
      </c>
      <c r="AA156" s="158">
        <v>10</v>
      </c>
      <c r="AB156" s="311">
        <v>43405</v>
      </c>
      <c r="AC156" s="5"/>
      <c r="AD156" s="5"/>
      <c r="AE156" s="158"/>
      <c r="AF156" s="94">
        <f t="shared" si="37"/>
        <v>0</v>
      </c>
      <c r="AG156" s="94"/>
      <c r="AH156" s="94">
        <v>0</v>
      </c>
      <c r="AI156" s="94">
        <v>0</v>
      </c>
      <c r="AJ156" s="94"/>
      <c r="AK156" s="94">
        <f t="shared" si="38"/>
        <v>0</v>
      </c>
      <c r="AL156" s="158">
        <v>877</v>
      </c>
      <c r="AM156" s="94">
        <v>10</v>
      </c>
      <c r="AN156" s="158"/>
      <c r="AO156" s="158"/>
      <c r="AP156" s="158"/>
      <c r="AQ156" s="158"/>
      <c r="AR156" s="158"/>
      <c r="AS156" s="158"/>
      <c r="AT156" s="2">
        <v>1</v>
      </c>
      <c r="AU156" s="58" t="s">
        <v>646</v>
      </c>
      <c r="AV156" s="104"/>
      <c r="AW156" s="51"/>
      <c r="AX156" s="158"/>
      <c r="AY156" s="158"/>
      <c r="AZ156" s="158">
        <v>97</v>
      </c>
      <c r="BA156" s="158"/>
      <c r="BB156" s="158"/>
      <c r="BC156" s="69"/>
      <c r="BD156" s="69">
        <v>97</v>
      </c>
      <c r="BE156" s="69"/>
      <c r="BF156" s="271">
        <v>2019</v>
      </c>
      <c r="BG156" s="271">
        <v>2019</v>
      </c>
      <c r="BH156" s="271"/>
      <c r="BI156" s="271" t="s">
        <v>2375</v>
      </c>
    </row>
    <row r="157" spans="1:61" s="204" customFormat="1" ht="18.75" customHeight="1">
      <c r="A157" s="160" t="s">
        <v>503</v>
      </c>
      <c r="B157" s="58" t="s">
        <v>63</v>
      </c>
      <c r="C157" s="58" t="s">
        <v>989</v>
      </c>
      <c r="D157" s="148" t="s">
        <v>67</v>
      </c>
      <c r="E157" s="148"/>
      <c r="F157" s="148"/>
      <c r="G157" s="148"/>
      <c r="H157" s="30" t="s">
        <v>968</v>
      </c>
      <c r="I157" s="226">
        <v>561</v>
      </c>
      <c r="J157" s="212">
        <v>43175</v>
      </c>
      <c r="K157" s="158"/>
      <c r="L157" s="158"/>
      <c r="M157" s="158">
        <v>1</v>
      </c>
      <c r="N157" s="158"/>
      <c r="O157" s="158">
        <v>1</v>
      </c>
      <c r="P157" s="158">
        <v>62894251</v>
      </c>
      <c r="Q157" s="158"/>
      <c r="R157" s="158"/>
      <c r="S157" s="158"/>
      <c r="T157" s="158"/>
      <c r="U157" s="158"/>
      <c r="V157" s="158"/>
      <c r="W157" s="158"/>
      <c r="X157" s="158"/>
      <c r="Y157" s="158"/>
      <c r="Z157" s="94"/>
      <c r="AA157" s="69">
        <v>10</v>
      </c>
      <c r="AB157" s="69"/>
      <c r="AC157" s="69"/>
      <c r="AD157" s="69">
        <v>62894251</v>
      </c>
      <c r="AE157" s="158"/>
      <c r="AF157" s="158">
        <f t="shared" si="37"/>
        <v>62894251</v>
      </c>
      <c r="AG157" s="158"/>
      <c r="AH157" s="94">
        <v>0</v>
      </c>
      <c r="AI157" s="94">
        <v>0</v>
      </c>
      <c r="AJ157" s="94"/>
      <c r="AK157" s="75">
        <f>P157-R157-U157-Z157-AD157</f>
        <v>0</v>
      </c>
      <c r="AL157" s="72">
        <v>877</v>
      </c>
      <c r="AM157" s="175">
        <v>10</v>
      </c>
      <c r="AN157" s="158"/>
      <c r="AO157" s="158"/>
      <c r="AP157" s="158"/>
      <c r="AQ157" s="158"/>
      <c r="AR157" s="158"/>
      <c r="AS157" s="158">
        <v>1</v>
      </c>
      <c r="AT157" s="2">
        <v>0</v>
      </c>
      <c r="AU157" s="58" t="s">
        <v>687</v>
      </c>
      <c r="AV157" s="104" t="s">
        <v>2351</v>
      </c>
      <c r="AW157" s="51"/>
      <c r="AX157" s="158"/>
      <c r="AY157" s="158"/>
      <c r="AZ157" s="158"/>
      <c r="BA157" s="158"/>
      <c r="BB157" s="158"/>
      <c r="BC157" s="69"/>
      <c r="BD157" s="69"/>
      <c r="BE157" s="69">
        <v>1</v>
      </c>
      <c r="BF157" s="271" t="s">
        <v>2200</v>
      </c>
      <c r="BG157" s="271">
        <v>2019</v>
      </c>
      <c r="BH157" s="271">
        <v>2020</v>
      </c>
      <c r="BI157" s="271" t="s">
        <v>2375</v>
      </c>
    </row>
    <row r="158" spans="1:61" s="204" customFormat="1" ht="18.75" customHeight="1">
      <c r="A158" s="160" t="s">
        <v>503</v>
      </c>
      <c r="B158" s="58" t="s">
        <v>63</v>
      </c>
      <c r="C158" s="58" t="s">
        <v>989</v>
      </c>
      <c r="D158" s="148" t="s">
        <v>67</v>
      </c>
      <c r="E158" s="148"/>
      <c r="F158" s="148"/>
      <c r="G158" s="148"/>
      <c r="H158" s="30" t="s">
        <v>968</v>
      </c>
      <c r="I158" s="226">
        <v>561</v>
      </c>
      <c r="J158" s="212">
        <v>43175</v>
      </c>
      <c r="K158" s="158"/>
      <c r="L158" s="158"/>
      <c r="M158" s="158">
        <v>1</v>
      </c>
      <c r="N158" s="69"/>
      <c r="O158" s="69">
        <v>1</v>
      </c>
      <c r="P158" s="69">
        <v>62894252</v>
      </c>
      <c r="Q158" s="69"/>
      <c r="R158" s="158"/>
      <c r="S158" s="158"/>
      <c r="T158" s="61"/>
      <c r="U158" s="5"/>
      <c r="V158" s="5"/>
      <c r="W158" s="5"/>
      <c r="X158" s="5"/>
      <c r="Y158" s="5"/>
      <c r="Z158" s="233"/>
      <c r="AA158" s="69">
        <v>10</v>
      </c>
      <c r="AB158" s="69"/>
      <c r="AC158" s="69"/>
      <c r="AD158" s="69">
        <v>62894252</v>
      </c>
      <c r="AE158" s="158"/>
      <c r="AF158" s="158">
        <f t="shared" si="37"/>
        <v>62894252</v>
      </c>
      <c r="AG158" s="158"/>
      <c r="AH158" s="94">
        <v>0</v>
      </c>
      <c r="AI158" s="94">
        <v>0</v>
      </c>
      <c r="AJ158" s="94"/>
      <c r="AK158" s="75">
        <f>P158-R158-U158-Z158-AD158</f>
        <v>0</v>
      </c>
      <c r="AL158" s="72">
        <v>877</v>
      </c>
      <c r="AM158" s="175">
        <v>10</v>
      </c>
      <c r="AN158" s="158"/>
      <c r="AO158" s="158"/>
      <c r="AP158" s="158"/>
      <c r="AQ158" s="158"/>
      <c r="AR158" s="158"/>
      <c r="AS158" s="158">
        <v>1</v>
      </c>
      <c r="AT158" s="2">
        <v>0</v>
      </c>
      <c r="AU158" s="58" t="s">
        <v>687</v>
      </c>
      <c r="AV158" s="104" t="s">
        <v>2351</v>
      </c>
      <c r="AW158" s="51"/>
      <c r="AX158" s="158"/>
      <c r="AY158" s="158"/>
      <c r="AZ158" s="158"/>
      <c r="BA158" s="158"/>
      <c r="BB158" s="158"/>
      <c r="BC158" s="69"/>
      <c r="BD158" s="69"/>
      <c r="BE158" s="69">
        <v>1</v>
      </c>
      <c r="BF158" s="271" t="s">
        <v>2200</v>
      </c>
      <c r="BG158" s="271">
        <v>2019</v>
      </c>
      <c r="BH158" s="271">
        <v>2020</v>
      </c>
      <c r="BI158" s="271" t="s">
        <v>2375</v>
      </c>
    </row>
    <row r="159" spans="1:61" s="204" customFormat="1" ht="18.75" customHeight="1">
      <c r="A159" s="248" t="s">
        <v>503</v>
      </c>
      <c r="B159" s="58" t="s">
        <v>62</v>
      </c>
      <c r="C159" s="251" t="s">
        <v>1018</v>
      </c>
      <c r="D159" s="259" t="s">
        <v>1336</v>
      </c>
      <c r="E159" s="259"/>
      <c r="F159" s="259"/>
      <c r="G159" s="259"/>
      <c r="H159" s="30" t="s">
        <v>968</v>
      </c>
      <c r="I159" s="30">
        <v>1180</v>
      </c>
      <c r="J159" s="212">
        <v>43251</v>
      </c>
      <c r="K159" s="158">
        <v>50</v>
      </c>
      <c r="L159" s="158">
        <v>50</v>
      </c>
      <c r="M159" s="158"/>
      <c r="N159" s="69"/>
      <c r="O159" s="69"/>
      <c r="P159" s="69">
        <v>3017365748</v>
      </c>
      <c r="Q159" s="69"/>
      <c r="R159" s="320"/>
      <c r="S159" s="158"/>
      <c r="T159" s="61"/>
      <c r="U159" s="472">
        <v>1258999334</v>
      </c>
      <c r="V159" s="158"/>
      <c r="W159" s="158"/>
      <c r="X159" s="158"/>
      <c r="Y159" s="158"/>
      <c r="Z159" s="94">
        <v>1758366414</v>
      </c>
      <c r="AA159" s="158">
        <v>10</v>
      </c>
      <c r="AB159" s="311">
        <v>43374</v>
      </c>
      <c r="AC159" s="92"/>
      <c r="AD159" s="92"/>
      <c r="AE159" s="158"/>
      <c r="AF159" s="94">
        <f t="shared" si="37"/>
        <v>0</v>
      </c>
      <c r="AG159" s="94"/>
      <c r="AH159" s="94">
        <v>0</v>
      </c>
      <c r="AI159" s="94">
        <v>0</v>
      </c>
      <c r="AJ159" s="94"/>
      <c r="AK159" s="94">
        <f t="shared" ref="AK159:AK161" si="39">AF159+AH159</f>
        <v>0</v>
      </c>
      <c r="AL159" s="158">
        <v>877</v>
      </c>
      <c r="AM159" s="94"/>
      <c r="AN159" s="158"/>
      <c r="AO159" s="158"/>
      <c r="AP159" s="158"/>
      <c r="AQ159" s="158"/>
      <c r="AR159" s="158"/>
      <c r="AS159" s="158"/>
      <c r="AT159" s="2">
        <v>1</v>
      </c>
      <c r="AU159" s="58" t="s">
        <v>646</v>
      </c>
      <c r="AV159" s="7" t="s">
        <v>1343</v>
      </c>
      <c r="AW159" s="51"/>
      <c r="AX159" s="158"/>
      <c r="AY159" s="158"/>
      <c r="AZ159" s="158">
        <v>50</v>
      </c>
      <c r="BA159" s="158"/>
      <c r="BB159" s="158"/>
      <c r="BC159" s="69"/>
      <c r="BD159" s="69">
        <v>50</v>
      </c>
      <c r="BE159" s="69"/>
      <c r="BF159" s="271">
        <v>2019</v>
      </c>
      <c r="BG159" s="271">
        <v>2019</v>
      </c>
      <c r="BH159" s="271"/>
      <c r="BI159" s="271" t="s">
        <v>2375</v>
      </c>
    </row>
    <row r="160" spans="1:61" s="204" customFormat="1" ht="18.75" customHeight="1">
      <c r="A160" s="230" t="s">
        <v>503</v>
      </c>
      <c r="B160" s="58" t="s">
        <v>62</v>
      </c>
      <c r="C160" s="58" t="s">
        <v>1065</v>
      </c>
      <c r="D160" s="148" t="s">
        <v>1336</v>
      </c>
      <c r="E160" s="148"/>
      <c r="F160" s="148"/>
      <c r="G160" s="148"/>
      <c r="H160" s="30" t="s">
        <v>1058</v>
      </c>
      <c r="I160" s="30">
        <v>27</v>
      </c>
      <c r="J160" s="212">
        <v>43363</v>
      </c>
      <c r="K160" s="158">
        <v>40</v>
      </c>
      <c r="L160" s="158">
        <v>40</v>
      </c>
      <c r="M160" s="158"/>
      <c r="N160" s="69"/>
      <c r="O160" s="69"/>
      <c r="P160" s="69">
        <v>2370757505</v>
      </c>
      <c r="Q160" s="69"/>
      <c r="R160" s="321"/>
      <c r="S160" s="158"/>
      <c r="T160" s="61"/>
      <c r="U160" s="92">
        <v>988872691</v>
      </c>
      <c r="V160" s="92">
        <v>10</v>
      </c>
      <c r="W160" s="311">
        <v>43344</v>
      </c>
      <c r="X160" s="92"/>
      <c r="Y160" s="92"/>
      <c r="Z160" s="254">
        <v>1381884814</v>
      </c>
      <c r="AA160" s="158">
        <v>10</v>
      </c>
      <c r="AB160" s="311">
        <v>43525</v>
      </c>
      <c r="AC160" s="311"/>
      <c r="AD160" s="158"/>
      <c r="AE160" s="158"/>
      <c r="AF160" s="94">
        <f t="shared" si="37"/>
        <v>0</v>
      </c>
      <c r="AG160" s="94"/>
      <c r="AH160" s="94">
        <v>0</v>
      </c>
      <c r="AI160" s="94">
        <v>0</v>
      </c>
      <c r="AJ160" s="94"/>
      <c r="AK160" s="94">
        <f t="shared" si="39"/>
        <v>0</v>
      </c>
      <c r="AL160" s="158">
        <v>877</v>
      </c>
      <c r="AM160" s="94">
        <v>10</v>
      </c>
      <c r="AN160" s="158"/>
      <c r="AO160" s="158"/>
      <c r="AP160" s="158"/>
      <c r="AQ160" s="158"/>
      <c r="AR160" s="158"/>
      <c r="AS160" s="158"/>
      <c r="AT160" s="2">
        <v>1</v>
      </c>
      <c r="AU160" s="58" t="s">
        <v>646</v>
      </c>
      <c r="AV160" s="104"/>
      <c r="AW160" s="51"/>
      <c r="AX160" s="158"/>
      <c r="AY160" s="158"/>
      <c r="AZ160" s="158">
        <v>40</v>
      </c>
      <c r="BA160" s="158"/>
      <c r="BB160" s="158"/>
      <c r="BC160" s="69"/>
      <c r="BD160" s="69">
        <v>40</v>
      </c>
      <c r="BE160" s="69"/>
      <c r="BF160" s="271">
        <v>2019</v>
      </c>
      <c r="BG160" s="271">
        <v>2019</v>
      </c>
      <c r="BH160" s="271"/>
      <c r="BI160" s="271" t="s">
        <v>2375</v>
      </c>
    </row>
    <row r="161" spans="1:61 16195:16286" s="204" customFormat="1" ht="18.75" customHeight="1">
      <c r="A161" s="160" t="s">
        <v>503</v>
      </c>
      <c r="B161" s="58" t="s">
        <v>63</v>
      </c>
      <c r="C161" s="58" t="s">
        <v>1241</v>
      </c>
      <c r="D161" s="148" t="s">
        <v>1021</v>
      </c>
      <c r="E161" s="148"/>
      <c r="F161" s="148"/>
      <c r="G161" s="148"/>
      <c r="H161" s="30" t="s">
        <v>1232</v>
      </c>
      <c r="I161" s="30">
        <v>475</v>
      </c>
      <c r="J161" s="212">
        <v>43537</v>
      </c>
      <c r="K161" s="158"/>
      <c r="L161" s="158">
        <v>40</v>
      </c>
      <c r="M161" s="158"/>
      <c r="N161" s="69"/>
      <c r="O161" s="69"/>
      <c r="P161" s="69">
        <v>3183076232</v>
      </c>
      <c r="Q161" s="69"/>
      <c r="R161" s="322"/>
      <c r="S161" s="158"/>
      <c r="T161" s="61"/>
      <c r="U161" s="158">
        <v>1715103392</v>
      </c>
      <c r="V161" s="158">
        <v>10</v>
      </c>
      <c r="W161" s="311">
        <v>43525</v>
      </c>
      <c r="X161" s="311"/>
      <c r="Y161" s="311"/>
      <c r="Z161" s="94">
        <v>1467972840</v>
      </c>
      <c r="AA161" s="69">
        <v>10</v>
      </c>
      <c r="AB161" s="311">
        <v>43647</v>
      </c>
      <c r="AC161" s="577"/>
      <c r="AD161" s="69"/>
      <c r="AE161" s="158"/>
      <c r="AF161" s="94">
        <f t="shared" si="37"/>
        <v>0</v>
      </c>
      <c r="AG161" s="94"/>
      <c r="AH161" s="94">
        <v>0</v>
      </c>
      <c r="AI161" s="94">
        <v>0</v>
      </c>
      <c r="AJ161" s="94"/>
      <c r="AK161" s="94">
        <f t="shared" si="39"/>
        <v>0</v>
      </c>
      <c r="AL161" s="158">
        <v>877</v>
      </c>
      <c r="AM161" s="94">
        <v>10</v>
      </c>
      <c r="AN161" s="158"/>
      <c r="AO161" s="158"/>
      <c r="AP161" s="158"/>
      <c r="AQ161" s="158"/>
      <c r="AR161" s="158"/>
      <c r="AS161" s="158"/>
      <c r="AT161" s="2">
        <v>1</v>
      </c>
      <c r="AU161" s="58" t="s">
        <v>646</v>
      </c>
      <c r="AV161" s="104" t="s">
        <v>1839</v>
      </c>
      <c r="AW161" s="51"/>
      <c r="AX161" s="158"/>
      <c r="AY161" s="158"/>
      <c r="AZ161" s="158">
        <v>40</v>
      </c>
      <c r="BA161" s="158"/>
      <c r="BB161" s="158"/>
      <c r="BC161" s="69"/>
      <c r="BD161" s="69">
        <v>40</v>
      </c>
      <c r="BE161" s="69"/>
      <c r="BF161" s="271">
        <v>2019</v>
      </c>
      <c r="BG161" s="271">
        <v>2019</v>
      </c>
      <c r="BH161" s="271"/>
      <c r="BI161" s="271" t="s">
        <v>2375</v>
      </c>
    </row>
    <row r="162" spans="1:61 16195:16286" s="204" customFormat="1" ht="26.25" customHeight="1">
      <c r="A162" s="160" t="s">
        <v>503</v>
      </c>
      <c r="B162" s="58" t="s">
        <v>63</v>
      </c>
      <c r="C162" s="88" t="s">
        <v>1558</v>
      </c>
      <c r="D162" s="148" t="s">
        <v>1561</v>
      </c>
      <c r="E162" s="148"/>
      <c r="F162" s="148"/>
      <c r="G162" s="148"/>
      <c r="H162" s="30" t="s">
        <v>1553</v>
      </c>
      <c r="I162" s="30">
        <v>1643</v>
      </c>
      <c r="J162" s="212">
        <v>43728</v>
      </c>
      <c r="K162" s="158"/>
      <c r="L162" s="158"/>
      <c r="M162" s="158">
        <f>38-1</f>
        <v>37</v>
      </c>
      <c r="N162" s="158">
        <v>37</v>
      </c>
      <c r="O162" s="158"/>
      <c r="P162" s="158">
        <f>3087297739-81244677</f>
        <v>3006053062</v>
      </c>
      <c r="Q162" s="158"/>
      <c r="R162" s="158"/>
      <c r="S162" s="158"/>
      <c r="T162" s="158"/>
      <c r="U162" s="158">
        <v>1638591251</v>
      </c>
      <c r="V162" s="158">
        <v>20</v>
      </c>
      <c r="W162" s="311">
        <v>43739</v>
      </c>
      <c r="X162" s="311"/>
      <c r="Y162" s="311"/>
      <c r="Z162" s="94">
        <v>1367461811</v>
      </c>
      <c r="AA162" s="69">
        <v>20</v>
      </c>
      <c r="AB162" s="311">
        <v>43889</v>
      </c>
      <c r="AC162" s="582"/>
      <c r="AD162" s="284"/>
      <c r="AE162" s="158"/>
      <c r="AF162" s="158">
        <f>P162-U162</f>
        <v>1367461811</v>
      </c>
      <c r="AG162" s="94"/>
      <c r="AH162" s="158">
        <f>P162-U162-Z162</f>
        <v>0</v>
      </c>
      <c r="AI162" s="158">
        <v>1367461811</v>
      </c>
      <c r="AJ162" s="158"/>
      <c r="AK162" s="158">
        <f t="shared" ref="AK162:AK167" si="40">P162-R162-U162-Z162</f>
        <v>0</v>
      </c>
      <c r="AL162" s="158">
        <v>877</v>
      </c>
      <c r="AM162" s="94">
        <v>10</v>
      </c>
      <c r="AN162" s="158"/>
      <c r="AO162" s="158">
        <v>37</v>
      </c>
      <c r="AP162" s="158"/>
      <c r="AQ162" s="158"/>
      <c r="AR162" s="158"/>
      <c r="AS162" s="158"/>
      <c r="AT162" s="2">
        <v>0.88639999999999997</v>
      </c>
      <c r="AU162" s="58" t="s">
        <v>38</v>
      </c>
      <c r="AV162" s="104" t="s">
        <v>2215</v>
      </c>
      <c r="AW162" s="51"/>
      <c r="AX162" s="158"/>
      <c r="AY162" s="158"/>
      <c r="AZ162" s="158"/>
      <c r="BA162" s="158"/>
      <c r="BB162" s="158"/>
      <c r="BC162" s="69"/>
      <c r="BD162" s="69"/>
      <c r="BE162" s="69"/>
      <c r="BF162" s="271"/>
      <c r="BG162" s="271">
        <v>2019</v>
      </c>
      <c r="BH162" s="430">
        <v>2020</v>
      </c>
      <c r="BI162" s="271" t="s">
        <v>2375</v>
      </c>
    </row>
    <row r="163" spans="1:61 16195:16286" s="204" customFormat="1" ht="18.75" customHeight="1">
      <c r="A163" s="160" t="s">
        <v>503</v>
      </c>
      <c r="B163" s="58" t="s">
        <v>63</v>
      </c>
      <c r="C163" s="58" t="s">
        <v>1558</v>
      </c>
      <c r="D163" s="148" t="s">
        <v>1561</v>
      </c>
      <c r="E163" s="148"/>
      <c r="F163" s="148"/>
      <c r="G163" s="148"/>
      <c r="H163" s="30" t="s">
        <v>1553</v>
      </c>
      <c r="I163" s="30">
        <v>1643</v>
      </c>
      <c r="J163" s="212">
        <v>43728</v>
      </c>
      <c r="K163" s="158"/>
      <c r="L163" s="158"/>
      <c r="M163" s="158">
        <v>1</v>
      </c>
      <c r="N163" s="158">
        <v>1</v>
      </c>
      <c r="O163" s="158"/>
      <c r="P163" s="158">
        <v>81244677</v>
      </c>
      <c r="Q163" s="158"/>
      <c r="R163" s="158"/>
      <c r="S163" s="158"/>
      <c r="T163" s="158"/>
      <c r="U163" s="158">
        <v>43875717</v>
      </c>
      <c r="V163" s="158">
        <v>20</v>
      </c>
      <c r="W163" s="311">
        <v>44012</v>
      </c>
      <c r="X163" s="311"/>
      <c r="Y163" s="311"/>
      <c r="Z163" s="94"/>
      <c r="AA163" s="69"/>
      <c r="AB163" s="284"/>
      <c r="AC163" s="284"/>
      <c r="AD163" s="284"/>
      <c r="AE163" s="158"/>
      <c r="AF163" s="158">
        <f>P163-U163-Z163-AH163</f>
        <v>37368960</v>
      </c>
      <c r="AG163" s="158"/>
      <c r="AH163" s="94">
        <v>0</v>
      </c>
      <c r="AI163" s="94">
        <v>81244677</v>
      </c>
      <c r="AJ163" s="94"/>
      <c r="AK163" s="666">
        <f t="shared" si="40"/>
        <v>37368960</v>
      </c>
      <c r="AL163" s="666">
        <v>877</v>
      </c>
      <c r="AM163" s="664">
        <v>20</v>
      </c>
      <c r="AN163" s="158">
        <v>1</v>
      </c>
      <c r="AO163" s="158"/>
      <c r="AP163" s="158"/>
      <c r="AQ163" s="158"/>
      <c r="AR163" s="158"/>
      <c r="AS163" s="158"/>
      <c r="AT163" s="2">
        <v>0</v>
      </c>
      <c r="AU163" s="58" t="s">
        <v>521</v>
      </c>
      <c r="AV163" s="104" t="s">
        <v>2208</v>
      </c>
      <c r="AW163" s="51"/>
      <c r="AX163" s="158"/>
      <c r="AY163" s="158"/>
      <c r="AZ163" s="158"/>
      <c r="BA163" s="158"/>
      <c r="BB163" s="158"/>
      <c r="BC163" s="69"/>
      <c r="BD163" s="69"/>
      <c r="BE163" s="69"/>
      <c r="BF163" s="271"/>
      <c r="BG163" s="271">
        <v>2019</v>
      </c>
      <c r="BH163" s="430">
        <v>2020</v>
      </c>
      <c r="BI163" s="271" t="s">
        <v>2375</v>
      </c>
    </row>
    <row r="164" spans="1:61 16195:16286" s="204" customFormat="1" ht="26.25" customHeight="1">
      <c r="A164" s="160" t="s">
        <v>503</v>
      </c>
      <c r="B164" s="58" t="s">
        <v>1563</v>
      </c>
      <c r="C164" s="88" t="s">
        <v>1559</v>
      </c>
      <c r="D164" s="148" t="s">
        <v>1562</v>
      </c>
      <c r="E164" s="148"/>
      <c r="F164" s="148"/>
      <c r="G164" s="148"/>
      <c r="H164" s="30" t="s">
        <v>1553</v>
      </c>
      <c r="I164" s="30">
        <v>1648</v>
      </c>
      <c r="J164" s="212">
        <v>43728</v>
      </c>
      <c r="K164" s="158"/>
      <c r="L164" s="158"/>
      <c r="M164" s="158">
        <v>44</v>
      </c>
      <c r="N164" s="158">
        <v>44</v>
      </c>
      <c r="O164" s="158"/>
      <c r="P164" s="158">
        <v>3666299351</v>
      </c>
      <c r="Q164" s="158"/>
      <c r="R164" s="158"/>
      <c r="S164" s="158"/>
      <c r="T164" s="158"/>
      <c r="U164" s="94">
        <v>2014607513</v>
      </c>
      <c r="V164" s="158">
        <v>20</v>
      </c>
      <c r="W164" s="311">
        <v>43739</v>
      </c>
      <c r="X164" s="311"/>
      <c r="Y164" s="311"/>
      <c r="Z164" s="94">
        <v>1651691838</v>
      </c>
      <c r="AA164" s="69">
        <v>20</v>
      </c>
      <c r="AB164" s="311">
        <v>43980</v>
      </c>
      <c r="AC164" s="582"/>
      <c r="AD164" s="284"/>
      <c r="AE164" s="158"/>
      <c r="AF164" s="158">
        <f>P164-U164</f>
        <v>1651691838</v>
      </c>
      <c r="AG164" s="94"/>
      <c r="AH164" s="158">
        <f>P164-U164-Z164</f>
        <v>0</v>
      </c>
      <c r="AI164" s="158">
        <v>1651691838</v>
      </c>
      <c r="AJ164" s="158"/>
      <c r="AK164" s="158">
        <f t="shared" si="40"/>
        <v>0</v>
      </c>
      <c r="AL164" s="158">
        <v>877</v>
      </c>
      <c r="AM164" s="94">
        <v>20</v>
      </c>
      <c r="AN164" s="158"/>
      <c r="AO164" s="158">
        <v>44</v>
      </c>
      <c r="AP164" s="158"/>
      <c r="AQ164" s="158"/>
      <c r="AR164" s="158"/>
      <c r="AS164" s="158"/>
      <c r="AT164" s="2">
        <v>0.59630000000000005</v>
      </c>
      <c r="AU164" s="58" t="s">
        <v>38</v>
      </c>
      <c r="AV164" s="104" t="s">
        <v>1565</v>
      </c>
      <c r="AW164" s="51"/>
      <c r="AX164" s="158"/>
      <c r="AY164" s="158"/>
      <c r="AZ164" s="158"/>
      <c r="BA164" s="158"/>
      <c r="BB164" s="158"/>
      <c r="BC164" s="69"/>
      <c r="BD164" s="69"/>
      <c r="BE164" s="69"/>
      <c r="BF164" s="271"/>
      <c r="BG164" s="271">
        <v>2019</v>
      </c>
      <c r="BH164" s="430">
        <v>2020</v>
      </c>
      <c r="BI164" s="271" t="s">
        <v>2375</v>
      </c>
    </row>
    <row r="165" spans="1:61 16195:16286" s="204" customFormat="1" ht="30.75" customHeight="1">
      <c r="A165" s="160" t="s">
        <v>503</v>
      </c>
      <c r="B165" s="58" t="s">
        <v>63</v>
      </c>
      <c r="C165" s="88" t="s">
        <v>1560</v>
      </c>
      <c r="D165" s="148" t="s">
        <v>1564</v>
      </c>
      <c r="E165" s="148"/>
      <c r="F165" s="148"/>
      <c r="G165" s="148"/>
      <c r="H165" s="30" t="s">
        <v>1553</v>
      </c>
      <c r="I165" s="115" t="s">
        <v>2359</v>
      </c>
      <c r="J165" s="215" t="s">
        <v>2360</v>
      </c>
      <c r="K165" s="158"/>
      <c r="L165" s="158"/>
      <c r="M165" s="158">
        <v>21</v>
      </c>
      <c r="N165" s="158">
        <v>21</v>
      </c>
      <c r="O165" s="158"/>
      <c r="P165" s="158">
        <f>1749885529-6191</f>
        <v>1749879338</v>
      </c>
      <c r="Q165" s="158"/>
      <c r="R165" s="158"/>
      <c r="S165" s="158"/>
      <c r="T165" s="158"/>
      <c r="U165" s="158">
        <f>945315744+10656788</f>
        <v>955972532</v>
      </c>
      <c r="V165" s="158">
        <v>20</v>
      </c>
      <c r="W165" s="311">
        <v>43770</v>
      </c>
      <c r="X165" s="311"/>
      <c r="Y165" s="311"/>
      <c r="Z165" s="94">
        <v>793906806</v>
      </c>
      <c r="AA165" s="69">
        <v>20</v>
      </c>
      <c r="AB165" s="311">
        <v>43951</v>
      </c>
      <c r="AC165" s="582"/>
      <c r="AD165" s="284"/>
      <c r="AE165" s="158"/>
      <c r="AF165" s="94">
        <f>P165-U165-AH165</f>
        <v>793906806</v>
      </c>
      <c r="AG165" s="94"/>
      <c r="AH165" s="158">
        <f>P165-U165-Z165</f>
        <v>0</v>
      </c>
      <c r="AI165" s="158">
        <v>793906806</v>
      </c>
      <c r="AJ165" s="158"/>
      <c r="AK165" s="158">
        <f t="shared" si="40"/>
        <v>0</v>
      </c>
      <c r="AL165" s="158">
        <v>877</v>
      </c>
      <c r="AM165" s="94">
        <v>20</v>
      </c>
      <c r="AN165" s="268"/>
      <c r="AO165" s="158">
        <v>21</v>
      </c>
      <c r="AP165" s="158"/>
      <c r="AQ165" s="158"/>
      <c r="AR165" s="158"/>
      <c r="AS165" s="158"/>
      <c r="AT165" s="2">
        <v>0.78359999999999996</v>
      </c>
      <c r="AU165" s="58" t="s">
        <v>38</v>
      </c>
      <c r="AV165" s="104" t="s">
        <v>2177</v>
      </c>
      <c r="AW165" s="51"/>
      <c r="AX165" s="158"/>
      <c r="AY165" s="158"/>
      <c r="AZ165" s="158"/>
      <c r="BA165" s="158"/>
      <c r="BB165" s="158"/>
      <c r="BC165" s="69"/>
      <c r="BD165" s="69"/>
      <c r="BE165" s="69"/>
      <c r="BF165" s="271"/>
      <c r="BG165" s="271">
        <v>2019</v>
      </c>
      <c r="BH165" s="430">
        <v>2020</v>
      </c>
      <c r="BI165" s="271" t="s">
        <v>2375</v>
      </c>
    </row>
    <row r="166" spans="1:61 16195:16286" s="204" customFormat="1" ht="18.75" customHeight="1">
      <c r="A166" s="160" t="s">
        <v>503</v>
      </c>
      <c r="B166" s="58" t="s">
        <v>62</v>
      </c>
      <c r="C166" s="58" t="s">
        <v>1830</v>
      </c>
      <c r="D166" s="148" t="s">
        <v>569</v>
      </c>
      <c r="E166" s="148"/>
      <c r="F166" s="148"/>
      <c r="G166" s="148"/>
      <c r="H166" s="30" t="s">
        <v>1763</v>
      </c>
      <c r="I166" s="30">
        <v>1860</v>
      </c>
      <c r="J166" s="212">
        <v>43766</v>
      </c>
      <c r="K166" s="158"/>
      <c r="L166" s="158"/>
      <c r="M166" s="158">
        <v>56</v>
      </c>
      <c r="N166" s="158">
        <v>56</v>
      </c>
      <c r="O166" s="158"/>
      <c r="P166" s="158">
        <v>4001935138</v>
      </c>
      <c r="Q166" s="158"/>
      <c r="R166" s="158"/>
      <c r="S166" s="158"/>
      <c r="T166" s="158"/>
      <c r="U166" s="158">
        <v>2152378286</v>
      </c>
      <c r="V166" s="158">
        <v>20</v>
      </c>
      <c r="W166" s="311">
        <v>43739</v>
      </c>
      <c r="X166" s="311"/>
      <c r="Y166" s="311"/>
      <c r="Z166" s="158">
        <v>1849556852</v>
      </c>
      <c r="AA166" s="69">
        <v>20</v>
      </c>
      <c r="AB166" s="311">
        <v>43861</v>
      </c>
      <c r="AC166" s="582"/>
      <c r="AD166" s="284"/>
      <c r="AE166" s="158"/>
      <c r="AF166" s="94">
        <f>P166-U166</f>
        <v>1849556852</v>
      </c>
      <c r="AG166" s="158"/>
      <c r="AH166" s="94">
        <v>0</v>
      </c>
      <c r="AI166" s="94">
        <v>1849556852</v>
      </c>
      <c r="AJ166" s="94"/>
      <c r="AK166" s="666">
        <f t="shared" si="40"/>
        <v>0</v>
      </c>
      <c r="AL166" s="666">
        <v>877</v>
      </c>
      <c r="AM166" s="664">
        <v>20</v>
      </c>
      <c r="AN166" s="158"/>
      <c r="AO166" s="158"/>
      <c r="AP166" s="158">
        <v>56</v>
      </c>
      <c r="AQ166" s="158"/>
      <c r="AR166" s="158"/>
      <c r="AS166" s="158"/>
      <c r="AT166" s="4">
        <v>1</v>
      </c>
      <c r="AU166" s="58" t="s">
        <v>646</v>
      </c>
      <c r="AV166" s="104"/>
      <c r="AW166" s="51"/>
      <c r="AX166" s="158"/>
      <c r="AY166" s="158"/>
      <c r="AZ166" s="158"/>
      <c r="BA166" s="158">
        <v>56</v>
      </c>
      <c r="BB166" s="158"/>
      <c r="BC166" s="69"/>
      <c r="BD166" s="69">
        <v>56</v>
      </c>
      <c r="BE166" s="69"/>
      <c r="BF166" s="271">
        <v>2020</v>
      </c>
      <c r="BG166" s="271">
        <v>2019</v>
      </c>
      <c r="BH166" s="430">
        <v>2020</v>
      </c>
      <c r="BI166" s="271" t="s">
        <v>2375</v>
      </c>
    </row>
    <row r="167" spans="1:61 16195:16286" s="204" customFormat="1" ht="18.75" customHeight="1">
      <c r="A167" s="160" t="s">
        <v>503</v>
      </c>
      <c r="B167" s="58" t="s">
        <v>1351</v>
      </c>
      <c r="C167" s="251" t="s">
        <v>1842</v>
      </c>
      <c r="D167" s="259" t="s">
        <v>61</v>
      </c>
      <c r="E167" s="259"/>
      <c r="F167" s="259"/>
      <c r="G167" s="259"/>
      <c r="H167" s="30" t="s">
        <v>1763</v>
      </c>
      <c r="I167" s="30">
        <v>1845</v>
      </c>
      <c r="J167" s="212">
        <v>43763</v>
      </c>
      <c r="K167" s="158"/>
      <c r="L167" s="158"/>
      <c r="M167" s="158">
        <v>6</v>
      </c>
      <c r="N167" s="158">
        <v>6</v>
      </c>
      <c r="O167" s="158"/>
      <c r="P167" s="158">
        <f>425424011-519379</f>
        <v>424904632</v>
      </c>
      <c r="Q167" s="158"/>
      <c r="R167" s="158"/>
      <c r="S167" s="158"/>
      <c r="T167" s="158"/>
      <c r="U167" s="158">
        <v>232365848</v>
      </c>
      <c r="V167" s="158">
        <v>20</v>
      </c>
      <c r="W167" s="311">
        <v>43800</v>
      </c>
      <c r="X167" s="311"/>
      <c r="Y167" s="311"/>
      <c r="Z167" s="158">
        <v>192538784</v>
      </c>
      <c r="AA167" s="69">
        <v>20</v>
      </c>
      <c r="AB167" s="311">
        <v>43920</v>
      </c>
      <c r="AC167" s="582"/>
      <c r="AD167" s="284"/>
      <c r="AE167" s="158"/>
      <c r="AF167" s="94">
        <f>P167-U167</f>
        <v>192538784</v>
      </c>
      <c r="AG167" s="158"/>
      <c r="AH167" s="94">
        <v>0</v>
      </c>
      <c r="AI167" s="94">
        <v>192538784</v>
      </c>
      <c r="AJ167" s="94"/>
      <c r="AK167" s="158">
        <f t="shared" si="40"/>
        <v>0</v>
      </c>
      <c r="AL167" s="158">
        <v>877</v>
      </c>
      <c r="AM167" s="94">
        <v>20</v>
      </c>
      <c r="AO167" s="158">
        <v>6</v>
      </c>
      <c r="AP167" s="158"/>
      <c r="AQ167" s="158"/>
      <c r="AR167" s="158"/>
      <c r="AS167" s="158"/>
      <c r="AT167" s="2">
        <v>0.56889999999999996</v>
      </c>
      <c r="AU167" s="58" t="s">
        <v>38</v>
      </c>
      <c r="AV167" s="104"/>
      <c r="AW167" s="51"/>
      <c r="AX167" s="158"/>
      <c r="AY167" s="158"/>
      <c r="AZ167" s="158"/>
      <c r="BA167" s="158"/>
      <c r="BB167" s="158"/>
      <c r="BC167" s="69"/>
      <c r="BD167" s="69"/>
      <c r="BE167" s="69"/>
      <c r="BF167" s="271"/>
      <c r="BG167" s="271">
        <v>2019</v>
      </c>
      <c r="BH167" s="430">
        <v>2020</v>
      </c>
      <c r="BI167" s="271" t="s">
        <v>2375</v>
      </c>
    </row>
    <row r="168" spans="1:61 16195:16286" s="204" customFormat="1" ht="18.75" customHeight="1">
      <c r="A168" s="160" t="s">
        <v>503</v>
      </c>
      <c r="B168" s="58" t="s">
        <v>62</v>
      </c>
      <c r="C168" s="251" t="s">
        <v>1843</v>
      </c>
      <c r="D168" s="705" t="s">
        <v>1844</v>
      </c>
      <c r="E168" s="705"/>
      <c r="F168" s="705"/>
      <c r="G168" s="705"/>
      <c r="H168" s="30" t="s">
        <v>1763</v>
      </c>
      <c r="I168" s="30">
        <v>1858</v>
      </c>
      <c r="J168" s="212">
        <v>43766</v>
      </c>
      <c r="K168" s="158"/>
      <c r="L168" s="158"/>
      <c r="M168" s="158">
        <v>70</v>
      </c>
      <c r="N168" s="158">
        <v>70</v>
      </c>
      <c r="O168" s="158"/>
      <c r="P168" s="158">
        <v>5706323787</v>
      </c>
      <c r="Q168" s="158"/>
      <c r="R168" s="158">
        <v>767493650</v>
      </c>
      <c r="S168" s="158">
        <v>20</v>
      </c>
      <c r="T168" s="311">
        <v>43800</v>
      </c>
      <c r="U168" s="158">
        <v>2713919723</v>
      </c>
      <c r="V168" s="158">
        <v>20</v>
      </c>
      <c r="W168" s="311">
        <v>43951</v>
      </c>
      <c r="X168" s="311"/>
      <c r="Y168" s="311"/>
      <c r="Z168" s="94"/>
      <c r="AA168" s="69"/>
      <c r="AB168" s="284"/>
      <c r="AC168" s="284"/>
      <c r="AD168" s="284"/>
      <c r="AE168" s="158"/>
      <c r="AF168" s="94">
        <f>P168-R168</f>
        <v>4938830137</v>
      </c>
      <c r="AG168" s="158"/>
      <c r="AH168" s="158"/>
      <c r="AI168" s="158">
        <v>4938830137</v>
      </c>
      <c r="AJ168" s="158"/>
      <c r="AK168" s="158">
        <f>P168-R168-U168-Z168</f>
        <v>2224910414</v>
      </c>
      <c r="AL168" s="158">
        <v>877</v>
      </c>
      <c r="AM168" s="94">
        <v>20</v>
      </c>
      <c r="AN168" s="158"/>
      <c r="AO168" s="158">
        <v>70</v>
      </c>
      <c r="AP168" s="158"/>
      <c r="AQ168" s="158"/>
      <c r="AR168" s="158"/>
      <c r="AS168" s="158"/>
      <c r="AT168" s="2">
        <v>0</v>
      </c>
      <c r="AU168" s="58" t="s">
        <v>38</v>
      </c>
      <c r="AV168" s="104"/>
      <c r="AW168" s="51"/>
      <c r="AX168" s="158"/>
      <c r="AY168" s="158"/>
      <c r="AZ168" s="158"/>
      <c r="BA168" s="158"/>
      <c r="BB168" s="158"/>
      <c r="BC168" s="69"/>
      <c r="BD168" s="69"/>
      <c r="BE168" s="69"/>
      <c r="BF168" s="271"/>
      <c r="BG168" s="271">
        <v>2019</v>
      </c>
      <c r="BH168" s="271">
        <v>2020</v>
      </c>
      <c r="BI168" s="271" t="s">
        <v>2375</v>
      </c>
    </row>
    <row r="169" spans="1:61 16195:16286" ht="14.25" customHeight="1">
      <c r="A169" s="371" t="s">
        <v>504</v>
      </c>
      <c r="B169" s="371"/>
      <c r="C169" s="371"/>
      <c r="D169" s="371"/>
      <c r="E169" s="371"/>
      <c r="F169" s="371"/>
      <c r="G169" s="371"/>
      <c r="H169" s="371"/>
      <c r="I169" s="371"/>
      <c r="J169" s="371"/>
      <c r="K169" s="371">
        <f>SUM(K171:K258)</f>
        <v>212</v>
      </c>
      <c r="L169" s="370">
        <f t="shared" ref="L169:M169" si="41">SUM(L171:L258)</f>
        <v>432</v>
      </c>
      <c r="M169" s="370">
        <f t="shared" si="41"/>
        <v>647</v>
      </c>
      <c r="N169" s="424">
        <f>SUM(N171:N266)</f>
        <v>825</v>
      </c>
      <c r="O169" s="424">
        <f>SUM(O171:O266)</f>
        <v>120</v>
      </c>
      <c r="P169" s="371"/>
      <c r="Q169" s="371"/>
      <c r="R169" s="371"/>
      <c r="S169" s="371"/>
      <c r="T169" s="371"/>
      <c r="U169" s="371"/>
      <c r="V169" s="371"/>
      <c r="W169" s="371"/>
      <c r="X169" s="371"/>
      <c r="Y169" s="371"/>
      <c r="Z169" s="371"/>
      <c r="AA169" s="371"/>
      <c r="AB169" s="371"/>
      <c r="AC169" s="371"/>
      <c r="AD169" s="371"/>
      <c r="AE169" s="371"/>
      <c r="AF169" s="371"/>
      <c r="AG169" s="371"/>
      <c r="AH169" s="371"/>
      <c r="AI169" s="371"/>
      <c r="AJ169" s="371"/>
      <c r="AK169" s="371"/>
      <c r="AL169" s="371"/>
      <c r="AM169" s="371"/>
      <c r="AN169" s="424">
        <f t="shared" ref="AN169:AS169" si="42">SUM(AN171:AN266)</f>
        <v>45</v>
      </c>
      <c r="AO169" s="424">
        <f>SUM(AO171:AO266)</f>
        <v>522</v>
      </c>
      <c r="AP169" s="424">
        <f t="shared" si="42"/>
        <v>260</v>
      </c>
      <c r="AQ169" s="424">
        <f t="shared" si="42"/>
        <v>112</v>
      </c>
      <c r="AR169" s="424">
        <f t="shared" si="42"/>
        <v>0</v>
      </c>
      <c r="AS169" s="424">
        <f t="shared" si="42"/>
        <v>6</v>
      </c>
      <c r="AT169" s="371"/>
      <c r="AU169" s="371"/>
      <c r="AV169" s="385"/>
      <c r="AW169" s="370">
        <f>SUM(AW170:AW257)</f>
        <v>825</v>
      </c>
      <c r="AX169" s="370">
        <f t="shared" ref="AX169:AZ169" si="43">SUM(AX171:AX257)</f>
        <v>249</v>
      </c>
      <c r="AY169" s="370">
        <f t="shared" si="43"/>
        <v>177</v>
      </c>
      <c r="AZ169" s="370">
        <f t="shared" si="43"/>
        <v>382</v>
      </c>
      <c r="BA169" s="424">
        <f t="shared" ref="BA169:BE169" si="44">SUM(BA171:BA266)</f>
        <v>260</v>
      </c>
      <c r="BB169" s="424">
        <f t="shared" si="44"/>
        <v>172</v>
      </c>
      <c r="BC169" s="424">
        <f t="shared" si="44"/>
        <v>5</v>
      </c>
      <c r="BD169" s="424">
        <f t="shared" si="44"/>
        <v>647</v>
      </c>
      <c r="BE169" s="424">
        <f t="shared" si="44"/>
        <v>16</v>
      </c>
      <c r="BF169" s="371"/>
      <c r="BG169" s="371">
        <v>2019</v>
      </c>
      <c r="BH169" s="371">
        <v>2020</v>
      </c>
      <c r="BI169" s="434" t="s">
        <v>2419</v>
      </c>
      <c r="WXW169" s="371"/>
      <c r="WXX169" s="371"/>
      <c r="WXY169" s="371"/>
      <c r="WXZ169" s="371"/>
      <c r="WYA169" s="371"/>
      <c r="WYB169" s="370"/>
      <c r="WYC169" s="370"/>
      <c r="WYD169" s="370"/>
      <c r="WYE169" s="370"/>
      <c r="WYF169" s="370"/>
      <c r="WYG169" s="370"/>
      <c r="WYH169" s="370"/>
      <c r="WYI169" s="370"/>
      <c r="WYJ169" s="370"/>
      <c r="WYK169" s="370"/>
      <c r="WYZ169" s="371"/>
      <c r="WZA169" s="371"/>
      <c r="WZB169" s="371"/>
      <c r="WZC169" s="371"/>
      <c r="WZD169" s="371"/>
      <c r="WZE169" s="370"/>
      <c r="WZF169" s="370"/>
      <c r="XAC169" s="371"/>
      <c r="XAD169" s="371"/>
      <c r="XAE169" s="371"/>
      <c r="XAF169" s="371"/>
      <c r="XAG169" s="371"/>
      <c r="XBF169" s="371"/>
      <c r="XBG169" s="371"/>
      <c r="XBH169" s="371"/>
      <c r="XBI169" s="371"/>
      <c r="XBJ169" s="371"/>
    </row>
    <row r="170" spans="1:61 16195:16286" s="204" customFormat="1" ht="20.25" customHeight="1">
      <c r="A170" s="160" t="s">
        <v>504</v>
      </c>
      <c r="B170" s="58" t="s">
        <v>84</v>
      </c>
      <c r="C170" s="58" t="s">
        <v>709</v>
      </c>
      <c r="D170" s="58" t="s">
        <v>72</v>
      </c>
      <c r="E170" s="58"/>
      <c r="F170" s="58"/>
      <c r="G170" s="58"/>
      <c r="H170" s="30"/>
      <c r="I170" s="30"/>
      <c r="J170" s="212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94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94"/>
      <c r="AN170" s="158"/>
      <c r="AO170" s="158"/>
      <c r="AP170" s="158"/>
      <c r="AQ170" s="158"/>
      <c r="AR170" s="158"/>
      <c r="AS170" s="158"/>
      <c r="AT170" s="2"/>
      <c r="AU170" s="58"/>
      <c r="AV170" s="102"/>
      <c r="AW170" s="158">
        <v>41</v>
      </c>
      <c r="AX170" s="158"/>
      <c r="AY170" s="158"/>
      <c r="AZ170" s="158"/>
      <c r="BA170" s="158"/>
      <c r="BB170" s="158"/>
      <c r="BC170" s="69"/>
      <c r="BD170" s="69"/>
      <c r="BE170" s="69"/>
      <c r="BF170" s="271">
        <v>2016</v>
      </c>
      <c r="BG170" s="271"/>
      <c r="BH170" s="271"/>
      <c r="BI170" s="271" t="s">
        <v>2376</v>
      </c>
    </row>
    <row r="171" spans="1:61 16195:16286" s="204" customFormat="1" ht="15" customHeight="1">
      <c r="A171" s="160" t="s">
        <v>504</v>
      </c>
      <c r="B171" s="58" t="s">
        <v>89</v>
      </c>
      <c r="C171" s="1" t="s">
        <v>632</v>
      </c>
      <c r="D171" s="1" t="s">
        <v>61</v>
      </c>
      <c r="E171" s="1"/>
      <c r="F171" s="1"/>
      <c r="G171" s="1"/>
      <c r="H171" s="30" t="s">
        <v>659</v>
      </c>
      <c r="I171" s="30" t="s">
        <v>1838</v>
      </c>
      <c r="J171" s="212"/>
      <c r="K171" s="158"/>
      <c r="L171" s="158"/>
      <c r="M171" s="158"/>
      <c r="N171" s="158"/>
      <c r="O171" s="158"/>
      <c r="P171" s="158">
        <v>1407557265</v>
      </c>
      <c r="Q171" s="158"/>
      <c r="R171" s="158"/>
      <c r="S171" s="158"/>
      <c r="T171" s="158"/>
      <c r="U171" s="158">
        <v>584016169</v>
      </c>
      <c r="V171" s="323"/>
      <c r="W171" s="158"/>
      <c r="X171" s="158"/>
      <c r="Y171" s="158"/>
      <c r="Z171" s="158">
        <v>823541096</v>
      </c>
      <c r="AA171" s="158"/>
      <c r="AB171" s="158"/>
      <c r="AC171" s="158"/>
      <c r="AD171" s="158"/>
      <c r="AE171" s="158"/>
      <c r="AF171" s="158">
        <f>P171-U171-Z171</f>
        <v>0</v>
      </c>
      <c r="AG171" s="158"/>
      <c r="AH171" s="158"/>
      <c r="AI171" s="158"/>
      <c r="AJ171" s="158"/>
      <c r="AK171" s="158"/>
      <c r="AL171" s="158"/>
      <c r="AM171" s="94"/>
      <c r="AN171" s="158"/>
      <c r="AO171" s="158"/>
      <c r="AP171" s="158"/>
      <c r="AQ171" s="158"/>
      <c r="AR171" s="158"/>
      <c r="AS171" s="158"/>
      <c r="AT171" s="2">
        <v>1</v>
      </c>
      <c r="AU171" s="58" t="s">
        <v>646</v>
      </c>
      <c r="AV171" s="102"/>
      <c r="AW171" s="158"/>
      <c r="AX171" s="158">
        <v>23</v>
      </c>
      <c r="AY171" s="158"/>
      <c r="AZ171" s="158"/>
      <c r="BA171" s="158"/>
      <c r="BB171" s="158"/>
      <c r="BC171" s="69"/>
      <c r="BD171" s="69"/>
      <c r="BE171" s="69"/>
      <c r="BF171" s="271">
        <v>2017</v>
      </c>
      <c r="BG171" s="271"/>
      <c r="BH171" s="271"/>
      <c r="BI171" s="271" t="s">
        <v>2376</v>
      </c>
    </row>
    <row r="172" spans="1:61 16195:16286" s="204" customFormat="1" ht="36.75" customHeight="1">
      <c r="A172" s="160" t="s">
        <v>504</v>
      </c>
      <c r="B172" s="58" t="s">
        <v>89</v>
      </c>
      <c r="C172" s="1" t="s">
        <v>1353</v>
      </c>
      <c r="D172" s="1" t="s">
        <v>61</v>
      </c>
      <c r="E172" s="1"/>
      <c r="F172" s="1"/>
      <c r="G172" s="1"/>
      <c r="H172" s="30" t="s">
        <v>659</v>
      </c>
      <c r="I172" s="30">
        <v>549</v>
      </c>
      <c r="J172" s="212">
        <v>41017</v>
      </c>
      <c r="K172" s="158"/>
      <c r="L172" s="158"/>
      <c r="M172" s="158">
        <v>3</v>
      </c>
      <c r="N172" s="158"/>
      <c r="O172" s="158">
        <v>3</v>
      </c>
      <c r="P172" s="158">
        <v>183490169</v>
      </c>
      <c r="Q172" s="158"/>
      <c r="R172" s="158"/>
      <c r="S172" s="158"/>
      <c r="T172" s="158"/>
      <c r="U172" s="158"/>
      <c r="V172" s="158"/>
      <c r="W172" s="158"/>
      <c r="X172" s="158"/>
      <c r="Y172" s="158"/>
      <c r="Z172" s="94"/>
      <c r="AA172" s="158"/>
      <c r="AB172" s="158"/>
      <c r="AC172" s="158"/>
      <c r="AD172" s="158">
        <v>183490169</v>
      </c>
      <c r="AE172" s="158"/>
      <c r="AF172" s="158">
        <f>P172-U172-Z172</f>
        <v>183490169</v>
      </c>
      <c r="AG172" s="158"/>
      <c r="AH172" s="94">
        <v>0</v>
      </c>
      <c r="AI172" s="674">
        <v>0</v>
      </c>
      <c r="AJ172" s="94"/>
      <c r="AK172" s="75">
        <f>P172-R172-U172-Z172-AD172</f>
        <v>0</v>
      </c>
      <c r="AL172" s="158">
        <v>980</v>
      </c>
      <c r="AM172" s="94"/>
      <c r="AN172" s="158"/>
      <c r="AO172" s="158"/>
      <c r="AP172" s="11"/>
      <c r="AQ172" s="11"/>
      <c r="AR172" s="11"/>
      <c r="AS172" s="12">
        <v>3</v>
      </c>
      <c r="AT172" s="2">
        <v>0</v>
      </c>
      <c r="AU172" s="58" t="s">
        <v>687</v>
      </c>
      <c r="AV172" s="88" t="s">
        <v>2178</v>
      </c>
      <c r="AW172" s="158"/>
      <c r="AX172" s="11"/>
      <c r="AY172" s="11"/>
      <c r="AZ172" s="11"/>
      <c r="BA172" s="11"/>
      <c r="BB172" s="11"/>
      <c r="BC172" s="70"/>
      <c r="BD172" s="70"/>
      <c r="BE172" s="69"/>
      <c r="BF172" s="271"/>
      <c r="BG172" s="271">
        <v>2019</v>
      </c>
      <c r="BH172" s="271">
        <v>2020</v>
      </c>
      <c r="BI172" s="271" t="s">
        <v>2375</v>
      </c>
    </row>
    <row r="173" spans="1:61 16195:16286" s="204" customFormat="1" ht="15" customHeight="1">
      <c r="A173" s="230" t="s">
        <v>504</v>
      </c>
      <c r="B173" s="58" t="s">
        <v>558</v>
      </c>
      <c r="C173" s="28" t="s">
        <v>660</v>
      </c>
      <c r="D173" s="28" t="s">
        <v>90</v>
      </c>
      <c r="E173" s="28"/>
      <c r="F173" s="28"/>
      <c r="G173" s="28"/>
      <c r="H173" s="30" t="s">
        <v>647</v>
      </c>
      <c r="I173" s="30"/>
      <c r="J173" s="212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94"/>
      <c r="AA173" s="158"/>
      <c r="AB173" s="5"/>
      <c r="AC173" s="5"/>
      <c r="AD173" s="5"/>
      <c r="AE173" s="158"/>
      <c r="AF173" s="158">
        <f>P173-U173-Z173</f>
        <v>0</v>
      </c>
      <c r="AG173" s="158"/>
      <c r="AH173" s="158"/>
      <c r="AI173" s="158"/>
      <c r="AJ173" s="158"/>
      <c r="AK173" s="158"/>
      <c r="AL173" s="158"/>
      <c r="AM173" s="94"/>
      <c r="AN173" s="158"/>
      <c r="AO173" s="158"/>
      <c r="AP173" s="12"/>
      <c r="AQ173" s="12"/>
      <c r="AR173" s="12"/>
      <c r="AS173" s="12"/>
      <c r="AT173" s="2">
        <v>1</v>
      </c>
      <c r="AU173" s="58" t="s">
        <v>646</v>
      </c>
      <c r="AV173" s="106"/>
      <c r="AW173" s="158"/>
      <c r="AX173" s="12"/>
      <c r="AY173" s="688">
        <v>35</v>
      </c>
      <c r="AZ173" s="12"/>
      <c r="BA173" s="12"/>
      <c r="BB173" s="12">
        <v>35</v>
      </c>
      <c r="BC173" s="285"/>
      <c r="BD173" s="285"/>
      <c r="BE173" s="69"/>
      <c r="BF173" s="271">
        <v>2018</v>
      </c>
      <c r="BG173" s="271"/>
      <c r="BH173" s="271"/>
      <c r="BI173" s="271" t="s">
        <v>2376</v>
      </c>
    </row>
    <row r="174" spans="1:61 16195:16286" s="204" customFormat="1" ht="50.25" customHeight="1">
      <c r="A174" s="160" t="s">
        <v>504</v>
      </c>
      <c r="B174" s="58" t="s">
        <v>84</v>
      </c>
      <c r="C174" s="88" t="s">
        <v>711</v>
      </c>
      <c r="D174" s="58" t="s">
        <v>45</v>
      </c>
      <c r="E174" s="58"/>
      <c r="F174" s="58"/>
      <c r="G174" s="58"/>
      <c r="H174" s="30" t="s">
        <v>647</v>
      </c>
      <c r="I174" s="272" t="s">
        <v>1544</v>
      </c>
      <c r="J174" s="212" t="s">
        <v>1543</v>
      </c>
      <c r="K174" s="158"/>
      <c r="L174" s="158"/>
      <c r="M174" s="158"/>
      <c r="N174" s="158"/>
      <c r="O174" s="158"/>
      <c r="P174" s="158">
        <v>1014022937</v>
      </c>
      <c r="Q174" s="158"/>
      <c r="R174" s="158"/>
      <c r="S174" s="158"/>
      <c r="T174" s="158"/>
      <c r="U174" s="94">
        <v>421828391</v>
      </c>
      <c r="V174" s="158">
        <v>10</v>
      </c>
      <c r="W174" s="158"/>
      <c r="X174" s="158"/>
      <c r="Y174" s="158"/>
      <c r="Z174" s="94">
        <v>592194546</v>
      </c>
      <c r="AA174" s="69">
        <v>20</v>
      </c>
      <c r="AB174" s="69"/>
      <c r="AC174" s="69"/>
      <c r="AD174" s="69"/>
      <c r="AE174" s="158"/>
      <c r="AF174" s="158">
        <f>P174-U174-Z174</f>
        <v>0</v>
      </c>
      <c r="AG174" s="158"/>
      <c r="AH174" s="158"/>
      <c r="AI174" s="158"/>
      <c r="AJ174" s="158"/>
      <c r="AK174" s="158"/>
      <c r="AL174" s="158">
        <v>877</v>
      </c>
      <c r="AM174" s="94">
        <v>10</v>
      </c>
      <c r="AN174" s="158"/>
      <c r="AO174" s="158"/>
      <c r="AP174" s="158"/>
      <c r="AQ174" s="158"/>
      <c r="AR174" s="158"/>
      <c r="AS174" s="158"/>
      <c r="AT174" s="2"/>
      <c r="AU174" s="58"/>
      <c r="AV174" s="106"/>
      <c r="AW174" s="158">
        <v>18</v>
      </c>
      <c r="AX174" s="158"/>
      <c r="AY174" s="158"/>
      <c r="AZ174" s="158"/>
      <c r="BA174" s="158"/>
      <c r="BB174" s="158"/>
      <c r="BC174" s="69"/>
      <c r="BD174" s="69"/>
      <c r="BE174" s="69"/>
      <c r="BF174" s="271">
        <v>2016</v>
      </c>
      <c r="BG174" s="271">
        <v>2016</v>
      </c>
      <c r="BH174" s="271"/>
      <c r="BI174" s="271" t="s">
        <v>2376</v>
      </c>
    </row>
    <row r="175" spans="1:61 16195:16286" s="204" customFormat="1" ht="15" customHeight="1">
      <c r="A175" s="248" t="s">
        <v>504</v>
      </c>
      <c r="B175" s="58" t="s">
        <v>84</v>
      </c>
      <c r="C175" s="3" t="s">
        <v>73</v>
      </c>
      <c r="D175" s="3" t="s">
        <v>72</v>
      </c>
      <c r="E175" s="3"/>
      <c r="F175" s="3"/>
      <c r="G175" s="3"/>
      <c r="H175" s="30"/>
      <c r="I175" s="58"/>
      <c r="J175" s="212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94"/>
      <c r="AA175" s="158"/>
      <c r="AB175" s="92"/>
      <c r="AC175" s="92"/>
      <c r="AD175" s="92"/>
      <c r="AE175" s="158"/>
      <c r="AF175" s="158"/>
      <c r="AG175" s="158"/>
      <c r="AH175" s="158"/>
      <c r="AI175" s="158"/>
      <c r="AJ175" s="158"/>
      <c r="AK175" s="158"/>
      <c r="AL175" s="158"/>
      <c r="AM175" s="94"/>
      <c r="AN175" s="158"/>
      <c r="AO175" s="158"/>
      <c r="AP175" s="158"/>
      <c r="AQ175" s="158"/>
      <c r="AR175" s="158"/>
      <c r="AS175" s="158"/>
      <c r="AT175" s="2"/>
      <c r="AU175" s="58"/>
      <c r="AV175" s="106"/>
      <c r="AW175" s="158">
        <f>54-1</f>
        <v>53</v>
      </c>
      <c r="AX175" s="158"/>
      <c r="AY175" s="158"/>
      <c r="AZ175" s="158"/>
      <c r="BA175" s="158"/>
      <c r="BB175" s="158"/>
      <c r="BC175" s="69"/>
      <c r="BD175" s="69"/>
      <c r="BE175" s="69"/>
      <c r="BF175" s="271">
        <v>2016</v>
      </c>
      <c r="BG175" s="271"/>
      <c r="BH175" s="271"/>
      <c r="BI175" s="271" t="s">
        <v>2376</v>
      </c>
    </row>
    <row r="176" spans="1:61 16195:16286" s="204" customFormat="1" ht="15" customHeight="1">
      <c r="A176" s="160" t="s">
        <v>504</v>
      </c>
      <c r="B176" s="58" t="s">
        <v>84</v>
      </c>
      <c r="C176" s="1" t="s">
        <v>73</v>
      </c>
      <c r="D176" s="1" t="s">
        <v>72</v>
      </c>
      <c r="E176" s="1"/>
      <c r="F176" s="1"/>
      <c r="G176" s="1"/>
      <c r="H176" s="30" t="s">
        <v>647</v>
      </c>
      <c r="I176" s="30"/>
      <c r="J176" s="212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94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94"/>
      <c r="AN176" s="158"/>
      <c r="AO176" s="158"/>
      <c r="AP176" s="11"/>
      <c r="AQ176" s="11"/>
      <c r="AR176" s="11"/>
      <c r="AS176" s="158"/>
      <c r="AT176" s="2">
        <v>0</v>
      </c>
      <c r="AU176" s="58" t="s">
        <v>687</v>
      </c>
      <c r="AV176" s="106" t="s">
        <v>1294</v>
      </c>
      <c r="AW176" s="158"/>
      <c r="AX176" s="11"/>
      <c r="AY176" s="11"/>
      <c r="AZ176" s="11"/>
      <c r="BA176" s="11"/>
      <c r="BB176" s="11"/>
      <c r="BC176" s="70"/>
      <c r="BD176" s="70"/>
      <c r="BE176" s="69">
        <v>1</v>
      </c>
      <c r="BF176" s="271" t="s">
        <v>1703</v>
      </c>
      <c r="BG176" s="271"/>
      <c r="BH176" s="271"/>
      <c r="BI176" s="271" t="s">
        <v>2376</v>
      </c>
    </row>
    <row r="177" spans="1:61" s="204" customFormat="1" ht="15" customHeight="1">
      <c r="A177" s="160" t="s">
        <v>504</v>
      </c>
      <c r="B177" s="58" t="s">
        <v>74</v>
      </c>
      <c r="C177" s="58" t="s">
        <v>710</v>
      </c>
      <c r="D177" s="58" t="s">
        <v>30</v>
      </c>
      <c r="E177" s="58"/>
      <c r="F177" s="58"/>
      <c r="G177" s="58"/>
      <c r="H177" s="30"/>
      <c r="I177" s="30"/>
      <c r="J177" s="212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94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94"/>
      <c r="AN177" s="158"/>
      <c r="AO177" s="158"/>
      <c r="AP177" s="158"/>
      <c r="AQ177" s="158"/>
      <c r="AR177" s="158"/>
      <c r="AS177" s="158"/>
      <c r="AT177" s="2"/>
      <c r="AU177" s="58"/>
      <c r="AV177" s="106" t="s">
        <v>941</v>
      </c>
      <c r="AW177" s="158">
        <v>25</v>
      </c>
      <c r="AX177" s="158"/>
      <c r="AY177" s="158"/>
      <c r="AZ177" s="158"/>
      <c r="BA177" s="158"/>
      <c r="BB177" s="158"/>
      <c r="BC177" s="69"/>
      <c r="BD177" s="69"/>
      <c r="BE177" s="69"/>
      <c r="BF177" s="271">
        <v>2016</v>
      </c>
      <c r="BG177" s="271"/>
      <c r="BH177" s="271"/>
      <c r="BI177" s="271" t="s">
        <v>2376</v>
      </c>
    </row>
    <row r="178" spans="1:61" s="204" customFormat="1" ht="30" customHeight="1">
      <c r="A178" s="230" t="s">
        <v>504</v>
      </c>
      <c r="B178" s="58" t="s">
        <v>84</v>
      </c>
      <c r="C178" s="49" t="s">
        <v>78</v>
      </c>
      <c r="D178" s="49" t="s">
        <v>77</v>
      </c>
      <c r="E178" s="49"/>
      <c r="F178" s="49"/>
      <c r="G178" s="49"/>
      <c r="H178" s="30" t="s">
        <v>647</v>
      </c>
      <c r="I178" s="272" t="s">
        <v>1659</v>
      </c>
      <c r="J178" s="212" t="s">
        <v>1660</v>
      </c>
      <c r="K178" s="158"/>
      <c r="L178" s="158"/>
      <c r="M178" s="158"/>
      <c r="N178" s="158"/>
      <c r="O178" s="158"/>
      <c r="P178" s="158">
        <f>2159827036-56837553</f>
        <v>2102989483</v>
      </c>
      <c r="Q178" s="158"/>
      <c r="R178" s="158"/>
      <c r="S178" s="158"/>
      <c r="T178" s="158"/>
      <c r="U178" s="158">
        <v>955970662</v>
      </c>
      <c r="V178" s="158"/>
      <c r="W178" s="158"/>
      <c r="X178" s="158"/>
      <c r="Y178" s="158"/>
      <c r="Z178" s="94">
        <v>1147018821</v>
      </c>
      <c r="AA178" s="158"/>
      <c r="AB178" s="5"/>
      <c r="AC178" s="5"/>
      <c r="AD178" s="5"/>
      <c r="AE178" s="158"/>
      <c r="AF178" s="158">
        <f>P178-U178-Z178</f>
        <v>0</v>
      </c>
      <c r="AG178" s="158"/>
      <c r="AH178" s="158"/>
      <c r="AI178" s="158"/>
      <c r="AJ178" s="158"/>
      <c r="AK178" s="158"/>
      <c r="AL178" s="158">
        <v>877</v>
      </c>
      <c r="AM178" s="94">
        <v>10</v>
      </c>
      <c r="AN178" s="158"/>
      <c r="AO178" s="158"/>
      <c r="AP178" s="158"/>
      <c r="AQ178" s="158"/>
      <c r="AR178" s="158"/>
      <c r="AS178" s="158"/>
      <c r="AT178" s="2"/>
      <c r="AU178" s="58"/>
      <c r="AV178" s="58"/>
      <c r="AW178" s="158">
        <v>37</v>
      </c>
      <c r="AX178" s="158"/>
      <c r="AY178" s="158"/>
      <c r="AZ178" s="158"/>
      <c r="BA178" s="158"/>
      <c r="BB178" s="158"/>
      <c r="BC178" s="69"/>
      <c r="BD178" s="69"/>
      <c r="BE178" s="69"/>
      <c r="BF178" s="271">
        <v>2016</v>
      </c>
      <c r="BG178" s="271"/>
      <c r="BH178" s="271"/>
      <c r="BI178" s="271" t="s">
        <v>2376</v>
      </c>
    </row>
    <row r="179" spans="1:61" s="204" customFormat="1" ht="18" customHeight="1">
      <c r="A179" s="160" t="s">
        <v>504</v>
      </c>
      <c r="B179" s="58" t="s">
        <v>89</v>
      </c>
      <c r="C179" s="1" t="s">
        <v>1375</v>
      </c>
      <c r="D179" s="1" t="s">
        <v>77</v>
      </c>
      <c r="E179" s="1"/>
      <c r="F179" s="1"/>
      <c r="G179" s="1"/>
      <c r="H179" s="30" t="s">
        <v>647</v>
      </c>
      <c r="I179" s="272" t="s">
        <v>1659</v>
      </c>
      <c r="J179" s="215" t="s">
        <v>1660</v>
      </c>
      <c r="K179" s="158"/>
      <c r="L179" s="158"/>
      <c r="M179" s="158">
        <f>1</f>
        <v>1</v>
      </c>
      <c r="N179" s="158"/>
      <c r="O179" s="158"/>
      <c r="P179" s="158">
        <v>56837553</v>
      </c>
      <c r="Q179" s="158"/>
      <c r="R179" s="158"/>
      <c r="S179" s="158"/>
      <c r="T179" s="158"/>
      <c r="U179" s="158"/>
      <c r="V179" s="158"/>
      <c r="W179" s="158"/>
      <c r="X179" s="158"/>
      <c r="Y179" s="158"/>
      <c r="Z179" s="94"/>
      <c r="AA179" s="158"/>
      <c r="AB179" s="69"/>
      <c r="AC179" s="69"/>
      <c r="AD179" s="69">
        <v>56837553</v>
      </c>
      <c r="AE179" s="158"/>
      <c r="AF179" s="158">
        <f>P179-U179-Z179-AD179</f>
        <v>0</v>
      </c>
      <c r="AG179" s="158"/>
      <c r="AH179" s="94">
        <v>0</v>
      </c>
      <c r="AI179" s="94">
        <v>0</v>
      </c>
      <c r="AJ179" s="94"/>
      <c r="AK179" s="158">
        <f>AF179+AH179</f>
        <v>0</v>
      </c>
      <c r="AL179" s="158">
        <v>877</v>
      </c>
      <c r="AM179" s="94">
        <v>10</v>
      </c>
      <c r="AN179" s="158"/>
      <c r="AO179" s="158"/>
      <c r="AP179" s="11"/>
      <c r="AQ179" s="11"/>
      <c r="AR179" s="11"/>
      <c r="AS179" s="12"/>
      <c r="AT179" s="2">
        <v>0</v>
      </c>
      <c r="AU179" s="58" t="s">
        <v>687</v>
      </c>
      <c r="AV179" s="389" t="s">
        <v>1661</v>
      </c>
      <c r="AW179" s="158"/>
      <c r="AX179" s="11"/>
      <c r="AY179" s="11"/>
      <c r="AZ179" s="11"/>
      <c r="BA179" s="11"/>
      <c r="BB179" s="11"/>
      <c r="BC179" s="70"/>
      <c r="BD179" s="70"/>
      <c r="BE179" s="69">
        <v>1</v>
      </c>
      <c r="BF179" s="271" t="s">
        <v>1706</v>
      </c>
      <c r="BG179" s="271">
        <v>2019</v>
      </c>
      <c r="BH179" s="271"/>
      <c r="BI179" s="271" t="s">
        <v>2375</v>
      </c>
    </row>
    <row r="180" spans="1:61" s="204" customFormat="1" ht="25.5" customHeight="1">
      <c r="A180" s="243" t="s">
        <v>504</v>
      </c>
      <c r="B180" s="58" t="s">
        <v>89</v>
      </c>
      <c r="C180" s="296" t="s">
        <v>79</v>
      </c>
      <c r="D180" s="260" t="s">
        <v>77</v>
      </c>
      <c r="E180" s="260"/>
      <c r="F180" s="260"/>
      <c r="G180" s="260"/>
      <c r="H180" s="30" t="s">
        <v>647</v>
      </c>
      <c r="I180" s="272" t="s">
        <v>1662</v>
      </c>
      <c r="J180" s="212" t="s">
        <v>1663</v>
      </c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94"/>
      <c r="AA180" s="158"/>
      <c r="AB180" s="247"/>
      <c r="AC180" s="247"/>
      <c r="AD180" s="247"/>
      <c r="AE180" s="158"/>
      <c r="AF180" s="158"/>
      <c r="AG180" s="158"/>
      <c r="AH180" s="158"/>
      <c r="AI180" s="158"/>
      <c r="AJ180" s="158"/>
      <c r="AK180" s="158"/>
      <c r="AL180" s="158"/>
      <c r="AM180" s="94"/>
      <c r="AN180" s="158"/>
      <c r="AO180" s="158"/>
      <c r="AP180" s="158"/>
      <c r="AQ180" s="158"/>
      <c r="AR180" s="158"/>
      <c r="AS180" s="158"/>
      <c r="AT180" s="2"/>
      <c r="AU180" s="58"/>
      <c r="AV180" s="106" t="s">
        <v>1035</v>
      </c>
      <c r="AW180" s="158">
        <v>17</v>
      </c>
      <c r="AX180" s="158"/>
      <c r="AY180" s="158"/>
      <c r="AZ180" s="158"/>
      <c r="BA180" s="158"/>
      <c r="BB180" s="158"/>
      <c r="BC180" s="69"/>
      <c r="BD180" s="69"/>
      <c r="BE180" s="69"/>
      <c r="BF180" s="271">
        <v>2016</v>
      </c>
      <c r="BG180" s="271"/>
      <c r="BH180" s="271"/>
      <c r="BI180" s="271" t="s">
        <v>2376</v>
      </c>
    </row>
    <row r="181" spans="1:61" s="204" customFormat="1" ht="33.75" customHeight="1">
      <c r="A181" s="160" t="s">
        <v>504</v>
      </c>
      <c r="B181" s="58" t="s">
        <v>89</v>
      </c>
      <c r="C181" s="27" t="s">
        <v>79</v>
      </c>
      <c r="D181" s="1" t="s">
        <v>77</v>
      </c>
      <c r="E181" s="1"/>
      <c r="F181" s="1"/>
      <c r="G181" s="1"/>
      <c r="H181" s="30" t="s">
        <v>647</v>
      </c>
      <c r="I181" s="272" t="s">
        <v>1662</v>
      </c>
      <c r="J181" s="215" t="s">
        <v>1663</v>
      </c>
      <c r="K181" s="158"/>
      <c r="L181" s="158"/>
      <c r="M181" s="158">
        <v>1</v>
      </c>
      <c r="N181" s="158"/>
      <c r="O181" s="158">
        <v>1</v>
      </c>
      <c r="P181" s="158">
        <v>56837553</v>
      </c>
      <c r="Q181" s="158"/>
      <c r="R181" s="158"/>
      <c r="S181" s="158"/>
      <c r="T181" s="158"/>
      <c r="U181" s="158"/>
      <c r="V181" s="158"/>
      <c r="W181" s="158"/>
      <c r="X181" s="158"/>
      <c r="Y181" s="158"/>
      <c r="Z181" s="94"/>
      <c r="AA181" s="158"/>
      <c r="AB181" s="69"/>
      <c r="AC181" s="69"/>
      <c r="AD181" s="69">
        <v>56837553</v>
      </c>
      <c r="AE181" s="158"/>
      <c r="AF181" s="158">
        <f>P181-U181-Z181-AD181</f>
        <v>0</v>
      </c>
      <c r="AG181" s="158"/>
      <c r="AH181" s="94">
        <v>0</v>
      </c>
      <c r="AI181" s="94">
        <v>0</v>
      </c>
      <c r="AJ181" s="94"/>
      <c r="AK181" s="158">
        <f>P181-R181-U181-Z181-AD181</f>
        <v>0</v>
      </c>
      <c r="AL181" s="158">
        <v>877</v>
      </c>
      <c r="AM181" s="94">
        <v>10</v>
      </c>
      <c r="AN181" s="158"/>
      <c r="AO181" s="158"/>
      <c r="AP181" s="11"/>
      <c r="AQ181" s="11"/>
      <c r="AR181" s="11"/>
      <c r="AS181" s="12">
        <v>1</v>
      </c>
      <c r="AT181" s="2">
        <v>0</v>
      </c>
      <c r="AU181" s="58" t="s">
        <v>687</v>
      </c>
      <c r="AV181" s="474" t="s">
        <v>1664</v>
      </c>
      <c r="AW181" s="158"/>
      <c r="AX181" s="11"/>
      <c r="AY181" s="11"/>
      <c r="AZ181" s="11"/>
      <c r="BA181" s="11"/>
      <c r="BB181" s="11"/>
      <c r="BC181" s="70"/>
      <c r="BD181" s="70"/>
      <c r="BE181" s="69"/>
      <c r="BF181" s="271"/>
      <c r="BG181" s="271">
        <v>2019</v>
      </c>
      <c r="BH181" s="271">
        <v>2020</v>
      </c>
      <c r="BI181" s="271" t="s">
        <v>2375</v>
      </c>
    </row>
    <row r="182" spans="1:61" s="204" customFormat="1" ht="15" customHeight="1">
      <c r="A182" s="248" t="s">
        <v>504</v>
      </c>
      <c r="B182" s="58" t="s">
        <v>84</v>
      </c>
      <c r="C182" s="251" t="s">
        <v>80</v>
      </c>
      <c r="D182" s="251" t="s">
        <v>81</v>
      </c>
      <c r="E182" s="251"/>
      <c r="F182" s="251"/>
      <c r="G182" s="251"/>
      <c r="H182" s="30"/>
      <c r="I182" s="58"/>
      <c r="J182" s="212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94"/>
      <c r="AA182" s="158"/>
      <c r="AB182" s="92"/>
      <c r="AC182" s="92"/>
      <c r="AD182" s="92"/>
      <c r="AE182" s="158"/>
      <c r="AF182" s="158"/>
      <c r="AG182" s="158"/>
      <c r="AH182" s="158"/>
      <c r="AI182" s="158"/>
      <c r="AJ182" s="158"/>
      <c r="AK182" s="158"/>
      <c r="AL182" s="158"/>
      <c r="AM182" s="94"/>
      <c r="AN182" s="158"/>
      <c r="AO182" s="158"/>
      <c r="AP182" s="158"/>
      <c r="AQ182" s="158"/>
      <c r="AR182" s="158"/>
      <c r="AS182" s="158"/>
      <c r="AT182" s="2"/>
      <c r="AU182" s="58"/>
      <c r="AV182" s="106" t="s">
        <v>1364</v>
      </c>
      <c r="AW182" s="158">
        <v>82</v>
      </c>
      <c r="AX182" s="158"/>
      <c r="AY182" s="158"/>
      <c r="AZ182" s="158"/>
      <c r="BA182" s="158"/>
      <c r="BB182" s="158"/>
      <c r="BC182" s="69"/>
      <c r="BD182" s="69"/>
      <c r="BE182" s="69"/>
      <c r="BF182" s="271">
        <v>2016</v>
      </c>
      <c r="BG182" s="271"/>
      <c r="BH182" s="271"/>
      <c r="BI182" s="271" t="s">
        <v>2376</v>
      </c>
    </row>
    <row r="183" spans="1:61" s="204" customFormat="1" ht="15" customHeight="1">
      <c r="A183" s="160" t="s">
        <v>504</v>
      </c>
      <c r="B183" s="58" t="s">
        <v>84</v>
      </c>
      <c r="C183" s="58" t="s">
        <v>553</v>
      </c>
      <c r="D183" s="58" t="s">
        <v>77</v>
      </c>
      <c r="E183" s="58"/>
      <c r="F183" s="58"/>
      <c r="G183" s="58"/>
      <c r="H183" s="30" t="s">
        <v>661</v>
      </c>
      <c r="I183" s="30"/>
      <c r="J183" s="212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94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94"/>
      <c r="AN183" s="158"/>
      <c r="AO183" s="158"/>
      <c r="AP183" s="158"/>
      <c r="AQ183" s="158"/>
      <c r="AR183" s="158"/>
      <c r="AS183" s="158"/>
      <c r="AT183" s="2">
        <v>1</v>
      </c>
      <c r="AU183" s="58" t="s">
        <v>646</v>
      </c>
      <c r="AV183" s="106"/>
      <c r="AW183" s="158"/>
      <c r="AX183" s="158">
        <v>2</v>
      </c>
      <c r="AY183" s="158"/>
      <c r="AZ183" s="158"/>
      <c r="BA183" s="158"/>
      <c r="BB183" s="158"/>
      <c r="BC183" s="69"/>
      <c r="BD183" s="69"/>
      <c r="BE183" s="69"/>
      <c r="BF183" s="271">
        <v>2017</v>
      </c>
      <c r="BG183" s="271"/>
      <c r="BH183" s="271"/>
      <c r="BI183" s="271" t="s">
        <v>2376</v>
      </c>
    </row>
    <row r="184" spans="1:61" s="204" customFormat="1" ht="15" customHeight="1">
      <c r="A184" s="230" t="s">
        <v>504</v>
      </c>
      <c r="B184" s="58" t="s">
        <v>84</v>
      </c>
      <c r="C184" s="28" t="s">
        <v>553</v>
      </c>
      <c r="D184" s="28" t="s">
        <v>77</v>
      </c>
      <c r="E184" s="28"/>
      <c r="F184" s="28"/>
      <c r="G184" s="28"/>
      <c r="H184" s="30" t="s">
        <v>661</v>
      </c>
      <c r="I184" s="30"/>
      <c r="J184" s="212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94"/>
      <c r="AA184" s="158"/>
      <c r="AB184" s="5"/>
      <c r="AC184" s="5"/>
      <c r="AD184" s="5"/>
      <c r="AE184" s="158"/>
      <c r="AF184" s="158"/>
      <c r="AG184" s="158"/>
      <c r="AH184" s="158"/>
      <c r="AI184" s="158"/>
      <c r="AJ184" s="158"/>
      <c r="AK184" s="158"/>
      <c r="AL184" s="158"/>
      <c r="AM184" s="94"/>
      <c r="AN184" s="158"/>
      <c r="AO184" s="158"/>
      <c r="AP184" s="158"/>
      <c r="AQ184" s="158"/>
      <c r="AR184" s="158"/>
      <c r="AS184" s="158"/>
      <c r="AT184" s="2">
        <v>1</v>
      </c>
      <c r="AU184" s="58" t="s">
        <v>646</v>
      </c>
      <c r="AV184" s="106"/>
      <c r="AW184" s="158"/>
      <c r="AX184" s="158">
        <v>14</v>
      </c>
      <c r="AY184" s="158"/>
      <c r="AZ184" s="158"/>
      <c r="BA184" s="158"/>
      <c r="BB184" s="158"/>
      <c r="BC184" s="69"/>
      <c r="BD184" s="69"/>
      <c r="BE184" s="69"/>
      <c r="BF184" s="271">
        <v>2017</v>
      </c>
      <c r="BG184" s="271"/>
      <c r="BH184" s="271"/>
      <c r="BI184" s="271" t="s">
        <v>2376</v>
      </c>
    </row>
    <row r="185" spans="1:61" s="204" customFormat="1" ht="30.75" customHeight="1">
      <c r="A185" s="160" t="s">
        <v>504</v>
      </c>
      <c r="B185" s="58" t="s">
        <v>84</v>
      </c>
      <c r="C185" s="58" t="s">
        <v>1339</v>
      </c>
      <c r="D185" s="58" t="s">
        <v>77</v>
      </c>
      <c r="E185" s="58"/>
      <c r="F185" s="58"/>
      <c r="G185" s="58"/>
      <c r="H185" s="30" t="s">
        <v>647</v>
      </c>
      <c r="I185" s="272" t="s">
        <v>1492</v>
      </c>
      <c r="J185" s="215" t="s">
        <v>1491</v>
      </c>
      <c r="K185" s="10">
        <v>2</v>
      </c>
      <c r="L185" s="10">
        <v>2</v>
      </c>
      <c r="M185" s="10"/>
      <c r="N185" s="10"/>
      <c r="O185" s="10">
        <v>2</v>
      </c>
      <c r="P185" s="10">
        <v>113675108</v>
      </c>
      <c r="Q185" s="10"/>
      <c r="R185" s="10"/>
      <c r="S185" s="158"/>
      <c r="T185" s="10"/>
      <c r="U185" s="10"/>
      <c r="V185" s="10"/>
      <c r="W185" s="10"/>
      <c r="X185" s="10"/>
      <c r="Y185" s="10"/>
      <c r="Z185" s="94"/>
      <c r="AA185" s="10"/>
      <c r="AB185" s="219"/>
      <c r="AC185" s="219"/>
      <c r="AD185" s="219"/>
      <c r="AE185" s="158"/>
      <c r="AF185" s="158">
        <f>P185-U185-Z185</f>
        <v>113675108</v>
      </c>
      <c r="AG185" s="158"/>
      <c r="AH185" s="94">
        <v>0</v>
      </c>
      <c r="AI185" s="94">
        <v>113675108</v>
      </c>
      <c r="AJ185" s="94"/>
      <c r="AK185" s="602">
        <f>P185-R185-U185-Z185</f>
        <v>113675108</v>
      </c>
      <c r="AL185" s="72">
        <v>877</v>
      </c>
      <c r="AM185" s="175">
        <v>10</v>
      </c>
      <c r="AN185" s="158">
        <v>2</v>
      </c>
      <c r="AO185" s="158"/>
      <c r="AP185" s="52"/>
      <c r="AQ185" s="52"/>
      <c r="AR185" s="52"/>
      <c r="AS185" s="52"/>
      <c r="AT185" s="13">
        <v>0</v>
      </c>
      <c r="AU185" s="120" t="s">
        <v>521</v>
      </c>
      <c r="AV185" s="58" t="s">
        <v>1294</v>
      </c>
      <c r="AW185" s="10"/>
      <c r="AX185" s="52"/>
      <c r="AY185" s="52"/>
      <c r="AZ185" s="52"/>
      <c r="BA185" s="52"/>
      <c r="BB185" s="52"/>
      <c r="BC185" s="286"/>
      <c r="BD185" s="286"/>
      <c r="BE185" s="69"/>
      <c r="BF185" s="271"/>
      <c r="BG185" s="271">
        <v>2019</v>
      </c>
      <c r="BH185" s="271">
        <v>2020</v>
      </c>
      <c r="BI185" s="271" t="s">
        <v>2375</v>
      </c>
    </row>
    <row r="186" spans="1:61" s="204" customFormat="1" ht="15" customHeight="1">
      <c r="A186" s="248" t="s">
        <v>504</v>
      </c>
      <c r="B186" s="58" t="s">
        <v>74</v>
      </c>
      <c r="C186" s="251" t="s">
        <v>87</v>
      </c>
      <c r="D186" s="251" t="s">
        <v>30</v>
      </c>
      <c r="E186" s="251"/>
      <c r="F186" s="251"/>
      <c r="G186" s="251"/>
      <c r="H186" s="30"/>
      <c r="I186" s="58"/>
      <c r="J186" s="212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94"/>
      <c r="AA186" s="158"/>
      <c r="AB186" s="92"/>
      <c r="AC186" s="92"/>
      <c r="AD186" s="92"/>
      <c r="AE186" s="158"/>
      <c r="AF186" s="158"/>
      <c r="AG186" s="158"/>
      <c r="AH186" s="158"/>
      <c r="AI186" s="158"/>
      <c r="AJ186" s="158"/>
      <c r="AK186" s="158"/>
      <c r="AL186" s="158"/>
      <c r="AM186" s="94"/>
      <c r="AN186" s="158"/>
      <c r="AO186" s="158"/>
      <c r="AP186" s="158"/>
      <c r="AQ186" s="158"/>
      <c r="AR186" s="158"/>
      <c r="AS186" s="158"/>
      <c r="AT186" s="2"/>
      <c r="AU186" s="58"/>
      <c r="AV186" s="106" t="s">
        <v>1036</v>
      </c>
      <c r="AW186" s="158">
        <v>35</v>
      </c>
      <c r="AX186" s="158"/>
      <c r="AY186" s="158"/>
      <c r="AZ186" s="158"/>
      <c r="BA186" s="158"/>
      <c r="BB186" s="158"/>
      <c r="BC186" s="69"/>
      <c r="BD186" s="69"/>
      <c r="BE186" s="69"/>
      <c r="BF186" s="271">
        <v>2016</v>
      </c>
      <c r="BG186" s="271"/>
      <c r="BH186" s="271"/>
      <c r="BI186" s="271" t="s">
        <v>2376</v>
      </c>
    </row>
    <row r="187" spans="1:61" s="204" customFormat="1" ht="15" customHeight="1">
      <c r="A187" s="230" t="s">
        <v>504</v>
      </c>
      <c r="B187" s="58" t="s">
        <v>85</v>
      </c>
      <c r="C187" s="28" t="s">
        <v>940</v>
      </c>
      <c r="D187" s="28" t="s">
        <v>30</v>
      </c>
      <c r="E187" s="28"/>
      <c r="F187" s="28"/>
      <c r="G187" s="28"/>
      <c r="H187" s="30"/>
      <c r="I187" s="58"/>
      <c r="J187" s="212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94"/>
      <c r="AA187" s="158"/>
      <c r="AB187" s="5"/>
      <c r="AC187" s="5"/>
      <c r="AD187" s="5"/>
      <c r="AE187" s="158"/>
      <c r="AF187" s="158"/>
      <c r="AG187" s="158"/>
      <c r="AH187" s="158"/>
      <c r="AI187" s="158"/>
      <c r="AJ187" s="158"/>
      <c r="AK187" s="158"/>
      <c r="AL187" s="158"/>
      <c r="AM187" s="94"/>
      <c r="AN187" s="158"/>
      <c r="AO187" s="158"/>
      <c r="AP187" s="158"/>
      <c r="AQ187" s="158"/>
      <c r="AR187" s="158"/>
      <c r="AS187" s="158"/>
      <c r="AT187" s="2"/>
      <c r="AU187" s="58"/>
      <c r="AV187" s="106"/>
      <c r="AW187" s="158">
        <v>20</v>
      </c>
      <c r="AX187" s="158"/>
      <c r="AY187" s="158"/>
      <c r="AZ187" s="158"/>
      <c r="BA187" s="158"/>
      <c r="BB187" s="158"/>
      <c r="BC187" s="69"/>
      <c r="BD187" s="69"/>
      <c r="BE187" s="69"/>
      <c r="BF187" s="271">
        <v>2016</v>
      </c>
      <c r="BG187" s="271"/>
      <c r="BH187" s="271"/>
      <c r="BI187" s="271" t="s">
        <v>2376</v>
      </c>
    </row>
    <row r="188" spans="1:61" s="204" customFormat="1" ht="26.25" customHeight="1">
      <c r="A188" s="160" t="s">
        <v>504</v>
      </c>
      <c r="B188" s="58" t="s">
        <v>74</v>
      </c>
      <c r="C188" s="58" t="s">
        <v>88</v>
      </c>
      <c r="D188" s="58" t="s">
        <v>30</v>
      </c>
      <c r="E188" s="58"/>
      <c r="F188" s="58"/>
      <c r="G188" s="58"/>
      <c r="H188" s="30" t="s">
        <v>648</v>
      </c>
      <c r="I188" s="272" t="s">
        <v>1508</v>
      </c>
      <c r="J188" s="212" t="s">
        <v>1507</v>
      </c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94"/>
      <c r="AA188" s="69"/>
      <c r="AB188" s="69"/>
      <c r="AC188" s="69"/>
      <c r="AD188" s="69"/>
      <c r="AE188" s="158"/>
      <c r="AF188" s="158">
        <f>25038833-25038833</f>
        <v>0</v>
      </c>
      <c r="AG188" s="158"/>
      <c r="AH188" s="158"/>
      <c r="AI188" s="158"/>
      <c r="AJ188" s="158"/>
      <c r="AK188" s="158"/>
      <c r="AL188" s="158">
        <v>877</v>
      </c>
      <c r="AM188" s="94">
        <v>10</v>
      </c>
      <c r="AN188" s="158"/>
      <c r="AO188" s="158"/>
      <c r="AP188" s="158"/>
      <c r="AQ188" s="158"/>
      <c r="AR188" s="158"/>
      <c r="AS188" s="158"/>
      <c r="AT188" s="2"/>
      <c r="AU188" s="58"/>
      <c r="AV188" s="106" t="s">
        <v>1509</v>
      </c>
      <c r="AW188" s="158">
        <v>59</v>
      </c>
      <c r="AX188" s="158"/>
      <c r="AY188" s="158"/>
      <c r="AZ188" s="158"/>
      <c r="BA188" s="158"/>
      <c r="BB188" s="158"/>
      <c r="BC188" s="69"/>
      <c r="BD188" s="69"/>
      <c r="BE188" s="69"/>
      <c r="BF188" s="271">
        <v>2016</v>
      </c>
      <c r="BG188" s="271"/>
      <c r="BH188" s="271"/>
      <c r="BI188" s="271" t="s">
        <v>2376</v>
      </c>
    </row>
    <row r="189" spans="1:61" s="204" customFormat="1" ht="15" customHeight="1">
      <c r="A189" s="248" t="s">
        <v>504</v>
      </c>
      <c r="B189" s="58" t="s">
        <v>84</v>
      </c>
      <c r="C189" s="251" t="s">
        <v>92</v>
      </c>
      <c r="D189" s="251" t="s">
        <v>77</v>
      </c>
      <c r="E189" s="251"/>
      <c r="F189" s="251"/>
      <c r="G189" s="251"/>
      <c r="H189" s="30"/>
      <c r="I189" s="58"/>
      <c r="J189" s="212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94"/>
      <c r="AA189" s="158"/>
      <c r="AB189" s="92"/>
      <c r="AC189" s="92"/>
      <c r="AD189" s="92"/>
      <c r="AE189" s="158"/>
      <c r="AF189" s="158"/>
      <c r="AG189" s="158"/>
      <c r="AH189" s="158"/>
      <c r="AI189" s="158"/>
      <c r="AJ189" s="158"/>
      <c r="AK189" s="158"/>
      <c r="AL189" s="158"/>
      <c r="AM189" s="94"/>
      <c r="AN189" s="158"/>
      <c r="AO189" s="158"/>
      <c r="AP189" s="158"/>
      <c r="AQ189" s="158"/>
      <c r="AR189" s="158"/>
      <c r="AS189" s="158"/>
      <c r="AT189" s="2"/>
      <c r="AU189" s="58"/>
      <c r="AV189" s="106"/>
      <c r="AW189" s="158">
        <v>20</v>
      </c>
      <c r="AX189" s="158"/>
      <c r="AY189" s="158"/>
      <c r="AZ189" s="158"/>
      <c r="BA189" s="158"/>
      <c r="BB189" s="158"/>
      <c r="BC189" s="69"/>
      <c r="BD189" s="69"/>
      <c r="BE189" s="69"/>
      <c r="BF189" s="271">
        <v>2016</v>
      </c>
      <c r="BG189" s="271"/>
      <c r="BH189" s="271"/>
      <c r="BI189" s="271" t="s">
        <v>2376</v>
      </c>
    </row>
    <row r="190" spans="1:61" s="204" customFormat="1" ht="15" customHeight="1">
      <c r="A190" s="160" t="s">
        <v>504</v>
      </c>
      <c r="B190" s="58" t="s">
        <v>84</v>
      </c>
      <c r="C190" s="1" t="s">
        <v>93</v>
      </c>
      <c r="D190" s="749" t="s">
        <v>13</v>
      </c>
      <c r="E190" s="519"/>
      <c r="F190" s="519"/>
      <c r="G190" s="575"/>
      <c r="H190" s="30"/>
      <c r="I190" s="58"/>
      <c r="J190" s="212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94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94"/>
      <c r="AN190" s="158"/>
      <c r="AO190" s="158"/>
      <c r="AP190" s="158"/>
      <c r="AQ190" s="158"/>
      <c r="AR190" s="158"/>
      <c r="AS190" s="158"/>
      <c r="AT190" s="2"/>
      <c r="AU190" s="58"/>
      <c r="AV190" s="106"/>
      <c r="AW190" s="158">
        <v>39</v>
      </c>
      <c r="AX190" s="158"/>
      <c r="AY190" s="158"/>
      <c r="AZ190" s="158"/>
      <c r="BA190" s="158"/>
      <c r="BB190" s="158"/>
      <c r="BC190" s="69"/>
      <c r="BD190" s="69"/>
      <c r="BE190" s="69"/>
      <c r="BF190" s="271">
        <v>2016</v>
      </c>
      <c r="BG190" s="271"/>
      <c r="BH190" s="271"/>
      <c r="BI190" s="271" t="s">
        <v>2376</v>
      </c>
    </row>
    <row r="191" spans="1:61" s="204" customFormat="1" ht="15" customHeight="1">
      <c r="A191" s="160" t="s">
        <v>504</v>
      </c>
      <c r="B191" s="58" t="s">
        <v>84</v>
      </c>
      <c r="C191" s="1" t="s">
        <v>93</v>
      </c>
      <c r="D191" s="749"/>
      <c r="E191" s="519"/>
      <c r="F191" s="519"/>
      <c r="G191" s="575"/>
      <c r="H191" s="30" t="s">
        <v>686</v>
      </c>
      <c r="I191" s="30"/>
      <c r="J191" s="212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94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94"/>
      <c r="AN191" s="158"/>
      <c r="AO191" s="158"/>
      <c r="AP191" s="158"/>
      <c r="AQ191" s="158"/>
      <c r="AR191" s="158"/>
      <c r="AS191" s="158"/>
      <c r="AT191" s="2">
        <v>0</v>
      </c>
      <c r="AU191" s="58" t="s">
        <v>687</v>
      </c>
      <c r="AV191" s="106"/>
      <c r="AW191" s="1"/>
      <c r="AX191" s="158">
        <f>1-1</f>
        <v>0</v>
      </c>
      <c r="AY191" s="158"/>
      <c r="AZ191" s="158"/>
      <c r="BA191" s="158"/>
      <c r="BB191" s="158"/>
      <c r="BC191" s="69"/>
      <c r="BD191" s="69"/>
      <c r="BE191" s="69">
        <v>1</v>
      </c>
      <c r="BF191" s="271" t="s">
        <v>1703</v>
      </c>
      <c r="BG191" s="271"/>
      <c r="BH191" s="271"/>
      <c r="BI191" s="271" t="s">
        <v>2376</v>
      </c>
    </row>
    <row r="192" spans="1:61" s="204" customFormat="1" ht="15" customHeight="1">
      <c r="A192" s="160" t="s">
        <v>504</v>
      </c>
      <c r="B192" s="58" t="s">
        <v>89</v>
      </c>
      <c r="C192" s="58" t="s">
        <v>94</v>
      </c>
      <c r="D192" s="467" t="s">
        <v>45</v>
      </c>
      <c r="E192" s="519"/>
      <c r="F192" s="519"/>
      <c r="G192" s="575"/>
      <c r="H192" s="30"/>
      <c r="I192" s="58"/>
      <c r="J192" s="212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94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94"/>
      <c r="AN192" s="158"/>
      <c r="AO192" s="158"/>
      <c r="AP192" s="158"/>
      <c r="AQ192" s="158"/>
      <c r="AR192" s="158"/>
      <c r="AS192" s="158"/>
      <c r="AT192" s="2"/>
      <c r="AU192" s="58"/>
      <c r="AV192" s="106"/>
      <c r="AW192" s="158">
        <v>34</v>
      </c>
      <c r="AX192" s="158"/>
      <c r="AY192" s="158"/>
      <c r="AZ192" s="158"/>
      <c r="BA192" s="158"/>
      <c r="BB192" s="158"/>
      <c r="BC192" s="69"/>
      <c r="BD192" s="69"/>
      <c r="BE192" s="69"/>
      <c r="BF192" s="271">
        <v>2016</v>
      </c>
      <c r="BG192" s="271"/>
      <c r="BH192" s="271"/>
      <c r="BI192" s="271" t="s">
        <v>2376</v>
      </c>
    </row>
    <row r="193" spans="1:61" s="204" customFormat="1" ht="18" customHeight="1">
      <c r="A193" s="160" t="s">
        <v>504</v>
      </c>
      <c r="B193" s="58" t="s">
        <v>84</v>
      </c>
      <c r="C193" s="1" t="s">
        <v>662</v>
      </c>
      <c r="D193" s="145" t="s">
        <v>557</v>
      </c>
      <c r="E193" s="145"/>
      <c r="F193" s="145"/>
      <c r="G193" s="145"/>
      <c r="H193" s="30" t="s">
        <v>663</v>
      </c>
      <c r="I193" s="30">
        <v>722</v>
      </c>
      <c r="J193" s="212">
        <v>41359</v>
      </c>
      <c r="K193" s="158"/>
      <c r="L193" s="158">
        <v>74</v>
      </c>
      <c r="M193" s="158"/>
      <c r="N193" s="158"/>
      <c r="O193" s="158"/>
      <c r="P193" s="10">
        <f>4438891332-266969897</f>
        <v>4171921435</v>
      </c>
      <c r="Q193" s="10"/>
      <c r="R193" s="10">
        <f>671500000-42500000</f>
        <v>629000000</v>
      </c>
      <c r="S193" s="158"/>
      <c r="T193" s="158"/>
      <c r="U193" s="10">
        <v>1375276141</v>
      </c>
      <c r="V193" s="158"/>
      <c r="W193" s="158"/>
      <c r="X193" s="158"/>
      <c r="Y193" s="158"/>
      <c r="Z193" s="10">
        <f>1083822647+1083822647</f>
        <v>2167645294</v>
      </c>
      <c r="AA193" s="158"/>
      <c r="AB193" s="158"/>
      <c r="AC193" s="158"/>
      <c r="AD193" s="158"/>
      <c r="AE193" s="158"/>
      <c r="AF193" s="158">
        <f>P193-R193-U193-Z193</f>
        <v>0</v>
      </c>
      <c r="AG193" s="158"/>
      <c r="AH193" s="94">
        <v>0</v>
      </c>
      <c r="AI193" s="94">
        <v>0</v>
      </c>
      <c r="AJ193" s="94"/>
      <c r="AK193" s="158">
        <f t="shared" ref="AK193:AK194" si="45">AF193+AH193</f>
        <v>0</v>
      </c>
      <c r="AL193" s="158">
        <v>877</v>
      </c>
      <c r="AM193" s="94">
        <v>20</v>
      </c>
      <c r="AN193" s="158"/>
      <c r="AO193" s="158"/>
      <c r="AP193" s="12"/>
      <c r="AQ193" s="12"/>
      <c r="AR193" s="12"/>
      <c r="AS193" s="12"/>
      <c r="AT193" s="2">
        <v>1</v>
      </c>
      <c r="AU193" s="58" t="s">
        <v>646</v>
      </c>
      <c r="AV193" s="104"/>
      <c r="AW193" s="158"/>
      <c r="AX193" s="12"/>
      <c r="AY193" s="12"/>
      <c r="AZ193" s="12">
        <v>74</v>
      </c>
      <c r="BA193" s="12"/>
      <c r="BB193" s="158"/>
      <c r="BC193" s="69"/>
      <c r="BD193" s="69">
        <f>+AZ193</f>
        <v>74</v>
      </c>
      <c r="BE193" s="69"/>
      <c r="BF193" s="271">
        <v>2019</v>
      </c>
      <c r="BG193" s="271">
        <v>2019</v>
      </c>
      <c r="BH193" s="271"/>
      <c r="BI193" s="271" t="s">
        <v>2375</v>
      </c>
    </row>
    <row r="194" spans="1:61" s="204" customFormat="1" ht="18" customHeight="1">
      <c r="A194" s="160" t="s">
        <v>504</v>
      </c>
      <c r="B194" s="58" t="s">
        <v>84</v>
      </c>
      <c r="C194" s="1" t="s">
        <v>662</v>
      </c>
      <c r="D194" s="145" t="s">
        <v>557</v>
      </c>
      <c r="E194" s="145"/>
      <c r="F194" s="145"/>
      <c r="G194" s="145"/>
      <c r="H194" s="30" t="s">
        <v>663</v>
      </c>
      <c r="I194" s="30">
        <v>722</v>
      </c>
      <c r="J194" s="212">
        <v>41359</v>
      </c>
      <c r="K194" s="158"/>
      <c r="L194" s="158"/>
      <c r="M194" s="158">
        <v>5</v>
      </c>
      <c r="N194" s="158"/>
      <c r="O194" s="158"/>
      <c r="P194" s="10">
        <v>266969897</v>
      </c>
      <c r="Q194" s="10"/>
      <c r="R194" s="158"/>
      <c r="S194" s="158"/>
      <c r="T194" s="158"/>
      <c r="U194" s="158"/>
      <c r="V194" s="158"/>
      <c r="W194" s="158"/>
      <c r="X194" s="158"/>
      <c r="Y194" s="158"/>
      <c r="Z194" s="94"/>
      <c r="AA194" s="158"/>
      <c r="AB194" s="158"/>
      <c r="AC194" s="158"/>
      <c r="AD194" s="158">
        <v>266969897</v>
      </c>
      <c r="AE194" s="158"/>
      <c r="AF194" s="158">
        <f>P194-U194-Z194-AD194</f>
        <v>0</v>
      </c>
      <c r="AG194" s="158"/>
      <c r="AH194" s="94">
        <v>0</v>
      </c>
      <c r="AI194" s="94">
        <v>0</v>
      </c>
      <c r="AJ194" s="94"/>
      <c r="AK194" s="158">
        <f t="shared" si="45"/>
        <v>0</v>
      </c>
      <c r="AL194" s="158">
        <v>877</v>
      </c>
      <c r="AM194" s="94">
        <v>20</v>
      </c>
      <c r="AN194" s="158"/>
      <c r="AO194" s="158"/>
      <c r="AP194" s="11"/>
      <c r="AQ194" s="11"/>
      <c r="AR194" s="11"/>
      <c r="AS194" s="12"/>
      <c r="AT194" s="14">
        <v>0</v>
      </c>
      <c r="AU194" s="58" t="s">
        <v>687</v>
      </c>
      <c r="AV194" s="104" t="s">
        <v>1895</v>
      </c>
      <c r="AW194" s="158"/>
      <c r="AX194" s="11"/>
      <c r="AY194" s="11"/>
      <c r="AZ194" s="11"/>
      <c r="BA194" s="11"/>
      <c r="BB194" s="11"/>
      <c r="BC194" s="70"/>
      <c r="BD194" s="70"/>
      <c r="BE194" s="69">
        <v>5</v>
      </c>
      <c r="BF194" s="271" t="s">
        <v>1706</v>
      </c>
      <c r="BG194" s="271">
        <v>2019</v>
      </c>
      <c r="BH194" s="444"/>
      <c r="BI194" s="271" t="s">
        <v>2375</v>
      </c>
    </row>
    <row r="195" spans="1:61" s="204" customFormat="1" ht="15" customHeight="1">
      <c r="A195" s="160" t="s">
        <v>504</v>
      </c>
      <c r="B195" s="58" t="s">
        <v>89</v>
      </c>
      <c r="C195" s="58" t="s">
        <v>95</v>
      </c>
      <c r="D195" s="467" t="s">
        <v>91</v>
      </c>
      <c r="E195" s="519"/>
      <c r="F195" s="519"/>
      <c r="G195" s="575"/>
      <c r="H195" s="30"/>
      <c r="I195" s="58"/>
      <c r="J195" s="212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94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94"/>
      <c r="AN195" s="158"/>
      <c r="AO195" s="158"/>
      <c r="AP195" s="158"/>
      <c r="AQ195" s="158"/>
      <c r="AR195" s="158"/>
      <c r="AS195" s="12"/>
      <c r="AT195" s="2"/>
      <c r="AU195" s="58"/>
      <c r="AV195" s="106"/>
      <c r="AW195" s="158">
        <v>29</v>
      </c>
      <c r="AX195" s="158"/>
      <c r="AY195" s="158"/>
      <c r="AZ195" s="158"/>
      <c r="BA195" s="158"/>
      <c r="BB195" s="158"/>
      <c r="BC195" s="69"/>
      <c r="BD195" s="69"/>
      <c r="BE195" s="69"/>
      <c r="BF195" s="271">
        <v>2016</v>
      </c>
      <c r="BG195" s="271"/>
      <c r="BH195" s="271"/>
      <c r="BI195" s="271" t="s">
        <v>2376</v>
      </c>
    </row>
    <row r="196" spans="1:61" s="204" customFormat="1" ht="15" customHeight="1">
      <c r="A196" s="160" t="s">
        <v>504</v>
      </c>
      <c r="B196" s="58" t="s">
        <v>84</v>
      </c>
      <c r="C196" s="58" t="s">
        <v>96</v>
      </c>
      <c r="D196" s="467" t="s">
        <v>97</v>
      </c>
      <c r="E196" s="519"/>
      <c r="F196" s="519"/>
      <c r="G196" s="575"/>
      <c r="H196" s="30"/>
      <c r="I196" s="58"/>
      <c r="J196" s="212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94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94"/>
      <c r="AN196" s="158"/>
      <c r="AO196" s="158"/>
      <c r="AP196" s="158"/>
      <c r="AQ196" s="158"/>
      <c r="AR196" s="158"/>
      <c r="AS196" s="12"/>
      <c r="AT196" s="2"/>
      <c r="AU196" s="58"/>
      <c r="AV196" s="106"/>
      <c r="AW196" s="158">
        <v>23</v>
      </c>
      <c r="AX196" s="158"/>
      <c r="AY196" s="158"/>
      <c r="AZ196" s="158"/>
      <c r="BA196" s="158"/>
      <c r="BB196" s="158"/>
      <c r="BC196" s="69"/>
      <c r="BD196" s="69"/>
      <c r="BE196" s="69"/>
      <c r="BF196" s="271">
        <v>2016</v>
      </c>
      <c r="BG196" s="271"/>
      <c r="BH196" s="271"/>
      <c r="BI196" s="271" t="s">
        <v>2376</v>
      </c>
    </row>
    <row r="197" spans="1:61" s="204" customFormat="1" ht="15" customHeight="1">
      <c r="A197" s="160" t="s">
        <v>504</v>
      </c>
      <c r="B197" s="58" t="s">
        <v>84</v>
      </c>
      <c r="C197" s="58" t="s">
        <v>98</v>
      </c>
      <c r="D197" s="467" t="s">
        <v>40</v>
      </c>
      <c r="E197" s="519"/>
      <c r="F197" s="519"/>
      <c r="G197" s="575"/>
      <c r="H197" s="30"/>
      <c r="I197" s="58"/>
      <c r="J197" s="212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94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94"/>
      <c r="AN197" s="158"/>
      <c r="AO197" s="158"/>
      <c r="AP197" s="158"/>
      <c r="AQ197" s="158"/>
      <c r="AR197" s="158"/>
      <c r="AS197" s="12"/>
      <c r="AT197" s="2"/>
      <c r="AU197" s="58"/>
      <c r="AV197" s="106"/>
      <c r="AW197" s="158">
        <v>23</v>
      </c>
      <c r="AX197" s="158"/>
      <c r="AY197" s="158"/>
      <c r="AZ197" s="158"/>
      <c r="BA197" s="158"/>
      <c r="BB197" s="158"/>
      <c r="BC197" s="69"/>
      <c r="BD197" s="69"/>
      <c r="BE197" s="69"/>
      <c r="BF197" s="271">
        <v>2016</v>
      </c>
      <c r="BG197" s="271"/>
      <c r="BH197" s="271"/>
      <c r="BI197" s="271" t="s">
        <v>2376</v>
      </c>
    </row>
    <row r="198" spans="1:61" s="204" customFormat="1" ht="15" customHeight="1">
      <c r="A198" s="160" t="s">
        <v>504</v>
      </c>
      <c r="B198" s="58" t="s">
        <v>100</v>
      </c>
      <c r="C198" s="161" t="s">
        <v>99</v>
      </c>
      <c r="D198" s="145" t="s">
        <v>90</v>
      </c>
      <c r="E198" s="145"/>
      <c r="F198" s="145"/>
      <c r="G198" s="145"/>
      <c r="H198" s="30" t="s">
        <v>661</v>
      </c>
      <c r="I198" s="30"/>
      <c r="J198" s="212"/>
      <c r="K198" s="1"/>
      <c r="L198" s="1"/>
      <c r="M198" s="1"/>
      <c r="N198" s="1"/>
      <c r="O198" s="1"/>
      <c r="P198" s="1"/>
      <c r="Q198" s="1"/>
      <c r="R198" s="1"/>
      <c r="S198" s="158"/>
      <c r="T198" s="1"/>
      <c r="U198" s="1"/>
      <c r="V198" s="1"/>
      <c r="W198" s="1"/>
      <c r="X198" s="1"/>
      <c r="Y198" s="1"/>
      <c r="Z198" s="94"/>
      <c r="AA198" s="1"/>
      <c r="AB198" s="1"/>
      <c r="AC198" s="1"/>
      <c r="AD198" s="1"/>
      <c r="AE198" s="158"/>
      <c r="AF198" s="158"/>
      <c r="AG198" s="158"/>
      <c r="AH198" s="158"/>
      <c r="AI198" s="158"/>
      <c r="AJ198" s="158"/>
      <c r="AK198" s="158"/>
      <c r="AL198" s="158"/>
      <c r="AM198" s="94"/>
      <c r="AN198" s="158"/>
      <c r="AO198" s="158"/>
      <c r="AP198" s="1"/>
      <c r="AQ198" s="1"/>
      <c r="AR198" s="1"/>
      <c r="AS198" s="12"/>
      <c r="AT198" s="2">
        <v>1</v>
      </c>
      <c r="AU198" s="58" t="s">
        <v>646</v>
      </c>
      <c r="AV198" s="106"/>
      <c r="AW198" s="158">
        <v>7</v>
      </c>
      <c r="AX198" s="1"/>
      <c r="AY198" s="12"/>
      <c r="AZ198" s="1"/>
      <c r="BA198" s="1"/>
      <c r="BB198" s="1"/>
      <c r="BC198" s="287"/>
      <c r="BD198" s="287"/>
      <c r="BE198" s="69"/>
      <c r="BF198" s="271">
        <v>2016</v>
      </c>
      <c r="BG198" s="271"/>
      <c r="BH198" s="271"/>
      <c r="BI198" s="271" t="s">
        <v>2376</v>
      </c>
    </row>
    <row r="199" spans="1:61" s="204" customFormat="1" ht="15" customHeight="1">
      <c r="A199" s="160" t="s">
        <v>504</v>
      </c>
      <c r="B199" s="58" t="s">
        <v>100</v>
      </c>
      <c r="C199" s="161" t="s">
        <v>99</v>
      </c>
      <c r="D199" s="145" t="s">
        <v>90</v>
      </c>
      <c r="E199" s="145"/>
      <c r="F199" s="145"/>
      <c r="G199" s="145"/>
      <c r="H199" s="30" t="s">
        <v>661</v>
      </c>
      <c r="I199" s="30"/>
      <c r="J199" s="212"/>
      <c r="K199" s="1"/>
      <c r="L199" s="1"/>
      <c r="M199" s="1"/>
      <c r="N199" s="1"/>
      <c r="O199" s="1"/>
      <c r="P199" s="1"/>
      <c r="Q199" s="1"/>
      <c r="R199" s="1"/>
      <c r="S199" s="158"/>
      <c r="T199" s="1"/>
      <c r="U199" s="1"/>
      <c r="V199" s="1"/>
      <c r="W199" s="1"/>
      <c r="X199" s="1"/>
      <c r="Y199" s="1"/>
      <c r="Z199" s="94"/>
      <c r="AA199" s="1"/>
      <c r="AB199" s="1"/>
      <c r="AC199" s="1"/>
      <c r="AD199" s="1"/>
      <c r="AE199" s="158"/>
      <c r="AF199" s="158"/>
      <c r="AG199" s="158"/>
      <c r="AH199" s="158"/>
      <c r="AI199" s="158"/>
      <c r="AJ199" s="158"/>
      <c r="AK199" s="158"/>
      <c r="AL199" s="158"/>
      <c r="AM199" s="94"/>
      <c r="AN199" s="158"/>
      <c r="AO199" s="158"/>
      <c r="AP199" s="1"/>
      <c r="AQ199" s="1"/>
      <c r="AR199" s="1"/>
      <c r="AS199" s="12"/>
      <c r="AT199" s="2"/>
      <c r="AU199" s="58"/>
      <c r="AV199" s="106"/>
      <c r="AW199" s="158"/>
      <c r="AX199" s="1"/>
      <c r="AY199" s="688">
        <v>10</v>
      </c>
      <c r="AZ199" s="1"/>
      <c r="BA199" s="1"/>
      <c r="BB199" s="12">
        <v>10</v>
      </c>
      <c r="BC199" s="285"/>
      <c r="BD199" s="287"/>
      <c r="BE199" s="69"/>
      <c r="BF199" s="271">
        <v>2018</v>
      </c>
      <c r="BG199" s="271"/>
      <c r="BH199" s="271"/>
      <c r="BI199" s="271" t="s">
        <v>2376</v>
      </c>
    </row>
    <row r="200" spans="1:61" s="204" customFormat="1" ht="15" customHeight="1">
      <c r="A200" s="160" t="s">
        <v>504</v>
      </c>
      <c r="B200" s="58" t="s">
        <v>103</v>
      </c>
      <c r="C200" s="1" t="s">
        <v>101</v>
      </c>
      <c r="D200" s="1" t="s">
        <v>102</v>
      </c>
      <c r="E200" s="1"/>
      <c r="F200" s="1"/>
      <c r="G200" s="1"/>
      <c r="H200" s="30"/>
      <c r="I200" s="143"/>
      <c r="J200" s="212"/>
      <c r="K200" s="1"/>
      <c r="L200" s="1"/>
      <c r="M200" s="1"/>
      <c r="N200" s="1"/>
      <c r="O200" s="1"/>
      <c r="P200" s="1"/>
      <c r="Q200" s="1"/>
      <c r="R200" s="1"/>
      <c r="S200" s="158"/>
      <c r="T200" s="1"/>
      <c r="U200" s="1"/>
      <c r="V200" s="1"/>
      <c r="W200" s="1"/>
      <c r="X200" s="1"/>
      <c r="Y200" s="1"/>
      <c r="Z200" s="94"/>
      <c r="AA200" s="1"/>
      <c r="AB200" s="1"/>
      <c r="AC200" s="1"/>
      <c r="AD200" s="1"/>
      <c r="AE200" s="158"/>
      <c r="AF200" s="158"/>
      <c r="AG200" s="158"/>
      <c r="AH200" s="158"/>
      <c r="AI200" s="158"/>
      <c r="AJ200" s="158"/>
      <c r="AK200" s="158"/>
      <c r="AL200" s="158"/>
      <c r="AM200" s="94"/>
      <c r="AN200" s="158"/>
      <c r="AO200" s="158"/>
      <c r="AP200" s="1"/>
      <c r="AQ200" s="1"/>
      <c r="AR200" s="1"/>
      <c r="AS200" s="12"/>
      <c r="AT200" s="163"/>
      <c r="AU200" s="1"/>
      <c r="AV200" s="106"/>
      <c r="AW200" s="158">
        <v>27</v>
      </c>
      <c r="AX200" s="1"/>
      <c r="AY200" s="1"/>
      <c r="AZ200" s="1"/>
      <c r="BA200" s="1"/>
      <c r="BB200" s="1"/>
      <c r="BC200" s="287"/>
      <c r="BD200" s="287"/>
      <c r="BE200" s="69"/>
      <c r="BF200" s="271">
        <v>2016</v>
      </c>
      <c r="BG200" s="271"/>
      <c r="BH200" s="271"/>
      <c r="BI200" s="271" t="s">
        <v>2376</v>
      </c>
    </row>
    <row r="201" spans="1:61" s="204" customFormat="1" ht="15" customHeight="1">
      <c r="A201" s="160" t="s">
        <v>504</v>
      </c>
      <c r="B201" s="58" t="s">
        <v>89</v>
      </c>
      <c r="C201" s="141" t="s">
        <v>104</v>
      </c>
      <c r="D201" s="146" t="s">
        <v>105</v>
      </c>
      <c r="E201" s="146"/>
      <c r="F201" s="146"/>
      <c r="G201" s="146"/>
      <c r="H201" s="30" t="s">
        <v>664</v>
      </c>
      <c r="I201" s="162"/>
      <c r="J201" s="212"/>
      <c r="K201" s="1"/>
      <c r="L201" s="141"/>
      <c r="M201" s="141"/>
      <c r="N201" s="141"/>
      <c r="O201" s="141"/>
      <c r="P201" s="141"/>
      <c r="Q201" s="141"/>
      <c r="R201" s="141"/>
      <c r="S201" s="158"/>
      <c r="T201" s="141"/>
      <c r="U201" s="141"/>
      <c r="V201" s="141"/>
      <c r="W201" s="141"/>
      <c r="X201" s="141"/>
      <c r="Y201" s="141"/>
      <c r="Z201" s="94"/>
      <c r="AA201" s="141"/>
      <c r="AB201" s="141"/>
      <c r="AC201" s="141"/>
      <c r="AD201" s="141"/>
      <c r="AE201" s="158"/>
      <c r="AF201" s="158"/>
      <c r="AG201" s="158"/>
      <c r="AH201" s="158"/>
      <c r="AI201" s="158"/>
      <c r="AJ201" s="158"/>
      <c r="AK201" s="158"/>
      <c r="AL201" s="158"/>
      <c r="AM201" s="94"/>
      <c r="AN201" s="158"/>
      <c r="AO201" s="158"/>
      <c r="AP201" s="141"/>
      <c r="AQ201" s="141"/>
      <c r="AR201" s="141"/>
      <c r="AS201" s="12"/>
      <c r="AT201" s="163">
        <v>1</v>
      </c>
      <c r="AU201" s="1" t="s">
        <v>646</v>
      </c>
      <c r="AV201" s="106"/>
      <c r="AW201" s="141"/>
      <c r="AX201" s="158">
        <f>40-1</f>
        <v>39</v>
      </c>
      <c r="AY201" s="141"/>
      <c r="AZ201" s="141"/>
      <c r="BA201" s="141"/>
      <c r="BB201" s="141"/>
      <c r="BC201" s="288"/>
      <c r="BD201" s="288"/>
      <c r="BE201" s="69"/>
      <c r="BF201" s="271">
        <v>2017</v>
      </c>
      <c r="BG201" s="271"/>
      <c r="BH201" s="714"/>
      <c r="BI201" s="271" t="s">
        <v>2376</v>
      </c>
    </row>
    <row r="202" spans="1:61" s="204" customFormat="1" ht="18" customHeight="1">
      <c r="A202" s="160" t="s">
        <v>504</v>
      </c>
      <c r="B202" s="58" t="s">
        <v>89</v>
      </c>
      <c r="C202" s="141" t="s">
        <v>104</v>
      </c>
      <c r="D202" s="146" t="s">
        <v>105</v>
      </c>
      <c r="E202" s="146"/>
      <c r="F202" s="146"/>
      <c r="G202" s="146"/>
      <c r="H202" s="30" t="s">
        <v>664</v>
      </c>
      <c r="I202" s="30">
        <v>572</v>
      </c>
      <c r="J202" s="212">
        <v>42450</v>
      </c>
      <c r="K202" s="158"/>
      <c r="L202" s="96"/>
      <c r="M202" s="158">
        <v>1</v>
      </c>
      <c r="N202" s="158"/>
      <c r="O202" s="158"/>
      <c r="P202" s="10">
        <v>56684296</v>
      </c>
      <c r="Q202" s="10"/>
      <c r="R202" s="158"/>
      <c r="S202" s="158"/>
      <c r="T202" s="164"/>
      <c r="U202" s="164"/>
      <c r="V202" s="164"/>
      <c r="W202" s="164"/>
      <c r="X202" s="164"/>
      <c r="Y202" s="164"/>
      <c r="Z202" s="94"/>
      <c r="AA202" s="164"/>
      <c r="AB202" s="164"/>
      <c r="AC202" s="164"/>
      <c r="AD202" s="158">
        <v>56684296</v>
      </c>
      <c r="AE202" s="158"/>
      <c r="AF202" s="158">
        <f>P202-U202-Z202-AD202</f>
        <v>0</v>
      </c>
      <c r="AG202" s="158"/>
      <c r="AH202" s="94">
        <v>0</v>
      </c>
      <c r="AI202" s="94">
        <v>0</v>
      </c>
      <c r="AJ202" s="94"/>
      <c r="AK202" s="158">
        <f>AF202+AH202</f>
        <v>0</v>
      </c>
      <c r="AL202" s="158">
        <v>877</v>
      </c>
      <c r="AM202" s="94">
        <v>20</v>
      </c>
      <c r="AN202" s="158"/>
      <c r="AO202" s="158"/>
      <c r="AP202" s="12"/>
      <c r="AQ202" s="12"/>
      <c r="AR202" s="12"/>
      <c r="AS202" s="12"/>
      <c r="AT202" s="2">
        <v>0</v>
      </c>
      <c r="AU202" s="1" t="s">
        <v>687</v>
      </c>
      <c r="AV202" s="391" t="s">
        <v>1368</v>
      </c>
      <c r="AW202" s="141"/>
      <c r="AX202" s="141"/>
      <c r="AY202" s="141"/>
      <c r="AZ202" s="141"/>
      <c r="BA202" s="141"/>
      <c r="BB202" s="141"/>
      <c r="BC202" s="288"/>
      <c r="BD202" s="288"/>
      <c r="BE202" s="69">
        <v>1</v>
      </c>
      <c r="BF202" s="271" t="s">
        <v>1706</v>
      </c>
      <c r="BG202" s="271">
        <v>2019</v>
      </c>
      <c r="BH202" s="271"/>
      <c r="BI202" s="271" t="s">
        <v>2375</v>
      </c>
    </row>
    <row r="203" spans="1:61" s="204" customFormat="1" ht="15" customHeight="1">
      <c r="A203" s="160" t="s">
        <v>504</v>
      </c>
      <c r="B203" s="58" t="s">
        <v>86</v>
      </c>
      <c r="C203" s="1" t="s">
        <v>106</v>
      </c>
      <c r="D203" s="143" t="s">
        <v>570</v>
      </c>
      <c r="E203" s="143"/>
      <c r="F203" s="143"/>
      <c r="G203" s="143"/>
      <c r="H203" s="30" t="s">
        <v>664</v>
      </c>
      <c r="I203" s="162"/>
      <c r="J203" s="212"/>
      <c r="K203" s="1"/>
      <c r="L203" s="1"/>
      <c r="M203" s="1"/>
      <c r="N203" s="1"/>
      <c r="O203" s="1"/>
      <c r="P203" s="1"/>
      <c r="Q203" s="1"/>
      <c r="R203" s="158"/>
      <c r="S203" s="158"/>
      <c r="T203" s="1"/>
      <c r="U203" s="1"/>
      <c r="V203" s="1"/>
      <c r="W203" s="1"/>
      <c r="X203" s="1"/>
      <c r="Y203" s="1"/>
      <c r="Z203" s="94"/>
      <c r="AA203" s="1"/>
      <c r="AB203" s="1"/>
      <c r="AC203" s="1"/>
      <c r="AD203" s="1"/>
      <c r="AE203" s="158"/>
      <c r="AF203" s="158"/>
      <c r="AG203" s="158"/>
      <c r="AH203" s="158"/>
      <c r="AI203" s="158"/>
      <c r="AJ203" s="158"/>
      <c r="AK203" s="158"/>
      <c r="AL203" s="158"/>
      <c r="AM203" s="94"/>
      <c r="AN203" s="158"/>
      <c r="AO203" s="158"/>
      <c r="AP203" s="141"/>
      <c r="AQ203" s="141"/>
      <c r="AR203" s="141"/>
      <c r="AS203" s="141"/>
      <c r="AT203" s="163">
        <v>1</v>
      </c>
      <c r="AU203" s="1" t="s">
        <v>646</v>
      </c>
      <c r="AV203" s="106"/>
      <c r="AW203" s="1" t="s">
        <v>0</v>
      </c>
      <c r="AX203" s="158">
        <v>50</v>
      </c>
      <c r="AY203" s="141"/>
      <c r="AZ203" s="141"/>
      <c r="BA203" s="141"/>
      <c r="BB203" s="141"/>
      <c r="BC203" s="288"/>
      <c r="BD203" s="288"/>
      <c r="BE203" s="69"/>
      <c r="BF203" s="271">
        <v>2017</v>
      </c>
      <c r="BG203" s="271"/>
      <c r="BH203" s="271"/>
      <c r="BI203" s="271" t="s">
        <v>2376</v>
      </c>
    </row>
    <row r="204" spans="1:61" s="204" customFormat="1" ht="27" customHeight="1">
      <c r="A204" s="160" t="s">
        <v>504</v>
      </c>
      <c r="B204" s="58" t="s">
        <v>86</v>
      </c>
      <c r="C204" s="27" t="s">
        <v>106</v>
      </c>
      <c r="D204" s="143" t="s">
        <v>570</v>
      </c>
      <c r="E204" s="143"/>
      <c r="F204" s="143"/>
      <c r="G204" s="143"/>
      <c r="H204" s="30" t="s">
        <v>664</v>
      </c>
      <c r="I204" s="30">
        <v>783</v>
      </c>
      <c r="J204" s="212">
        <v>42482</v>
      </c>
      <c r="K204" s="158">
        <v>1</v>
      </c>
      <c r="L204" s="158">
        <v>1</v>
      </c>
      <c r="M204" s="158"/>
      <c r="N204" s="158"/>
      <c r="O204" s="158"/>
      <c r="P204" s="158">
        <f>69310052</f>
        <v>69310052</v>
      </c>
      <c r="Q204" s="158"/>
      <c r="R204" s="158"/>
      <c r="S204" s="158"/>
      <c r="T204" s="158"/>
      <c r="U204" s="158"/>
      <c r="V204" s="158"/>
      <c r="W204" s="158"/>
      <c r="X204" s="158"/>
      <c r="Y204" s="158"/>
      <c r="Z204" s="94"/>
      <c r="AA204" s="158"/>
      <c r="AB204" s="158"/>
      <c r="AC204" s="158"/>
      <c r="AD204" s="158">
        <f>69310052</f>
        <v>69310052</v>
      </c>
      <c r="AE204" s="158"/>
      <c r="AF204" s="158">
        <f>P204-U204-Z204-AD204</f>
        <v>0</v>
      </c>
      <c r="AG204" s="158"/>
      <c r="AH204" s="94">
        <v>0</v>
      </c>
      <c r="AI204" s="94">
        <v>0</v>
      </c>
      <c r="AJ204" s="94"/>
      <c r="AK204" s="158">
        <f>AF204+AH204</f>
        <v>0</v>
      </c>
      <c r="AL204" s="158">
        <v>877</v>
      </c>
      <c r="AM204" s="94">
        <v>10</v>
      </c>
      <c r="AN204" s="158"/>
      <c r="AO204" s="158"/>
      <c r="AP204" s="12"/>
      <c r="AQ204" s="12"/>
      <c r="AR204" s="12"/>
      <c r="AS204" s="12"/>
      <c r="AT204" s="2">
        <v>0</v>
      </c>
      <c r="AU204" s="1" t="s">
        <v>687</v>
      </c>
      <c r="AV204" s="391" t="s">
        <v>1356</v>
      </c>
      <c r="AW204" s="1"/>
      <c r="AX204" s="141"/>
      <c r="AY204" s="141"/>
      <c r="AZ204" s="141"/>
      <c r="BA204" s="141"/>
      <c r="BB204" s="141"/>
      <c r="BC204" s="288"/>
      <c r="BD204" s="288"/>
      <c r="BE204" s="69">
        <v>1</v>
      </c>
      <c r="BF204" s="271" t="s">
        <v>1706</v>
      </c>
      <c r="BG204" s="271">
        <v>2019</v>
      </c>
      <c r="BH204" s="445"/>
      <c r="BI204" s="445" t="s">
        <v>2375</v>
      </c>
    </row>
    <row r="205" spans="1:61" s="204" customFormat="1" ht="15" customHeight="1">
      <c r="A205" s="160" t="s">
        <v>504</v>
      </c>
      <c r="B205" s="58" t="s">
        <v>84</v>
      </c>
      <c r="C205" s="58" t="s">
        <v>107</v>
      </c>
      <c r="D205" s="144" t="s">
        <v>45</v>
      </c>
      <c r="E205" s="144"/>
      <c r="F205" s="144"/>
      <c r="G205" s="144"/>
      <c r="H205" s="30" t="s">
        <v>635</v>
      </c>
      <c r="I205" s="30"/>
      <c r="J205" s="212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94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94"/>
      <c r="AN205" s="158"/>
      <c r="AO205" s="158"/>
      <c r="AP205" s="158"/>
      <c r="AQ205" s="158"/>
      <c r="AR205" s="158"/>
      <c r="AS205" s="158"/>
      <c r="AT205" s="2">
        <v>1</v>
      </c>
      <c r="AU205" s="58" t="s">
        <v>646</v>
      </c>
      <c r="AV205" s="58" t="s">
        <v>645</v>
      </c>
      <c r="AW205" s="158"/>
      <c r="AX205" s="158">
        <v>67</v>
      </c>
      <c r="AY205" s="158"/>
      <c r="AZ205" s="158"/>
      <c r="BA205" s="158"/>
      <c r="BB205" s="158"/>
      <c r="BC205" s="69"/>
      <c r="BD205" s="69"/>
      <c r="BE205" s="69"/>
      <c r="BF205" s="271">
        <v>2017</v>
      </c>
      <c r="BG205" s="271"/>
      <c r="BH205" s="271"/>
      <c r="BI205" s="271" t="s">
        <v>2376</v>
      </c>
    </row>
    <row r="206" spans="1:61" s="204" customFormat="1" ht="15" customHeight="1">
      <c r="A206" s="160" t="s">
        <v>504</v>
      </c>
      <c r="B206" s="58" t="s">
        <v>84</v>
      </c>
      <c r="C206" s="124" t="s">
        <v>108</v>
      </c>
      <c r="D206" s="126" t="s">
        <v>109</v>
      </c>
      <c r="E206" s="126"/>
      <c r="F206" s="126"/>
      <c r="G206" s="126"/>
      <c r="H206" s="30" t="s">
        <v>636</v>
      </c>
      <c r="I206" s="30"/>
      <c r="J206" s="212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94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94"/>
      <c r="AN206" s="158"/>
      <c r="AO206" s="158"/>
      <c r="AP206" s="158"/>
      <c r="AQ206" s="158"/>
      <c r="AR206" s="158"/>
      <c r="AS206" s="158"/>
      <c r="AT206" s="2">
        <v>1</v>
      </c>
      <c r="AU206" s="58" t="s">
        <v>646</v>
      </c>
      <c r="AV206" s="106"/>
      <c r="AW206" s="158"/>
      <c r="AX206" s="158">
        <v>39</v>
      </c>
      <c r="AY206" s="158"/>
      <c r="AZ206" s="158"/>
      <c r="BA206" s="158"/>
      <c r="BB206" s="158"/>
      <c r="BC206" s="69"/>
      <c r="BD206" s="69"/>
      <c r="BE206" s="69"/>
      <c r="BF206" s="271">
        <v>2017</v>
      </c>
      <c r="BG206" s="271"/>
      <c r="BH206" s="271"/>
      <c r="BI206" s="271" t="s">
        <v>2376</v>
      </c>
    </row>
    <row r="207" spans="1:61" s="204" customFormat="1" ht="15" customHeight="1">
      <c r="A207" s="160" t="s">
        <v>504</v>
      </c>
      <c r="B207" s="58" t="s">
        <v>84</v>
      </c>
      <c r="C207" s="124" t="s">
        <v>110</v>
      </c>
      <c r="D207" s="126" t="s">
        <v>45</v>
      </c>
      <c r="E207" s="126"/>
      <c r="F207" s="126"/>
      <c r="G207" s="126"/>
      <c r="H207" s="30" t="s">
        <v>636</v>
      </c>
      <c r="I207" s="30"/>
      <c r="J207" s="212"/>
      <c r="K207" s="6"/>
      <c r="L207" s="6"/>
      <c r="M207" s="6"/>
      <c r="N207" s="6"/>
      <c r="O207" s="6"/>
      <c r="P207" s="6"/>
      <c r="Q207" s="6"/>
      <c r="R207" s="158"/>
      <c r="S207" s="158"/>
      <c r="T207" s="6"/>
      <c r="U207" s="6"/>
      <c r="V207" s="6"/>
      <c r="W207" s="6"/>
      <c r="X207" s="6"/>
      <c r="Y207" s="6"/>
      <c r="Z207" s="94"/>
      <c r="AA207" s="6"/>
      <c r="AB207" s="6"/>
      <c r="AC207" s="6"/>
      <c r="AD207" s="6"/>
      <c r="AE207" s="158"/>
      <c r="AF207" s="158"/>
      <c r="AG207" s="158"/>
      <c r="AH207" s="158"/>
      <c r="AI207" s="158"/>
      <c r="AJ207" s="158"/>
      <c r="AK207" s="158"/>
      <c r="AL207" s="158"/>
      <c r="AM207" s="94"/>
      <c r="AN207" s="158"/>
      <c r="AO207" s="158"/>
      <c r="AP207" s="6"/>
      <c r="AQ207" s="6"/>
      <c r="AR207" s="6"/>
      <c r="AS207" s="6"/>
      <c r="AT207" s="2">
        <v>1</v>
      </c>
      <c r="AU207" s="58" t="s">
        <v>646</v>
      </c>
      <c r="AV207" s="106"/>
      <c r="AW207" s="6"/>
      <c r="AX207" s="158">
        <v>15</v>
      </c>
      <c r="AY207" s="6"/>
      <c r="AZ207" s="6"/>
      <c r="BA207" s="6"/>
      <c r="BB207" s="6"/>
      <c r="BC207" s="289"/>
      <c r="BD207" s="289"/>
      <c r="BE207" s="69"/>
      <c r="BF207" s="271">
        <v>2017</v>
      </c>
      <c r="BG207" s="271"/>
      <c r="BH207" s="271"/>
      <c r="BI207" s="271" t="s">
        <v>2376</v>
      </c>
    </row>
    <row r="208" spans="1:61" s="204" customFormat="1" ht="15" customHeight="1">
      <c r="A208" s="160" t="s">
        <v>504</v>
      </c>
      <c r="B208" s="58" t="s">
        <v>84</v>
      </c>
      <c r="C208" s="124" t="s">
        <v>111</v>
      </c>
      <c r="D208" s="126" t="s">
        <v>112</v>
      </c>
      <c r="E208" s="126"/>
      <c r="F208" s="126"/>
      <c r="G208" s="126"/>
      <c r="H208" s="30"/>
      <c r="I208" s="144"/>
      <c r="J208" s="212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94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94"/>
      <c r="AN208" s="158"/>
      <c r="AO208" s="158"/>
      <c r="AP208" s="158"/>
      <c r="AQ208" s="158"/>
      <c r="AR208" s="158"/>
      <c r="AS208" s="158"/>
      <c r="AT208" s="2"/>
      <c r="AU208" s="58"/>
      <c r="AV208" s="106"/>
      <c r="AW208" s="158">
        <v>53</v>
      </c>
      <c r="AX208" s="158"/>
      <c r="AY208" s="158"/>
      <c r="AZ208" s="158"/>
      <c r="BA208" s="158"/>
      <c r="BB208" s="158"/>
      <c r="BC208" s="69"/>
      <c r="BD208" s="69"/>
      <c r="BE208" s="69"/>
      <c r="BF208" s="271">
        <v>2016</v>
      </c>
      <c r="BG208" s="271"/>
      <c r="BH208" s="271"/>
      <c r="BI208" s="271" t="s">
        <v>2376</v>
      </c>
    </row>
    <row r="209" spans="1:61" s="204" customFormat="1" ht="18" customHeight="1">
      <c r="A209" s="160" t="s">
        <v>504</v>
      </c>
      <c r="B209" s="58" t="s">
        <v>579</v>
      </c>
      <c r="C209" s="124" t="s">
        <v>559</v>
      </c>
      <c r="D209" s="126" t="s">
        <v>560</v>
      </c>
      <c r="E209" s="126"/>
      <c r="F209" s="126"/>
      <c r="G209" s="126"/>
      <c r="H209" s="30" t="s">
        <v>657</v>
      </c>
      <c r="I209" s="30">
        <v>850</v>
      </c>
      <c r="J209" s="212">
        <v>41379</v>
      </c>
      <c r="K209" s="158"/>
      <c r="L209" s="158"/>
      <c r="M209" s="158">
        <v>70</v>
      </c>
      <c r="N209" s="158"/>
      <c r="O209" s="158">
        <v>70</v>
      </c>
      <c r="P209" s="10">
        <v>4300254950</v>
      </c>
      <c r="Q209" s="10"/>
      <c r="R209" s="158">
        <v>718200000</v>
      </c>
      <c r="S209" s="158"/>
      <c r="T209" s="158"/>
      <c r="U209" s="10">
        <v>1448106414</v>
      </c>
      <c r="V209" s="10"/>
      <c r="W209" s="10"/>
      <c r="X209" s="10"/>
      <c r="Y209" s="10"/>
      <c r="Z209" s="10">
        <v>2133948536</v>
      </c>
      <c r="AA209" s="158"/>
      <c r="AB209" s="158"/>
      <c r="AC209" s="158"/>
      <c r="AD209" s="158"/>
      <c r="AE209" s="158"/>
      <c r="AF209" s="158">
        <f>P209-R209-U209-Z209</f>
        <v>0</v>
      </c>
      <c r="AG209" s="158"/>
      <c r="AH209" s="94">
        <v>0</v>
      </c>
      <c r="AI209" s="94">
        <v>0</v>
      </c>
      <c r="AJ209" s="94"/>
      <c r="AK209" s="158">
        <f>P209-R209-U209-Z209</f>
        <v>0</v>
      </c>
      <c r="AL209" s="158">
        <v>877</v>
      </c>
      <c r="AM209" s="94">
        <v>10</v>
      </c>
      <c r="AN209" s="158"/>
      <c r="AO209" s="158"/>
      <c r="AP209" s="158"/>
      <c r="AQ209" s="158">
        <v>70</v>
      </c>
      <c r="AR209" s="158"/>
      <c r="AS209" s="158"/>
      <c r="AT209" s="2">
        <v>0.73780000000000001</v>
      </c>
      <c r="AU209" s="58" t="s">
        <v>942</v>
      </c>
      <c r="AV209" s="104"/>
      <c r="AW209" s="158"/>
      <c r="AX209" s="158"/>
      <c r="AY209" s="158"/>
      <c r="AZ209" s="158"/>
      <c r="BA209" s="158"/>
      <c r="BB209" s="158"/>
      <c r="BC209" s="69"/>
      <c r="BD209" s="69"/>
      <c r="BE209" s="69"/>
      <c r="BF209" s="271"/>
      <c r="BG209" s="271">
        <v>2019</v>
      </c>
      <c r="BH209" s="271">
        <v>2020</v>
      </c>
      <c r="BI209" s="271" t="s">
        <v>2375</v>
      </c>
    </row>
    <row r="210" spans="1:61" s="204" customFormat="1" ht="15" customHeight="1">
      <c r="A210" s="160" t="s">
        <v>504</v>
      </c>
      <c r="B210" s="58" t="s">
        <v>76</v>
      </c>
      <c r="C210" s="124" t="s">
        <v>113</v>
      </c>
      <c r="D210" s="126" t="s">
        <v>90</v>
      </c>
      <c r="E210" s="126"/>
      <c r="F210" s="126"/>
      <c r="G210" s="126"/>
      <c r="H210" s="30"/>
      <c r="I210" s="144"/>
      <c r="J210" s="212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94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94"/>
      <c r="AN210" s="158"/>
      <c r="AO210" s="158"/>
      <c r="AP210" s="158"/>
      <c r="AQ210" s="158"/>
      <c r="AR210" s="158"/>
      <c r="AS210" s="158"/>
      <c r="AT210" s="2"/>
      <c r="AU210" s="58"/>
      <c r="AV210" s="106"/>
      <c r="AW210" s="158">
        <v>14</v>
      </c>
      <c r="AX210" s="158"/>
      <c r="AY210" s="158"/>
      <c r="AZ210" s="158"/>
      <c r="BA210" s="158"/>
      <c r="BB210" s="158"/>
      <c r="BC210" s="69"/>
      <c r="BD210" s="69"/>
      <c r="BE210" s="69"/>
      <c r="BF210" s="271">
        <v>2016</v>
      </c>
      <c r="BG210" s="271"/>
      <c r="BH210" s="271"/>
      <c r="BI210" s="271" t="s">
        <v>2376</v>
      </c>
    </row>
    <row r="211" spans="1:61" s="204" customFormat="1" ht="15" customHeight="1">
      <c r="A211" s="160" t="s">
        <v>504</v>
      </c>
      <c r="B211" s="58" t="s">
        <v>84</v>
      </c>
      <c r="C211" s="124" t="s">
        <v>114</v>
      </c>
      <c r="D211" s="126" t="s">
        <v>75</v>
      </c>
      <c r="E211" s="126"/>
      <c r="F211" s="126"/>
      <c r="G211" s="126"/>
      <c r="H211" s="30"/>
      <c r="I211" s="144"/>
      <c r="J211" s="212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94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94"/>
      <c r="AN211" s="158"/>
      <c r="AO211" s="158"/>
      <c r="AP211" s="158"/>
      <c r="AQ211" s="158"/>
      <c r="AR211" s="158"/>
      <c r="AS211" s="158"/>
      <c r="AT211" s="2"/>
      <c r="AU211" s="58"/>
      <c r="AV211" s="106"/>
      <c r="AW211" s="158">
        <v>48</v>
      </c>
      <c r="AX211" s="158"/>
      <c r="AY211" s="158"/>
      <c r="AZ211" s="158"/>
      <c r="BA211" s="158"/>
      <c r="BB211" s="158"/>
      <c r="BC211" s="69"/>
      <c r="BD211" s="69"/>
      <c r="BE211" s="69"/>
      <c r="BF211" s="271">
        <v>2016</v>
      </c>
      <c r="BG211" s="271"/>
      <c r="BH211" s="271"/>
      <c r="BI211" s="271" t="s">
        <v>2376</v>
      </c>
    </row>
    <row r="212" spans="1:61" s="204" customFormat="1" ht="15" customHeight="1">
      <c r="A212" s="160" t="s">
        <v>504</v>
      </c>
      <c r="B212" s="58" t="s">
        <v>84</v>
      </c>
      <c r="C212" s="124" t="s">
        <v>115</v>
      </c>
      <c r="D212" s="126" t="s">
        <v>75</v>
      </c>
      <c r="E212" s="126"/>
      <c r="F212" s="126"/>
      <c r="G212" s="126"/>
      <c r="H212" s="30"/>
      <c r="I212" s="144"/>
      <c r="J212" s="212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94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94"/>
      <c r="AN212" s="158"/>
      <c r="AO212" s="158"/>
      <c r="AP212" s="158"/>
      <c r="AQ212" s="158"/>
      <c r="AR212" s="158"/>
      <c r="AS212" s="158"/>
      <c r="AT212" s="2"/>
      <c r="AU212" s="58"/>
      <c r="AV212" s="106"/>
      <c r="AW212" s="158">
        <v>30</v>
      </c>
      <c r="AX212" s="158"/>
      <c r="AY212" s="158"/>
      <c r="AZ212" s="158"/>
      <c r="BA212" s="158"/>
      <c r="BB212" s="158"/>
      <c r="BC212" s="69"/>
      <c r="BD212" s="69"/>
      <c r="BE212" s="69"/>
      <c r="BF212" s="271">
        <v>2016</v>
      </c>
      <c r="BG212" s="271"/>
      <c r="BH212" s="271"/>
      <c r="BI212" s="271" t="s">
        <v>2376</v>
      </c>
    </row>
    <row r="213" spans="1:61" s="204" customFormat="1" ht="15" customHeight="1">
      <c r="A213" s="160" t="s">
        <v>504</v>
      </c>
      <c r="B213" s="58" t="s">
        <v>84</v>
      </c>
      <c r="C213" s="124" t="s">
        <v>116</v>
      </c>
      <c r="D213" s="126" t="s">
        <v>75</v>
      </c>
      <c r="E213" s="126"/>
      <c r="F213" s="126"/>
      <c r="G213" s="126"/>
      <c r="H213" s="30"/>
      <c r="I213" s="144"/>
      <c r="J213" s="212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94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94"/>
      <c r="AN213" s="158"/>
      <c r="AO213" s="158"/>
      <c r="AP213" s="158"/>
      <c r="AQ213" s="158"/>
      <c r="AR213" s="158"/>
      <c r="AS213" s="158"/>
      <c r="AT213" s="2"/>
      <c r="AU213" s="58"/>
      <c r="AV213" s="106"/>
      <c r="AW213" s="158">
        <v>30</v>
      </c>
      <c r="AX213" s="158"/>
      <c r="AY213" s="158"/>
      <c r="AZ213" s="158"/>
      <c r="BA213" s="158"/>
      <c r="BB213" s="158"/>
      <c r="BC213" s="69"/>
      <c r="BD213" s="69"/>
      <c r="BE213" s="69"/>
      <c r="BF213" s="271">
        <v>2016</v>
      </c>
      <c r="BG213" s="271"/>
      <c r="BH213" s="271"/>
      <c r="BI213" s="271" t="s">
        <v>2376</v>
      </c>
    </row>
    <row r="214" spans="1:61" s="204" customFormat="1" ht="15" customHeight="1">
      <c r="A214" s="160" t="s">
        <v>504</v>
      </c>
      <c r="B214" s="58" t="s">
        <v>84</v>
      </c>
      <c r="C214" s="58" t="s">
        <v>1112</v>
      </c>
      <c r="D214" s="126" t="s">
        <v>75</v>
      </c>
      <c r="E214" s="126"/>
      <c r="F214" s="126"/>
      <c r="G214" s="126"/>
      <c r="H214" s="30" t="s">
        <v>663</v>
      </c>
      <c r="I214" s="30"/>
      <c r="J214" s="212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94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94"/>
      <c r="AN214" s="158"/>
      <c r="AO214" s="158"/>
      <c r="AP214" s="158"/>
      <c r="AQ214" s="158"/>
      <c r="AR214" s="158"/>
      <c r="AS214" s="158"/>
      <c r="AT214" s="2">
        <v>1</v>
      </c>
      <c r="AU214" s="58" t="s">
        <v>646</v>
      </c>
      <c r="AV214" s="106"/>
      <c r="AW214" s="158"/>
      <c r="AX214" s="158"/>
      <c r="AY214" s="72">
        <v>31</v>
      </c>
      <c r="AZ214" s="158"/>
      <c r="BA214" s="158"/>
      <c r="BB214" s="158">
        <v>31</v>
      </c>
      <c r="BC214" s="69"/>
      <c r="BD214" s="69"/>
      <c r="BE214" s="69"/>
      <c r="BF214" s="271">
        <v>2018</v>
      </c>
      <c r="BG214" s="271"/>
      <c r="BH214" s="271"/>
      <c r="BI214" s="271" t="s">
        <v>2376</v>
      </c>
    </row>
    <row r="215" spans="1:61" s="204" customFormat="1" ht="15" customHeight="1">
      <c r="A215" s="160" t="s">
        <v>504</v>
      </c>
      <c r="B215" s="58" t="s">
        <v>84</v>
      </c>
      <c r="C215" s="126" t="s">
        <v>117</v>
      </c>
      <c r="D215" s="126" t="s">
        <v>13</v>
      </c>
      <c r="E215" s="126"/>
      <c r="F215" s="126"/>
      <c r="G215" s="126"/>
      <c r="H215" s="30"/>
      <c r="I215" s="144"/>
      <c r="J215" s="212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94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94"/>
      <c r="AN215" s="158"/>
      <c r="AO215" s="158"/>
      <c r="AP215" s="158"/>
      <c r="AQ215" s="158"/>
      <c r="AR215" s="158"/>
      <c r="AS215" s="158"/>
      <c r="AT215" s="2"/>
      <c r="AU215" s="58"/>
      <c r="AV215" s="106"/>
      <c r="AW215" s="158">
        <v>37</v>
      </c>
      <c r="AX215" s="158"/>
      <c r="AY215" s="158"/>
      <c r="AZ215" s="158"/>
      <c r="BA215" s="158"/>
      <c r="BB215" s="158"/>
      <c r="BC215" s="69"/>
      <c r="BD215" s="69"/>
      <c r="BE215" s="69"/>
      <c r="BF215" s="271">
        <v>2016</v>
      </c>
      <c r="BG215" s="271"/>
      <c r="BH215" s="271"/>
      <c r="BI215" s="271" t="s">
        <v>2376</v>
      </c>
    </row>
    <row r="216" spans="1:61" s="204" customFormat="1" ht="15" customHeight="1">
      <c r="A216" s="160" t="s">
        <v>504</v>
      </c>
      <c r="B216" s="58" t="s">
        <v>83</v>
      </c>
      <c r="C216" s="126" t="s">
        <v>118</v>
      </c>
      <c r="D216" s="126" t="s">
        <v>105</v>
      </c>
      <c r="E216" s="126"/>
      <c r="F216" s="126"/>
      <c r="G216" s="126"/>
      <c r="H216" s="30"/>
      <c r="I216" s="144"/>
      <c r="J216" s="212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94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94"/>
      <c r="AN216" s="158"/>
      <c r="AO216" s="158"/>
      <c r="AP216" s="158"/>
      <c r="AQ216" s="158"/>
      <c r="AR216" s="158"/>
      <c r="AS216" s="158"/>
      <c r="AT216" s="2"/>
      <c r="AU216" s="58"/>
      <c r="AV216" s="106"/>
      <c r="AW216" s="158">
        <v>24</v>
      </c>
      <c r="AX216" s="158"/>
      <c r="AY216" s="158"/>
      <c r="AZ216" s="158"/>
      <c r="BA216" s="158"/>
      <c r="BB216" s="158"/>
      <c r="BC216" s="69"/>
      <c r="BD216" s="69"/>
      <c r="BE216" s="69"/>
      <c r="BF216" s="271">
        <v>2016</v>
      </c>
      <c r="BG216" s="271"/>
      <c r="BH216" s="444"/>
      <c r="BI216" s="271" t="s">
        <v>2376</v>
      </c>
    </row>
    <row r="217" spans="1:61" s="204" customFormat="1" ht="15" customHeight="1">
      <c r="A217" s="160" t="s">
        <v>504</v>
      </c>
      <c r="B217" s="58" t="s">
        <v>84</v>
      </c>
      <c r="C217" s="126" t="s">
        <v>748</v>
      </c>
      <c r="D217" s="126" t="s">
        <v>105</v>
      </c>
      <c r="E217" s="126"/>
      <c r="F217" s="126"/>
      <c r="G217" s="126"/>
      <c r="H217" s="30" t="s">
        <v>713</v>
      </c>
      <c r="I217" s="30">
        <v>1953</v>
      </c>
      <c r="J217" s="212">
        <v>42991</v>
      </c>
      <c r="K217" s="158"/>
      <c r="L217" s="96"/>
      <c r="M217" s="96"/>
      <c r="N217" s="96"/>
      <c r="O217" s="96"/>
      <c r="P217" s="158">
        <f>1728012563-123429468</f>
        <v>1604583095</v>
      </c>
      <c r="Q217" s="158"/>
      <c r="R217" s="158"/>
      <c r="S217" s="158"/>
      <c r="T217" s="96"/>
      <c r="U217" s="158">
        <v>643803590</v>
      </c>
      <c r="V217" s="96"/>
      <c r="W217" s="96"/>
      <c r="X217" s="96"/>
      <c r="Y217" s="96"/>
      <c r="Z217" s="158">
        <v>960779505</v>
      </c>
      <c r="AA217" s="96"/>
      <c r="AB217" s="96"/>
      <c r="AC217" s="96"/>
      <c r="AD217" s="96"/>
      <c r="AE217" s="158"/>
      <c r="AF217" s="158">
        <f>P217-U217-Z217</f>
        <v>0</v>
      </c>
      <c r="AG217" s="158"/>
      <c r="AH217" s="158"/>
      <c r="AI217" s="158"/>
      <c r="AJ217" s="158"/>
      <c r="AK217" s="158"/>
      <c r="AL217" s="158"/>
      <c r="AM217" s="94"/>
      <c r="AN217" s="158"/>
      <c r="AO217" s="158"/>
      <c r="AP217" s="158"/>
      <c r="AQ217" s="158"/>
      <c r="AR217" s="158"/>
      <c r="AS217" s="158"/>
      <c r="AT217" s="2">
        <v>1</v>
      </c>
      <c r="AU217" s="58" t="s">
        <v>646</v>
      </c>
      <c r="AV217" s="106"/>
      <c r="AW217" s="158"/>
      <c r="AX217" s="158"/>
      <c r="AY217" s="72">
        <v>26</v>
      </c>
      <c r="AZ217" s="158"/>
      <c r="BA217" s="158"/>
      <c r="BB217" s="158">
        <v>26</v>
      </c>
      <c r="BC217" s="69"/>
      <c r="BD217" s="69"/>
      <c r="BE217" s="69"/>
      <c r="BF217" s="271">
        <v>2018</v>
      </c>
      <c r="BG217" s="271"/>
      <c r="BH217" s="271"/>
      <c r="BI217" s="271" t="s">
        <v>2376</v>
      </c>
    </row>
    <row r="218" spans="1:61" s="204" customFormat="1" ht="15" customHeight="1">
      <c r="A218" s="160" t="s">
        <v>504</v>
      </c>
      <c r="B218" s="58" t="s">
        <v>84</v>
      </c>
      <c r="C218" s="126" t="s">
        <v>748</v>
      </c>
      <c r="D218" s="126" t="s">
        <v>105</v>
      </c>
      <c r="E218" s="126"/>
      <c r="F218" s="126"/>
      <c r="G218" s="126"/>
      <c r="H218" s="30" t="s">
        <v>713</v>
      </c>
      <c r="I218" s="30">
        <v>1953</v>
      </c>
      <c r="J218" s="212">
        <v>42991</v>
      </c>
      <c r="K218" s="158"/>
      <c r="L218" s="96"/>
      <c r="M218" s="96"/>
      <c r="N218" s="96"/>
      <c r="O218" s="96"/>
      <c r="P218" s="158">
        <f>123429468-61714734</f>
        <v>61714734</v>
      </c>
      <c r="Q218" s="158"/>
      <c r="R218" s="158"/>
      <c r="S218" s="158"/>
      <c r="T218" s="423"/>
      <c r="U218" s="158">
        <v>27597369</v>
      </c>
      <c r="V218" s="158">
        <v>10</v>
      </c>
      <c r="W218" s="96"/>
      <c r="X218" s="96"/>
      <c r="Y218" s="96"/>
      <c r="Z218" s="158">
        <v>34117365</v>
      </c>
      <c r="AA218" s="96"/>
      <c r="AB218" s="96"/>
      <c r="AC218" s="96"/>
      <c r="AD218" s="96"/>
      <c r="AE218" s="158"/>
      <c r="AF218" s="158">
        <f>P218-U218-Z218</f>
        <v>0</v>
      </c>
      <c r="AG218" s="158"/>
      <c r="AH218" s="158"/>
      <c r="AI218" s="158"/>
      <c r="AJ218" s="158"/>
      <c r="AK218" s="158"/>
      <c r="AL218" s="158"/>
      <c r="AM218" s="94"/>
      <c r="AN218" s="158"/>
      <c r="AO218" s="158"/>
      <c r="AP218" s="158"/>
      <c r="AQ218" s="158"/>
      <c r="AR218" s="158"/>
      <c r="AS218" s="158"/>
      <c r="AT218" s="2">
        <v>1</v>
      </c>
      <c r="AU218" s="58" t="s">
        <v>646</v>
      </c>
      <c r="AV218" s="106"/>
      <c r="AW218" s="158"/>
      <c r="AX218" s="158"/>
      <c r="AY218" s="12">
        <v>1</v>
      </c>
      <c r="AZ218" s="158"/>
      <c r="BA218" s="158"/>
      <c r="BB218" s="158"/>
      <c r="BC218" s="69">
        <v>1</v>
      </c>
      <c r="BD218" s="69">
        <v>1</v>
      </c>
      <c r="BE218" s="69"/>
      <c r="BF218" s="271">
        <v>2018</v>
      </c>
      <c r="BG218" s="271"/>
      <c r="BH218" s="271"/>
      <c r="BI218" s="271" t="s">
        <v>2375</v>
      </c>
    </row>
    <row r="219" spans="1:61" s="204" customFormat="1" ht="18" customHeight="1">
      <c r="A219" s="160" t="s">
        <v>504</v>
      </c>
      <c r="B219" s="58" t="s">
        <v>84</v>
      </c>
      <c r="C219" s="126" t="s">
        <v>748</v>
      </c>
      <c r="D219" s="126" t="s">
        <v>105</v>
      </c>
      <c r="E219" s="126"/>
      <c r="F219" s="126"/>
      <c r="G219" s="126"/>
      <c r="H219" s="30" t="s">
        <v>713</v>
      </c>
      <c r="I219" s="30">
        <v>1953</v>
      </c>
      <c r="J219" s="212">
        <v>42991</v>
      </c>
      <c r="K219" s="158">
        <v>1</v>
      </c>
      <c r="L219" s="158">
        <v>1</v>
      </c>
      <c r="M219" s="158"/>
      <c r="N219" s="158"/>
      <c r="O219" s="158"/>
      <c r="P219" s="158">
        <v>61714734</v>
      </c>
      <c r="Q219" s="158"/>
      <c r="R219" s="158"/>
      <c r="S219" s="158"/>
      <c r="T219" s="158"/>
      <c r="U219" s="158">
        <v>27597369</v>
      </c>
      <c r="V219" s="158"/>
      <c r="W219" s="158"/>
      <c r="X219" s="158"/>
      <c r="Y219" s="158"/>
      <c r="Z219" s="158">
        <f>34117365-912714</f>
        <v>33204651</v>
      </c>
      <c r="AA219" s="158">
        <v>10</v>
      </c>
      <c r="AB219" s="311">
        <v>43313</v>
      </c>
      <c r="AC219" s="158"/>
      <c r="AD219" s="158"/>
      <c r="AE219" s="158"/>
      <c r="AF219" s="158">
        <f>P219-U219-Z219</f>
        <v>912714</v>
      </c>
      <c r="AG219" s="158"/>
      <c r="AH219" s="94">
        <v>0</v>
      </c>
      <c r="AI219" s="94">
        <v>0</v>
      </c>
      <c r="AJ219" s="94"/>
      <c r="AK219" s="72">
        <f>AF219+AH219</f>
        <v>912714</v>
      </c>
      <c r="AL219" s="158">
        <v>877</v>
      </c>
      <c r="AM219" s="94">
        <v>10</v>
      </c>
      <c r="AN219" s="158"/>
      <c r="AO219" s="158"/>
      <c r="AP219" s="158"/>
      <c r="AQ219" s="158"/>
      <c r="AR219" s="158"/>
      <c r="AS219" s="158"/>
      <c r="AT219" s="2">
        <v>1</v>
      </c>
      <c r="AU219" s="58" t="s">
        <v>646</v>
      </c>
      <c r="AV219" s="104"/>
      <c r="AW219" s="158"/>
      <c r="AX219" s="158"/>
      <c r="AY219" s="158"/>
      <c r="AZ219" s="158">
        <v>1</v>
      </c>
      <c r="BA219" s="158"/>
      <c r="BB219" s="158"/>
      <c r="BC219" s="69"/>
      <c r="BD219" s="69">
        <f>+AZ219</f>
        <v>1</v>
      </c>
      <c r="BE219" s="69"/>
      <c r="BF219" s="271">
        <v>2019</v>
      </c>
      <c r="BG219" s="271">
        <v>2019</v>
      </c>
      <c r="BH219" s="271"/>
      <c r="BI219" s="271" t="s">
        <v>2375</v>
      </c>
    </row>
    <row r="220" spans="1:61" s="204" customFormat="1" ht="15" customHeight="1">
      <c r="A220" s="160" t="s">
        <v>504</v>
      </c>
      <c r="B220" s="58" t="s">
        <v>84</v>
      </c>
      <c r="C220" s="126" t="s">
        <v>749</v>
      </c>
      <c r="D220" s="126" t="s">
        <v>524</v>
      </c>
      <c r="E220" s="126"/>
      <c r="F220" s="126"/>
      <c r="G220" s="126"/>
      <c r="H220" s="30" t="s">
        <v>713</v>
      </c>
      <c r="I220" s="30">
        <v>1906</v>
      </c>
      <c r="J220" s="212">
        <v>42984</v>
      </c>
      <c r="K220" s="158"/>
      <c r="L220" s="158"/>
      <c r="M220" s="158"/>
      <c r="N220" s="158"/>
      <c r="O220" s="158"/>
      <c r="P220" s="158">
        <f>1671962096-185773567</f>
        <v>1486188529</v>
      </c>
      <c r="Q220" s="158"/>
      <c r="R220" s="158"/>
      <c r="S220" s="158"/>
      <c r="T220" s="158"/>
      <c r="U220" s="158">
        <v>668479431</v>
      </c>
      <c r="V220" s="158"/>
      <c r="W220" s="158"/>
      <c r="X220" s="158"/>
      <c r="Y220" s="158"/>
      <c r="Z220" s="94">
        <v>817709098</v>
      </c>
      <c r="AA220" s="158"/>
      <c r="AB220" s="158"/>
      <c r="AC220" s="158"/>
      <c r="AD220" s="158"/>
      <c r="AE220" s="158"/>
      <c r="AF220" s="158">
        <f>P220-U220-Z220-AD220</f>
        <v>0</v>
      </c>
      <c r="AG220" s="158"/>
      <c r="AH220" s="158"/>
      <c r="AI220" s="158"/>
      <c r="AJ220" s="158"/>
      <c r="AK220" s="158"/>
      <c r="AL220" s="158"/>
      <c r="AM220" s="94"/>
      <c r="AN220" s="158"/>
      <c r="AO220" s="158"/>
      <c r="AP220" s="158"/>
      <c r="AQ220" s="158"/>
      <c r="AR220" s="158"/>
      <c r="AS220" s="158"/>
      <c r="AT220" s="2">
        <v>1</v>
      </c>
      <c r="AU220" s="58" t="s">
        <v>646</v>
      </c>
      <c r="AV220" s="106"/>
      <c r="AW220" s="158"/>
      <c r="AX220" s="158"/>
      <c r="AY220" s="72">
        <v>24</v>
      </c>
      <c r="AZ220" s="158"/>
      <c r="BA220" s="158"/>
      <c r="BB220" s="158">
        <v>24</v>
      </c>
      <c r="BC220" s="69"/>
      <c r="BD220" s="69"/>
      <c r="BE220" s="69"/>
      <c r="BF220" s="271">
        <v>2018</v>
      </c>
      <c r="BG220" s="271"/>
      <c r="BH220" s="271"/>
      <c r="BI220" s="271" t="s">
        <v>2376</v>
      </c>
    </row>
    <row r="221" spans="1:61" s="204" customFormat="1" ht="18" customHeight="1">
      <c r="A221" s="160" t="s">
        <v>504</v>
      </c>
      <c r="B221" s="58" t="s">
        <v>84</v>
      </c>
      <c r="C221" s="126" t="s">
        <v>749</v>
      </c>
      <c r="D221" s="126" t="s">
        <v>524</v>
      </c>
      <c r="E221" s="126"/>
      <c r="F221" s="126"/>
      <c r="G221" s="126"/>
      <c r="H221" s="30" t="s">
        <v>713</v>
      </c>
      <c r="I221" s="30">
        <v>1906</v>
      </c>
      <c r="J221" s="212">
        <v>42984</v>
      </c>
      <c r="K221" s="158"/>
      <c r="L221" s="158"/>
      <c r="M221" s="158">
        <v>3</v>
      </c>
      <c r="N221" s="158"/>
      <c r="O221" s="158"/>
      <c r="P221" s="158">
        <v>185773567</v>
      </c>
      <c r="Q221" s="158"/>
      <c r="R221" s="158"/>
      <c r="S221" s="158"/>
      <c r="T221" s="158"/>
      <c r="U221" s="158"/>
      <c r="V221" s="158"/>
      <c r="W221" s="158"/>
      <c r="X221" s="158"/>
      <c r="Y221" s="158"/>
      <c r="Z221" s="94"/>
      <c r="AA221" s="158"/>
      <c r="AB221" s="158"/>
      <c r="AC221" s="158"/>
      <c r="AD221" s="158">
        <v>185773567</v>
      </c>
      <c r="AE221" s="158"/>
      <c r="AF221" s="158">
        <f>P221-U221-Z221-AD221</f>
        <v>0</v>
      </c>
      <c r="AG221" s="158"/>
      <c r="AH221" s="94">
        <v>0</v>
      </c>
      <c r="AI221" s="94">
        <v>0</v>
      </c>
      <c r="AJ221" s="94"/>
      <c r="AK221" s="72">
        <f t="shared" ref="AK221:AK222" si="46">AF221+AH221</f>
        <v>0</v>
      </c>
      <c r="AL221" s="158">
        <v>877</v>
      </c>
      <c r="AM221" s="94">
        <v>10</v>
      </c>
      <c r="AN221" s="158"/>
      <c r="AO221" s="158"/>
      <c r="AP221" s="158"/>
      <c r="AQ221" s="158"/>
      <c r="AR221" s="158"/>
      <c r="AS221" s="158"/>
      <c r="AT221" s="2">
        <v>0</v>
      </c>
      <c r="AU221" s="58" t="s">
        <v>687</v>
      </c>
      <c r="AV221" s="387" t="s">
        <v>1355</v>
      </c>
      <c r="AW221" s="158"/>
      <c r="AX221" s="158"/>
      <c r="AY221" s="158"/>
      <c r="AZ221" s="158"/>
      <c r="BA221" s="158"/>
      <c r="BB221" s="158"/>
      <c r="BC221" s="69"/>
      <c r="BD221" s="69"/>
      <c r="BE221" s="69">
        <v>3</v>
      </c>
      <c r="BF221" s="271" t="s">
        <v>1706</v>
      </c>
      <c r="BG221" s="271">
        <v>2019</v>
      </c>
      <c r="BH221" s="271"/>
      <c r="BI221" s="271" t="s">
        <v>2375</v>
      </c>
    </row>
    <row r="222" spans="1:61" s="204" customFormat="1" ht="18" customHeight="1">
      <c r="A222" s="160" t="s">
        <v>504</v>
      </c>
      <c r="B222" s="58" t="s">
        <v>76</v>
      </c>
      <c r="C222" s="126" t="s">
        <v>750</v>
      </c>
      <c r="D222" s="126" t="s">
        <v>751</v>
      </c>
      <c r="E222" s="126"/>
      <c r="F222" s="126"/>
      <c r="G222" s="126"/>
      <c r="H222" s="30" t="s">
        <v>713</v>
      </c>
      <c r="I222" s="272" t="s">
        <v>1494</v>
      </c>
      <c r="J222" s="215" t="s">
        <v>1493</v>
      </c>
      <c r="K222" s="158"/>
      <c r="L222" s="158">
        <v>51</v>
      </c>
      <c r="M222" s="158"/>
      <c r="N222" s="158"/>
      <c r="O222" s="158"/>
      <c r="P222" s="158">
        <f>4032906297-77555890</f>
        <v>3955350407</v>
      </c>
      <c r="Q222" s="158"/>
      <c r="R222" s="158"/>
      <c r="S222" s="158"/>
      <c r="T222" s="158"/>
      <c r="U222" s="158">
        <v>1779694040</v>
      </c>
      <c r="V222" s="158">
        <v>20</v>
      </c>
      <c r="W222" s="158"/>
      <c r="X222" s="158"/>
      <c r="Y222" s="158"/>
      <c r="Z222" s="94">
        <v>2175656367</v>
      </c>
      <c r="AA222" s="158">
        <v>10</v>
      </c>
      <c r="AB222" s="5"/>
      <c r="AC222" s="5"/>
      <c r="AD222" s="5"/>
      <c r="AE222" s="158"/>
      <c r="AF222" s="158">
        <f t="shared" ref="AF222:AF224" si="47">P222-U222-Z222</f>
        <v>0</v>
      </c>
      <c r="AG222" s="158"/>
      <c r="AH222" s="94">
        <v>0</v>
      </c>
      <c r="AI222" s="94">
        <v>0</v>
      </c>
      <c r="AJ222" s="94"/>
      <c r="AK222" s="158">
        <f t="shared" si="46"/>
        <v>0</v>
      </c>
      <c r="AL222" s="158">
        <v>877</v>
      </c>
      <c r="AM222" s="94">
        <v>10</v>
      </c>
      <c r="AN222" s="158"/>
      <c r="AO222" s="158"/>
      <c r="AP222" s="158"/>
      <c r="AQ222" s="158"/>
      <c r="AR222" s="158"/>
      <c r="AS222" s="158"/>
      <c r="AT222" s="2">
        <v>1</v>
      </c>
      <c r="AU222" s="58" t="s">
        <v>646</v>
      </c>
      <c r="AV222" s="104" t="s">
        <v>1709</v>
      </c>
      <c r="AW222" s="158"/>
      <c r="AX222" s="158"/>
      <c r="AY222" s="158"/>
      <c r="AZ222" s="158">
        <v>51</v>
      </c>
      <c r="BA222" s="158"/>
      <c r="BB222" s="158"/>
      <c r="BC222" s="69"/>
      <c r="BD222" s="69">
        <v>51</v>
      </c>
      <c r="BE222" s="69"/>
      <c r="BF222" s="271">
        <v>2019</v>
      </c>
      <c r="BG222" s="271">
        <v>2019</v>
      </c>
      <c r="BH222" s="271"/>
      <c r="BI222" s="271" t="s">
        <v>2375</v>
      </c>
    </row>
    <row r="223" spans="1:61" s="204" customFormat="1" ht="18" customHeight="1">
      <c r="A223" s="160" t="s">
        <v>504</v>
      </c>
      <c r="B223" s="58" t="s">
        <v>76</v>
      </c>
      <c r="C223" s="126" t="s">
        <v>750</v>
      </c>
      <c r="D223" s="126" t="s">
        <v>751</v>
      </c>
      <c r="E223" s="126"/>
      <c r="F223" s="126"/>
      <c r="G223" s="126"/>
      <c r="H223" s="30" t="s">
        <v>713</v>
      </c>
      <c r="I223" s="272" t="s">
        <v>1494</v>
      </c>
      <c r="J223" s="215" t="s">
        <v>1493</v>
      </c>
      <c r="K223" s="158"/>
      <c r="L223" s="158">
        <v>1</v>
      </c>
      <c r="M223" s="158"/>
      <c r="N223" s="158">
        <v>1</v>
      </c>
      <c r="O223" s="158"/>
      <c r="P223" s="158">
        <v>77555890</v>
      </c>
      <c r="Q223" s="158"/>
      <c r="R223" s="158"/>
      <c r="S223" s="158"/>
      <c r="T223" s="158"/>
      <c r="U223" s="158">
        <v>34956814</v>
      </c>
      <c r="V223" s="158">
        <v>20</v>
      </c>
      <c r="W223" s="158"/>
      <c r="X223" s="158"/>
      <c r="Y223" s="158"/>
      <c r="Z223" s="94"/>
      <c r="AA223" s="158"/>
      <c r="AB223" s="69"/>
      <c r="AC223" s="69"/>
      <c r="AD223" s="69"/>
      <c r="AE223" s="158"/>
      <c r="AF223" s="158">
        <f t="shared" si="47"/>
        <v>42599076</v>
      </c>
      <c r="AG223" s="158"/>
      <c r="AH223" s="94">
        <v>0</v>
      </c>
      <c r="AI223" s="94">
        <v>42599076</v>
      </c>
      <c r="AJ223" s="94"/>
      <c r="AK223" s="666">
        <f>P223-R223-U223-Z223</f>
        <v>42599076</v>
      </c>
      <c r="AL223" s="666">
        <v>877</v>
      </c>
      <c r="AM223" s="664">
        <v>20</v>
      </c>
      <c r="AN223" s="158"/>
      <c r="AO223" s="158"/>
      <c r="AP223" s="158">
        <v>1</v>
      </c>
      <c r="AQ223" s="158"/>
      <c r="AR223" s="158"/>
      <c r="AS223" s="158"/>
      <c r="AT223" s="2">
        <v>1</v>
      </c>
      <c r="AU223" s="58" t="s">
        <v>646</v>
      </c>
      <c r="AV223" s="104"/>
      <c r="AW223" s="158"/>
      <c r="AX223" s="158"/>
      <c r="AY223" s="158"/>
      <c r="AZ223" s="158"/>
      <c r="BA223" s="158">
        <v>1</v>
      </c>
      <c r="BB223" s="158"/>
      <c r="BC223" s="69"/>
      <c r="BD223" s="69">
        <v>1</v>
      </c>
      <c r="BE223" s="69"/>
      <c r="BF223" s="271">
        <v>2020</v>
      </c>
      <c r="BG223" s="271">
        <v>2019</v>
      </c>
      <c r="BH223" s="271">
        <v>2020</v>
      </c>
      <c r="BI223" s="271" t="s">
        <v>2375</v>
      </c>
    </row>
    <row r="224" spans="1:61" s="204" customFormat="1" ht="18" customHeight="1">
      <c r="A224" s="248" t="s">
        <v>504</v>
      </c>
      <c r="B224" s="58" t="s">
        <v>84</v>
      </c>
      <c r="C224" s="250" t="s">
        <v>752</v>
      </c>
      <c r="D224" s="250" t="s">
        <v>1337</v>
      </c>
      <c r="E224" s="250"/>
      <c r="F224" s="250"/>
      <c r="G224" s="250"/>
      <c r="H224" s="30" t="s">
        <v>715</v>
      </c>
      <c r="I224" s="30">
        <v>2494</v>
      </c>
      <c r="J224" s="212">
        <v>43039</v>
      </c>
      <c r="K224" s="158"/>
      <c r="L224" s="158">
        <v>54</v>
      </c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94">
        <v>1939473167</v>
      </c>
      <c r="AA224" s="158">
        <v>10</v>
      </c>
      <c r="AB224" s="311">
        <v>43344</v>
      </c>
      <c r="AC224" s="92"/>
      <c r="AD224" s="92"/>
      <c r="AE224" s="158"/>
      <c r="AF224" s="158">
        <f t="shared" si="47"/>
        <v>-1939473167</v>
      </c>
      <c r="AG224" s="158"/>
      <c r="AH224" s="94">
        <v>0</v>
      </c>
      <c r="AI224" s="94">
        <v>0</v>
      </c>
      <c r="AJ224" s="94"/>
      <c r="AK224" s="158">
        <f>AF224+AH224</f>
        <v>-1939473167</v>
      </c>
      <c r="AL224" s="158">
        <v>877</v>
      </c>
      <c r="AM224" s="94"/>
      <c r="AN224" s="158"/>
      <c r="AO224" s="158"/>
      <c r="AP224" s="158"/>
      <c r="AQ224" s="158"/>
      <c r="AR224" s="158"/>
      <c r="AS224" s="158"/>
      <c r="AT224" s="2">
        <v>1</v>
      </c>
      <c r="AU224" s="58" t="s">
        <v>646</v>
      </c>
      <c r="AV224" s="104" t="s">
        <v>1338</v>
      </c>
      <c r="AW224" s="158"/>
      <c r="AX224" s="158"/>
      <c r="AY224" s="158"/>
      <c r="AZ224" s="158">
        <v>54</v>
      </c>
      <c r="BA224" s="158"/>
      <c r="BB224" s="158"/>
      <c r="BC224" s="69"/>
      <c r="BD224" s="69">
        <v>54</v>
      </c>
      <c r="BE224" s="69"/>
      <c r="BF224" s="271">
        <v>2019</v>
      </c>
      <c r="BG224" s="271">
        <v>2019</v>
      </c>
      <c r="BH224" s="271"/>
      <c r="BI224" s="271" t="s">
        <v>2375</v>
      </c>
    </row>
    <row r="225" spans="1:61" s="204" customFormat="1" ht="24" customHeight="1">
      <c r="A225" s="160" t="s">
        <v>504</v>
      </c>
      <c r="B225" s="88" t="s">
        <v>2424</v>
      </c>
      <c r="C225" s="147" t="s">
        <v>753</v>
      </c>
      <c r="D225" s="147" t="s">
        <v>149</v>
      </c>
      <c r="E225" s="147"/>
      <c r="F225" s="147"/>
      <c r="G225" s="147"/>
      <c r="H225" s="30" t="s">
        <v>715</v>
      </c>
      <c r="I225" s="30">
        <v>2857</v>
      </c>
      <c r="J225" s="212">
        <v>43080</v>
      </c>
      <c r="K225" s="158"/>
      <c r="L225" s="158"/>
      <c r="M225" s="158">
        <v>38</v>
      </c>
      <c r="N225" s="158"/>
      <c r="O225" s="158">
        <v>38</v>
      </c>
      <c r="P225" s="158">
        <f>2786151712-265347784</f>
        <v>2520803928</v>
      </c>
      <c r="Q225" s="158"/>
      <c r="R225" s="158"/>
      <c r="S225" s="158"/>
      <c r="T225" s="158"/>
      <c r="U225" s="158">
        <v>1043013944</v>
      </c>
      <c r="V225" s="158">
        <v>10</v>
      </c>
      <c r="W225" s="158"/>
      <c r="X225" s="158"/>
      <c r="Y225" s="158"/>
      <c r="Z225" s="94"/>
      <c r="AA225" s="158"/>
      <c r="AB225" s="158"/>
      <c r="AC225" s="158"/>
      <c r="AD225" s="297"/>
      <c r="AE225" s="158"/>
      <c r="AF225" s="158">
        <f>P225-U225-Z225-1477789984</f>
        <v>0</v>
      </c>
      <c r="AG225" s="158"/>
      <c r="AH225" s="158">
        <v>1477789984</v>
      </c>
      <c r="AI225" s="158">
        <v>1477789984</v>
      </c>
      <c r="AJ225" s="158"/>
      <c r="AK225" s="602">
        <f t="shared" ref="AK225:AK226" si="48">P225-R225-U225-Z225</f>
        <v>1477789984</v>
      </c>
      <c r="AL225" s="72">
        <v>877</v>
      </c>
      <c r="AM225" s="175">
        <v>10</v>
      </c>
      <c r="AN225" s="158"/>
      <c r="AO225" s="158"/>
      <c r="AP225" s="11"/>
      <c r="AQ225" s="12">
        <v>38</v>
      </c>
      <c r="AR225" s="12"/>
      <c r="AS225" s="11"/>
      <c r="AT225" s="2">
        <v>8.3599999999999994E-2</v>
      </c>
      <c r="AU225" s="58" t="s">
        <v>942</v>
      </c>
      <c r="AV225" s="104" t="s">
        <v>2159</v>
      </c>
      <c r="AW225" s="158"/>
      <c r="AX225" s="11"/>
      <c r="AY225" s="11"/>
      <c r="AZ225" s="11"/>
      <c r="BA225" s="11"/>
      <c r="BB225" s="11"/>
      <c r="BC225" s="70"/>
      <c r="BD225" s="70"/>
      <c r="BE225" s="69"/>
      <c r="BF225" s="271"/>
      <c r="BG225" s="271">
        <v>2019</v>
      </c>
      <c r="BH225" s="271">
        <v>2020</v>
      </c>
      <c r="BI225" s="271" t="s">
        <v>2375</v>
      </c>
    </row>
    <row r="226" spans="1:61" s="204" customFormat="1" ht="25.5" customHeight="1">
      <c r="A226" s="160" t="s">
        <v>504</v>
      </c>
      <c r="B226" s="88" t="s">
        <v>2424</v>
      </c>
      <c r="C226" s="147" t="s">
        <v>753</v>
      </c>
      <c r="D226" s="147" t="s">
        <v>149</v>
      </c>
      <c r="E226" s="147"/>
      <c r="F226" s="147"/>
      <c r="G226" s="147"/>
      <c r="H226" s="30" t="s">
        <v>715</v>
      </c>
      <c r="I226" s="30">
        <v>2857</v>
      </c>
      <c r="J226" s="212">
        <v>43080</v>
      </c>
      <c r="K226" s="158"/>
      <c r="L226" s="158"/>
      <c r="M226" s="158">
        <v>4</v>
      </c>
      <c r="N226" s="158"/>
      <c r="O226" s="158">
        <v>4</v>
      </c>
      <c r="P226" s="158">
        <v>265347784</v>
      </c>
      <c r="Q226" s="158"/>
      <c r="R226" s="158"/>
      <c r="S226" s="158"/>
      <c r="T226" s="158"/>
      <c r="U226" s="158"/>
      <c r="V226" s="158"/>
      <c r="W226" s="158"/>
      <c r="X226" s="158"/>
      <c r="Y226" s="158"/>
      <c r="Z226" s="94"/>
      <c r="AA226" s="158"/>
      <c r="AB226" s="158"/>
      <c r="AC226" s="158"/>
      <c r="AD226" s="297"/>
      <c r="AE226" s="158"/>
      <c r="AF226" s="158">
        <f>P226-U226-Z226-265347784</f>
        <v>0</v>
      </c>
      <c r="AG226" s="158"/>
      <c r="AH226" s="158">
        <v>265347784</v>
      </c>
      <c r="AI226" s="158">
        <v>265347784</v>
      </c>
      <c r="AJ226" s="158"/>
      <c r="AK226" s="602">
        <f t="shared" si="48"/>
        <v>265347784</v>
      </c>
      <c r="AL226" s="72">
        <v>877</v>
      </c>
      <c r="AM226" s="175">
        <v>10</v>
      </c>
      <c r="AN226" s="158"/>
      <c r="AO226" s="158"/>
      <c r="AP226" s="11"/>
      <c r="AQ226" s="12">
        <v>4</v>
      </c>
      <c r="AR226" s="11"/>
      <c r="AS226" s="11"/>
      <c r="AT226" s="2">
        <v>8.3599999999999994E-2</v>
      </c>
      <c r="AU226" s="58" t="s">
        <v>942</v>
      </c>
      <c r="AV226" s="104" t="s">
        <v>2159</v>
      </c>
      <c r="AW226" s="158"/>
      <c r="AX226" s="11"/>
      <c r="AY226" s="11"/>
      <c r="AZ226" s="11"/>
      <c r="BA226" s="11"/>
      <c r="BB226" s="11"/>
      <c r="BC226" s="70"/>
      <c r="BD226" s="70"/>
      <c r="BE226" s="69"/>
      <c r="BF226" s="271"/>
      <c r="BG226" s="271">
        <v>2019</v>
      </c>
      <c r="BH226" s="271">
        <v>2020</v>
      </c>
      <c r="BI226" s="271" t="s">
        <v>2375</v>
      </c>
    </row>
    <row r="227" spans="1:61" s="204" customFormat="1" ht="15" customHeight="1">
      <c r="A227" s="160" t="s">
        <v>504</v>
      </c>
      <c r="B227" s="58" t="s">
        <v>1001</v>
      </c>
      <c r="C227" s="58" t="s">
        <v>999</v>
      </c>
      <c r="D227" s="147" t="s">
        <v>1000</v>
      </c>
      <c r="E227" s="147"/>
      <c r="F227" s="147"/>
      <c r="G227" s="147"/>
      <c r="H227" s="30" t="s">
        <v>1002</v>
      </c>
      <c r="I227" s="30"/>
      <c r="J227" s="212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94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94"/>
      <c r="AN227" s="158"/>
      <c r="AO227" s="158"/>
      <c r="AP227" s="158"/>
      <c r="AQ227" s="11"/>
      <c r="AR227" s="11"/>
      <c r="AS227" s="11"/>
      <c r="AT227" s="2">
        <v>1</v>
      </c>
      <c r="AU227" s="58" t="s">
        <v>646</v>
      </c>
      <c r="AV227" s="106" t="s">
        <v>1010</v>
      </c>
      <c r="AW227" s="158"/>
      <c r="AX227" s="11"/>
      <c r="AY227" s="72">
        <v>3</v>
      </c>
      <c r="AZ227" s="158"/>
      <c r="BA227" s="158"/>
      <c r="BB227" s="158">
        <v>3</v>
      </c>
      <c r="BC227" s="69"/>
      <c r="BD227" s="69"/>
      <c r="BE227" s="69"/>
      <c r="BF227" s="271">
        <v>2018</v>
      </c>
      <c r="BG227" s="271"/>
      <c r="BH227" s="271"/>
      <c r="BI227" s="271" t="s">
        <v>2376</v>
      </c>
    </row>
    <row r="228" spans="1:61" s="204" customFormat="1" ht="15" customHeight="1">
      <c r="A228" s="160" t="s">
        <v>504</v>
      </c>
      <c r="B228" s="58" t="s">
        <v>84</v>
      </c>
      <c r="C228" s="58" t="s">
        <v>110</v>
      </c>
      <c r="D228" s="148" t="s">
        <v>45</v>
      </c>
      <c r="E228" s="148"/>
      <c r="F228" s="148"/>
      <c r="G228" s="148"/>
      <c r="H228" s="30" t="s">
        <v>968</v>
      </c>
      <c r="I228" s="30">
        <v>1380</v>
      </c>
      <c r="J228" s="212">
        <v>43271</v>
      </c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94">
        <v>148042962</v>
      </c>
      <c r="AA228" s="158">
        <v>10</v>
      </c>
      <c r="AB228" s="311">
        <v>43374</v>
      </c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94"/>
      <c r="AN228" s="158"/>
      <c r="AO228" s="158"/>
      <c r="AP228" s="12"/>
      <c r="AQ228" s="11"/>
      <c r="AR228" s="11"/>
      <c r="AS228" s="11"/>
      <c r="AT228" s="2">
        <v>1</v>
      </c>
      <c r="AU228" s="58" t="s">
        <v>646</v>
      </c>
      <c r="AV228" s="106" t="s">
        <v>1010</v>
      </c>
      <c r="AW228" s="158"/>
      <c r="AX228" s="11"/>
      <c r="AY228" s="12">
        <v>4</v>
      </c>
      <c r="AZ228" s="12"/>
      <c r="BA228" s="12"/>
      <c r="BB228" s="158"/>
      <c r="BC228" s="69">
        <v>4</v>
      </c>
      <c r="BD228" s="69">
        <f>+AY228</f>
        <v>4</v>
      </c>
      <c r="BE228" s="69"/>
      <c r="BF228" s="271">
        <v>2018</v>
      </c>
      <c r="BG228" s="271"/>
      <c r="BH228" s="271"/>
      <c r="BI228" s="271" t="s">
        <v>2375</v>
      </c>
    </row>
    <row r="229" spans="1:61" s="204" customFormat="1" ht="15" customHeight="1">
      <c r="A229" s="160" t="s">
        <v>504</v>
      </c>
      <c r="B229" s="58" t="s">
        <v>84</v>
      </c>
      <c r="C229" s="58" t="s">
        <v>1034</v>
      </c>
      <c r="D229" s="148" t="s">
        <v>560</v>
      </c>
      <c r="E229" s="148"/>
      <c r="F229" s="148"/>
      <c r="G229" s="148"/>
      <c r="H229" s="30" t="s">
        <v>661</v>
      </c>
      <c r="I229" s="82"/>
      <c r="J229" s="212"/>
      <c r="K229" s="158"/>
      <c r="L229" s="158"/>
      <c r="M229" s="158"/>
      <c r="N229" s="158"/>
      <c r="O229" s="158"/>
      <c r="P229" s="158">
        <f>2296059670-102047096</f>
        <v>2194012574</v>
      </c>
      <c r="Q229" s="158"/>
      <c r="R229" s="158"/>
      <c r="S229" s="158"/>
      <c r="T229" s="158"/>
      <c r="U229" s="158">
        <v>2194012574</v>
      </c>
      <c r="V229" s="158"/>
      <c r="W229" s="158"/>
      <c r="X229" s="158"/>
      <c r="Y229" s="158"/>
      <c r="Z229" s="94"/>
      <c r="AA229" s="158"/>
      <c r="AB229" s="158"/>
      <c r="AC229" s="158"/>
      <c r="AD229" s="158"/>
      <c r="AE229" s="158"/>
      <c r="AF229" s="158">
        <f t="shared" ref="AF229:AF250" si="49">P229-U229-Z229</f>
        <v>0</v>
      </c>
      <c r="AG229" s="158"/>
      <c r="AH229" s="158"/>
      <c r="AI229" s="158"/>
      <c r="AJ229" s="158"/>
      <c r="AK229" s="158"/>
      <c r="AL229" s="158">
        <v>877</v>
      </c>
      <c r="AM229" s="94">
        <v>10</v>
      </c>
      <c r="AN229" s="158"/>
      <c r="AO229" s="158"/>
      <c r="AP229" s="158"/>
      <c r="AQ229" s="11"/>
      <c r="AR229" s="11"/>
      <c r="AS229" s="11"/>
      <c r="AT229" s="2">
        <v>1</v>
      </c>
      <c r="AU229" s="58" t="s">
        <v>646</v>
      </c>
      <c r="AV229" s="58" t="s">
        <v>1037</v>
      </c>
      <c r="AW229" s="158"/>
      <c r="AX229" s="11"/>
      <c r="AY229" s="72">
        <v>43</v>
      </c>
      <c r="AZ229" s="158"/>
      <c r="BA229" s="158"/>
      <c r="BB229" s="158">
        <v>43</v>
      </c>
      <c r="BC229" s="69"/>
      <c r="BD229" s="69"/>
      <c r="BE229" s="69"/>
      <c r="BF229" s="271">
        <v>2018</v>
      </c>
      <c r="BG229" s="271"/>
      <c r="BH229" s="271"/>
      <c r="BI229" s="271" t="s">
        <v>2376</v>
      </c>
    </row>
    <row r="230" spans="1:61" s="204" customFormat="1" ht="18" customHeight="1">
      <c r="A230" s="160" t="s">
        <v>504</v>
      </c>
      <c r="B230" s="58" t="s">
        <v>84</v>
      </c>
      <c r="C230" s="58" t="s">
        <v>1034</v>
      </c>
      <c r="D230" s="148" t="s">
        <v>105</v>
      </c>
      <c r="E230" s="148"/>
      <c r="F230" s="148"/>
      <c r="G230" s="148"/>
      <c r="H230" s="30" t="s">
        <v>661</v>
      </c>
      <c r="I230" s="82">
        <v>1695</v>
      </c>
      <c r="J230" s="212">
        <v>41162</v>
      </c>
      <c r="K230" s="158"/>
      <c r="L230" s="158"/>
      <c r="M230" s="158">
        <v>2</v>
      </c>
      <c r="N230" s="158"/>
      <c r="O230" s="158">
        <v>2</v>
      </c>
      <c r="P230" s="158">
        <v>102047096</v>
      </c>
      <c r="Q230" s="158"/>
      <c r="R230" s="158"/>
      <c r="S230" s="158"/>
      <c r="T230" s="158"/>
      <c r="U230" s="158"/>
      <c r="V230" s="158"/>
      <c r="W230" s="158"/>
      <c r="X230" s="158"/>
      <c r="Y230" s="158"/>
      <c r="Z230" s="94"/>
      <c r="AA230" s="158"/>
      <c r="AB230" s="158"/>
      <c r="AC230" s="158"/>
      <c r="AD230" s="158">
        <v>102047096</v>
      </c>
      <c r="AE230" s="158"/>
      <c r="AF230" s="158">
        <f>P230-U230-Z230-AD230</f>
        <v>0</v>
      </c>
      <c r="AG230" s="158"/>
      <c r="AH230" s="94">
        <v>0</v>
      </c>
      <c r="AI230" s="94">
        <v>0</v>
      </c>
      <c r="AJ230" s="94"/>
      <c r="AK230" s="158">
        <f>P230-R230-U230-Z230-AD230</f>
        <v>0</v>
      </c>
      <c r="AL230" s="158">
        <v>877</v>
      </c>
      <c r="AM230" s="94">
        <v>20</v>
      </c>
      <c r="AN230" s="158"/>
      <c r="AO230" s="158"/>
      <c r="AP230" s="11"/>
      <c r="AQ230" s="11"/>
      <c r="AR230" s="11"/>
      <c r="AS230" s="158">
        <v>2</v>
      </c>
      <c r="AT230" s="2">
        <v>0</v>
      </c>
      <c r="AU230" s="58" t="s">
        <v>687</v>
      </c>
      <c r="AV230" s="58" t="s">
        <v>2187</v>
      </c>
      <c r="AW230" s="158"/>
      <c r="AX230" s="11"/>
      <c r="AY230" s="11"/>
      <c r="AZ230" s="11"/>
      <c r="BA230" s="11"/>
      <c r="BB230" s="11"/>
      <c r="BC230" s="70"/>
      <c r="BD230" s="70"/>
      <c r="BE230" s="69">
        <v>2</v>
      </c>
      <c r="BF230" s="271" t="s">
        <v>2200</v>
      </c>
      <c r="BG230" s="271">
        <v>2019</v>
      </c>
      <c r="BH230" s="271">
        <v>2020</v>
      </c>
      <c r="BI230" s="271" t="s">
        <v>2375</v>
      </c>
    </row>
    <row r="231" spans="1:61" s="204" customFormat="1" ht="18" customHeight="1">
      <c r="A231" s="160" t="s">
        <v>504</v>
      </c>
      <c r="B231" s="58" t="s">
        <v>89</v>
      </c>
      <c r="C231" s="58" t="s">
        <v>94</v>
      </c>
      <c r="D231" s="148" t="s">
        <v>1067</v>
      </c>
      <c r="E231" s="148"/>
      <c r="F231" s="148"/>
      <c r="G231" s="148"/>
      <c r="H231" s="30" t="s">
        <v>1058</v>
      </c>
      <c r="I231" s="82">
        <v>21</v>
      </c>
      <c r="J231" s="212">
        <v>43363</v>
      </c>
      <c r="K231" s="158">
        <v>9</v>
      </c>
      <c r="L231" s="158">
        <v>9</v>
      </c>
      <c r="M231" s="158"/>
      <c r="N231" s="158"/>
      <c r="O231" s="158"/>
      <c r="P231" s="158">
        <v>562410456</v>
      </c>
      <c r="Q231" s="158"/>
      <c r="R231" s="158"/>
      <c r="S231" s="158"/>
      <c r="T231" s="158"/>
      <c r="U231" s="158">
        <v>233910584</v>
      </c>
      <c r="V231" s="158">
        <v>10</v>
      </c>
      <c r="W231" s="311">
        <v>43344</v>
      </c>
      <c r="X231" s="158"/>
      <c r="Y231" s="158"/>
      <c r="Z231" s="94">
        <v>328499872</v>
      </c>
      <c r="AA231" s="158">
        <v>10</v>
      </c>
      <c r="AB231" s="311">
        <v>43525</v>
      </c>
      <c r="AC231" s="311"/>
      <c r="AD231" s="158"/>
      <c r="AE231" s="158"/>
      <c r="AF231" s="158">
        <f t="shared" si="49"/>
        <v>0</v>
      </c>
      <c r="AG231" s="158"/>
      <c r="AH231" s="94">
        <v>0</v>
      </c>
      <c r="AI231" s="94">
        <v>0</v>
      </c>
      <c r="AJ231" s="94"/>
      <c r="AK231" s="158">
        <f t="shared" ref="AK231:AK237" si="50">AF231+AH231</f>
        <v>0</v>
      </c>
      <c r="AL231" s="158">
        <v>877</v>
      </c>
      <c r="AM231" s="94">
        <v>10</v>
      </c>
      <c r="AN231" s="158"/>
      <c r="AO231" s="158"/>
      <c r="AP231" s="158"/>
      <c r="AQ231" s="11"/>
      <c r="AR231" s="11"/>
      <c r="AS231" s="11"/>
      <c r="AT231" s="2">
        <v>1</v>
      </c>
      <c r="AU231" s="58" t="s">
        <v>646</v>
      </c>
      <c r="AV231" s="104"/>
      <c r="AW231" s="158"/>
      <c r="AX231" s="11"/>
      <c r="AY231" s="11"/>
      <c r="AZ231" s="158">
        <v>9</v>
      </c>
      <c r="BA231" s="158"/>
      <c r="BB231" s="11"/>
      <c r="BC231" s="70"/>
      <c r="BD231" s="69">
        <v>9</v>
      </c>
      <c r="BE231" s="69"/>
      <c r="BF231" s="271">
        <v>2019</v>
      </c>
      <c r="BG231" s="271">
        <v>2019</v>
      </c>
      <c r="BH231" s="271"/>
      <c r="BI231" s="271" t="s">
        <v>2375</v>
      </c>
    </row>
    <row r="232" spans="1:61" s="204" customFormat="1" ht="18" customHeight="1">
      <c r="A232" s="160" t="s">
        <v>504</v>
      </c>
      <c r="B232" s="58" t="s">
        <v>83</v>
      </c>
      <c r="C232" s="58" t="s">
        <v>1085</v>
      </c>
      <c r="D232" s="148" t="s">
        <v>16</v>
      </c>
      <c r="E232" s="148"/>
      <c r="F232" s="148"/>
      <c r="G232" s="148"/>
      <c r="H232" s="30" t="s">
        <v>1058</v>
      </c>
      <c r="I232" s="82">
        <v>23</v>
      </c>
      <c r="J232" s="212">
        <v>43363</v>
      </c>
      <c r="K232" s="158">
        <v>50</v>
      </c>
      <c r="L232" s="158">
        <v>50</v>
      </c>
      <c r="M232" s="158"/>
      <c r="N232" s="158"/>
      <c r="O232" s="158"/>
      <c r="P232" s="158">
        <v>3862923580</v>
      </c>
      <c r="Q232" s="158"/>
      <c r="R232" s="158"/>
      <c r="S232" s="158"/>
      <c r="T232" s="158"/>
      <c r="U232" s="158">
        <v>1675044068</v>
      </c>
      <c r="V232" s="158">
        <v>10</v>
      </c>
      <c r="W232" s="311">
        <v>43344</v>
      </c>
      <c r="X232" s="158"/>
      <c r="Y232" s="158"/>
      <c r="Z232" s="94">
        <v>2187879512</v>
      </c>
      <c r="AA232" s="158">
        <v>10</v>
      </c>
      <c r="AB232" s="311">
        <v>43497</v>
      </c>
      <c r="AC232" s="311"/>
      <c r="AD232" s="158"/>
      <c r="AE232" s="158"/>
      <c r="AF232" s="158">
        <f t="shared" si="49"/>
        <v>0</v>
      </c>
      <c r="AG232" s="158"/>
      <c r="AH232" s="94">
        <v>0</v>
      </c>
      <c r="AI232" s="94">
        <v>0</v>
      </c>
      <c r="AJ232" s="94"/>
      <c r="AK232" s="158">
        <f t="shared" si="50"/>
        <v>0</v>
      </c>
      <c r="AL232" s="158">
        <v>877</v>
      </c>
      <c r="AM232" s="94">
        <v>10</v>
      </c>
      <c r="AN232" s="158"/>
      <c r="AO232" s="158"/>
      <c r="AP232" s="158"/>
      <c r="AQ232" s="11"/>
      <c r="AR232" s="11"/>
      <c r="AS232" s="11"/>
      <c r="AT232" s="2">
        <v>1</v>
      </c>
      <c r="AU232" s="58" t="s">
        <v>646</v>
      </c>
      <c r="AV232" s="104"/>
      <c r="AW232" s="158"/>
      <c r="AX232" s="11"/>
      <c r="AY232" s="11"/>
      <c r="AZ232" s="158">
        <v>50</v>
      </c>
      <c r="BA232" s="158"/>
      <c r="BB232" s="11"/>
      <c r="BC232" s="70"/>
      <c r="BD232" s="69">
        <v>50</v>
      </c>
      <c r="BE232" s="69"/>
      <c r="BF232" s="271">
        <v>2019</v>
      </c>
      <c r="BG232" s="271">
        <v>2019</v>
      </c>
      <c r="BH232" s="271"/>
      <c r="BI232" s="271" t="s">
        <v>2375</v>
      </c>
    </row>
    <row r="233" spans="1:61" s="204" customFormat="1" ht="18" customHeight="1">
      <c r="A233" s="160" t="s">
        <v>504</v>
      </c>
      <c r="B233" s="58" t="s">
        <v>86</v>
      </c>
      <c r="C233" s="58" t="s">
        <v>1086</v>
      </c>
      <c r="D233" s="148" t="s">
        <v>1087</v>
      </c>
      <c r="E233" s="148"/>
      <c r="F233" s="148"/>
      <c r="G233" s="148"/>
      <c r="H233" s="30" t="s">
        <v>1058</v>
      </c>
      <c r="I233" s="82">
        <v>22</v>
      </c>
      <c r="J233" s="212">
        <v>43363</v>
      </c>
      <c r="K233" s="158">
        <v>53</v>
      </c>
      <c r="L233" s="158">
        <v>53</v>
      </c>
      <c r="M233" s="158"/>
      <c r="N233" s="158">
        <v>53</v>
      </c>
      <c r="O233" s="158"/>
      <c r="P233" s="158">
        <v>3884442252</v>
      </c>
      <c r="Q233" s="158"/>
      <c r="R233" s="158"/>
      <c r="S233" s="158"/>
      <c r="T233" s="158"/>
      <c r="U233" s="158">
        <v>1604839055</v>
      </c>
      <c r="V233" s="158">
        <v>10</v>
      </c>
      <c r="W233" s="311">
        <v>43344</v>
      </c>
      <c r="X233" s="158"/>
      <c r="Y233" s="158"/>
      <c r="Z233" s="94">
        <v>2279603197</v>
      </c>
      <c r="AA233" s="158">
        <v>20</v>
      </c>
      <c r="AB233" s="311">
        <v>43647</v>
      </c>
      <c r="AC233" s="311"/>
      <c r="AD233" s="158"/>
      <c r="AE233" s="158"/>
      <c r="AF233" s="158">
        <f t="shared" si="49"/>
        <v>0</v>
      </c>
      <c r="AG233" s="158"/>
      <c r="AH233" s="94">
        <v>0</v>
      </c>
      <c r="AI233" s="94">
        <v>0</v>
      </c>
      <c r="AJ233" s="94"/>
      <c r="AK233" s="158">
        <f>P233-R233-U233-Z233</f>
        <v>0</v>
      </c>
      <c r="AL233" s="158">
        <v>877</v>
      </c>
      <c r="AM233" s="94">
        <v>20</v>
      </c>
      <c r="AN233" s="158"/>
      <c r="AO233" s="158"/>
      <c r="AP233" s="158">
        <v>53</v>
      </c>
      <c r="AQ233" s="11"/>
      <c r="AR233" s="11"/>
      <c r="AS233" s="11"/>
      <c r="AT233" s="2">
        <v>1</v>
      </c>
      <c r="AU233" s="58" t="s">
        <v>646</v>
      </c>
      <c r="AV233" s="104"/>
      <c r="AW233" s="158"/>
      <c r="AX233" s="11"/>
      <c r="AY233" s="11"/>
      <c r="AZ233" s="11"/>
      <c r="BA233" s="158">
        <v>53</v>
      </c>
      <c r="BB233" s="11"/>
      <c r="BC233" s="70"/>
      <c r="BD233" s="69">
        <v>53</v>
      </c>
      <c r="BE233" s="69"/>
      <c r="BF233" s="271">
        <v>2020</v>
      </c>
      <c r="BG233" s="271">
        <v>2019</v>
      </c>
      <c r="BH233" s="430">
        <v>2020</v>
      </c>
      <c r="BI233" s="271" t="s">
        <v>2375</v>
      </c>
    </row>
    <row r="234" spans="1:61" s="204" customFormat="1" ht="18" customHeight="1">
      <c r="A234" s="230" t="s">
        <v>504</v>
      </c>
      <c r="B234" s="58" t="s">
        <v>84</v>
      </c>
      <c r="C234" s="58" t="s">
        <v>1139</v>
      </c>
      <c r="D234" s="148" t="s">
        <v>109</v>
      </c>
      <c r="E234" s="148"/>
      <c r="F234" s="148"/>
      <c r="G234" s="148"/>
      <c r="H234" s="30" t="s">
        <v>1113</v>
      </c>
      <c r="I234" s="82">
        <v>739</v>
      </c>
      <c r="J234" s="212">
        <v>43453</v>
      </c>
      <c r="K234" s="158">
        <v>13</v>
      </c>
      <c r="L234" s="158">
        <v>13</v>
      </c>
      <c r="M234" s="158"/>
      <c r="N234" s="158"/>
      <c r="O234" s="158"/>
      <c r="P234" s="158">
        <v>853326338</v>
      </c>
      <c r="Q234" s="158"/>
      <c r="R234" s="158"/>
      <c r="S234" s="158"/>
      <c r="T234" s="158"/>
      <c r="U234" s="158">
        <v>459903414</v>
      </c>
      <c r="V234" s="158">
        <v>10</v>
      </c>
      <c r="W234" s="311">
        <v>43435</v>
      </c>
      <c r="X234" s="158"/>
      <c r="Y234" s="158"/>
      <c r="Z234" s="94">
        <v>393422924</v>
      </c>
      <c r="AA234" s="158">
        <v>10</v>
      </c>
      <c r="AB234" s="311">
        <v>43525</v>
      </c>
      <c r="AC234" s="329"/>
      <c r="AD234" s="5"/>
      <c r="AE234" s="158"/>
      <c r="AF234" s="158">
        <f t="shared" si="49"/>
        <v>0</v>
      </c>
      <c r="AG234" s="158"/>
      <c r="AH234" s="94">
        <v>0</v>
      </c>
      <c r="AI234" s="94">
        <v>0</v>
      </c>
      <c r="AJ234" s="94"/>
      <c r="AK234" s="158">
        <f t="shared" si="50"/>
        <v>0</v>
      </c>
      <c r="AL234" s="158">
        <v>877</v>
      </c>
      <c r="AM234" s="94">
        <v>10</v>
      </c>
      <c r="AN234" s="158"/>
      <c r="AO234" s="158"/>
      <c r="AP234" s="12"/>
      <c r="AQ234" s="11"/>
      <c r="AR234" s="11"/>
      <c r="AS234" s="11"/>
      <c r="AT234" s="2">
        <v>1</v>
      </c>
      <c r="AU234" s="58" t="s">
        <v>646</v>
      </c>
      <c r="AV234" s="104"/>
      <c r="AW234" s="158"/>
      <c r="AX234" s="11"/>
      <c r="AY234" s="11"/>
      <c r="AZ234" s="158">
        <v>13</v>
      </c>
      <c r="BA234" s="158"/>
      <c r="BB234" s="11"/>
      <c r="BC234" s="70"/>
      <c r="BD234" s="69">
        <v>13</v>
      </c>
      <c r="BE234" s="69"/>
      <c r="BF234" s="271">
        <v>2019</v>
      </c>
      <c r="BG234" s="271">
        <v>2019</v>
      </c>
      <c r="BH234" s="271"/>
      <c r="BI234" s="271" t="s">
        <v>2375</v>
      </c>
    </row>
    <row r="235" spans="1:61" s="204" customFormat="1" ht="18" customHeight="1">
      <c r="A235" s="160" t="s">
        <v>504</v>
      </c>
      <c r="B235" s="58" t="s">
        <v>89</v>
      </c>
      <c r="C235" s="58" t="s">
        <v>1352</v>
      </c>
      <c r="D235" s="148" t="s">
        <v>1143</v>
      </c>
      <c r="E235" s="148"/>
      <c r="F235" s="148"/>
      <c r="G235" s="148"/>
      <c r="H235" s="30" t="s">
        <v>1113</v>
      </c>
      <c r="I235" s="226">
        <v>740</v>
      </c>
      <c r="J235" s="212">
        <v>43453</v>
      </c>
      <c r="K235" s="158">
        <v>14</v>
      </c>
      <c r="L235" s="158">
        <v>14</v>
      </c>
      <c r="M235" s="158"/>
      <c r="N235" s="158"/>
      <c r="O235" s="158"/>
      <c r="P235" s="158">
        <v>901884575</v>
      </c>
      <c r="Q235" s="158"/>
      <c r="R235" s="158"/>
      <c r="S235" s="158"/>
      <c r="T235" s="158"/>
      <c r="U235" s="158">
        <v>467958441</v>
      </c>
      <c r="V235" s="158">
        <v>10</v>
      </c>
      <c r="W235" s="311">
        <v>43497</v>
      </c>
      <c r="X235" s="311"/>
      <c r="Y235" s="311"/>
      <c r="Z235" s="94">
        <v>433926134</v>
      </c>
      <c r="AA235" s="69">
        <v>10</v>
      </c>
      <c r="AB235" s="311">
        <v>43647</v>
      </c>
      <c r="AC235" s="577"/>
      <c r="AD235" s="69"/>
      <c r="AE235" s="158"/>
      <c r="AF235" s="158">
        <f t="shared" si="49"/>
        <v>0</v>
      </c>
      <c r="AG235" s="158"/>
      <c r="AH235" s="94">
        <v>0</v>
      </c>
      <c r="AI235" s="94">
        <v>0</v>
      </c>
      <c r="AJ235" s="94"/>
      <c r="AK235" s="158">
        <f t="shared" si="50"/>
        <v>0</v>
      </c>
      <c r="AL235" s="158">
        <v>877</v>
      </c>
      <c r="AM235" s="94">
        <v>10</v>
      </c>
      <c r="AN235" s="158"/>
      <c r="AO235" s="158"/>
      <c r="AP235" s="158"/>
      <c r="AQ235" s="11"/>
      <c r="AR235" s="11"/>
      <c r="AS235" s="11"/>
      <c r="AT235" s="2">
        <v>1</v>
      </c>
      <c r="AU235" s="58" t="s">
        <v>646</v>
      </c>
      <c r="AV235" s="104"/>
      <c r="AW235" s="158"/>
      <c r="AX235" s="11"/>
      <c r="AY235" s="11"/>
      <c r="AZ235" s="158">
        <v>14</v>
      </c>
      <c r="BA235" s="158"/>
      <c r="BB235" s="11"/>
      <c r="BC235" s="11"/>
      <c r="BD235" s="158">
        <v>14</v>
      </c>
      <c r="BE235" s="69"/>
      <c r="BF235" s="271">
        <v>2019</v>
      </c>
      <c r="BG235" s="271">
        <v>2019</v>
      </c>
      <c r="BH235" s="271"/>
      <c r="BI235" s="271" t="s">
        <v>2375</v>
      </c>
    </row>
    <row r="236" spans="1:61" s="204" customFormat="1" ht="18" customHeight="1">
      <c r="A236" s="248" t="s">
        <v>504</v>
      </c>
      <c r="B236" s="58" t="s">
        <v>84</v>
      </c>
      <c r="C236" s="251" t="s">
        <v>1141</v>
      </c>
      <c r="D236" s="259" t="s">
        <v>109</v>
      </c>
      <c r="E236" s="259"/>
      <c r="F236" s="259"/>
      <c r="G236" s="259"/>
      <c r="H236" s="30" t="s">
        <v>1113</v>
      </c>
      <c r="I236" s="82">
        <v>767</v>
      </c>
      <c r="J236" s="212">
        <v>43455</v>
      </c>
      <c r="K236" s="158">
        <v>26</v>
      </c>
      <c r="L236" s="158">
        <v>26</v>
      </c>
      <c r="M236" s="158"/>
      <c r="N236" s="158"/>
      <c r="O236" s="158"/>
      <c r="P236" s="158">
        <v>1708276700</v>
      </c>
      <c r="Q236" s="158"/>
      <c r="R236" s="158"/>
      <c r="S236" s="158"/>
      <c r="T236" s="158"/>
      <c r="U236" s="158">
        <v>927356136</v>
      </c>
      <c r="V236" s="158">
        <v>10</v>
      </c>
      <c r="W236" s="311">
        <v>43497</v>
      </c>
      <c r="X236" s="311"/>
      <c r="Y236" s="311"/>
      <c r="Z236" s="94">
        <v>780920564</v>
      </c>
      <c r="AA236" s="158">
        <v>10</v>
      </c>
      <c r="AB236" s="311">
        <v>43617</v>
      </c>
      <c r="AC236" s="311"/>
      <c r="AD236" s="158"/>
      <c r="AE236" s="158"/>
      <c r="AF236" s="158">
        <f t="shared" si="49"/>
        <v>0</v>
      </c>
      <c r="AG236" s="158"/>
      <c r="AH236" s="94">
        <v>0</v>
      </c>
      <c r="AI236" s="94">
        <v>0</v>
      </c>
      <c r="AJ236" s="94"/>
      <c r="AK236" s="158">
        <f t="shared" si="50"/>
        <v>0</v>
      </c>
      <c r="AL236" s="158">
        <v>877</v>
      </c>
      <c r="AM236" s="94">
        <v>10</v>
      </c>
      <c r="AN236" s="158"/>
      <c r="AO236" s="158"/>
      <c r="AP236" s="158"/>
      <c r="AQ236" s="11"/>
      <c r="AR236" s="11"/>
      <c r="AS236" s="11"/>
      <c r="AT236" s="2">
        <v>1</v>
      </c>
      <c r="AU236" s="58" t="s">
        <v>646</v>
      </c>
      <c r="AV236" s="104" t="s">
        <v>1709</v>
      </c>
      <c r="AW236" s="158"/>
      <c r="AX236" s="11"/>
      <c r="AY236" s="11"/>
      <c r="AZ236" s="158">
        <v>26</v>
      </c>
      <c r="BA236" s="158"/>
      <c r="BB236" s="11"/>
      <c r="BC236" s="11"/>
      <c r="BD236" s="158">
        <v>26</v>
      </c>
      <c r="BE236" s="69"/>
      <c r="BF236" s="271">
        <v>2019</v>
      </c>
      <c r="BG236" s="271">
        <v>2019</v>
      </c>
      <c r="BH236" s="271"/>
      <c r="BI236" s="271" t="s">
        <v>2375</v>
      </c>
    </row>
    <row r="237" spans="1:61" s="204" customFormat="1" ht="18" customHeight="1">
      <c r="A237" s="160" t="s">
        <v>504</v>
      </c>
      <c r="B237" s="58" t="s">
        <v>84</v>
      </c>
      <c r="C237" s="58" t="s">
        <v>1142</v>
      </c>
      <c r="D237" s="148" t="s">
        <v>1144</v>
      </c>
      <c r="E237" s="148"/>
      <c r="F237" s="148"/>
      <c r="G237" s="148"/>
      <c r="H237" s="30" t="s">
        <v>1113</v>
      </c>
      <c r="I237" s="226">
        <v>784</v>
      </c>
      <c r="J237" s="212">
        <v>43455</v>
      </c>
      <c r="K237" s="158">
        <v>20</v>
      </c>
      <c r="L237" s="158">
        <v>20</v>
      </c>
      <c r="M237" s="158"/>
      <c r="N237" s="158"/>
      <c r="O237" s="158"/>
      <c r="P237" s="158">
        <f>1514005515-198845469</f>
        <v>1315160046</v>
      </c>
      <c r="Q237" s="158"/>
      <c r="R237" s="158"/>
      <c r="S237" s="158"/>
      <c r="T237" s="158"/>
      <c r="U237" s="158">
        <v>821948282</v>
      </c>
      <c r="V237" s="158">
        <v>10</v>
      </c>
      <c r="W237" s="311">
        <v>43497</v>
      </c>
      <c r="X237" s="311"/>
      <c r="Y237" s="311"/>
      <c r="Z237" s="94">
        <v>493211764</v>
      </c>
      <c r="AA237" s="69">
        <v>10</v>
      </c>
      <c r="AB237" s="311">
        <v>43647</v>
      </c>
      <c r="AC237" s="577"/>
      <c r="AD237" s="69"/>
      <c r="AE237" s="158"/>
      <c r="AF237" s="158">
        <f t="shared" si="49"/>
        <v>0</v>
      </c>
      <c r="AG237" s="158"/>
      <c r="AH237" s="94">
        <v>0</v>
      </c>
      <c r="AI237" s="94">
        <v>0</v>
      </c>
      <c r="AJ237" s="94"/>
      <c r="AK237" s="158">
        <f t="shared" si="50"/>
        <v>0</v>
      </c>
      <c r="AL237" s="158">
        <v>877</v>
      </c>
      <c r="AM237" s="94">
        <v>10</v>
      </c>
      <c r="AN237" s="158"/>
      <c r="AO237" s="158"/>
      <c r="AP237" s="158"/>
      <c r="AQ237" s="11"/>
      <c r="AR237" s="11"/>
      <c r="AS237" s="11"/>
      <c r="AT237" s="2">
        <v>1</v>
      </c>
      <c r="AU237" s="58" t="s">
        <v>646</v>
      </c>
      <c r="AV237" s="104"/>
      <c r="AW237" s="158"/>
      <c r="AX237" s="11"/>
      <c r="AY237" s="11"/>
      <c r="AZ237" s="158">
        <v>20</v>
      </c>
      <c r="BA237" s="158"/>
      <c r="BB237" s="11"/>
      <c r="BC237" s="11"/>
      <c r="BD237" s="158">
        <v>20</v>
      </c>
      <c r="BE237" s="69"/>
      <c r="BF237" s="271">
        <v>2019</v>
      </c>
      <c r="BG237" s="271">
        <v>2019</v>
      </c>
      <c r="BH237" s="271"/>
      <c r="BI237" s="271" t="s">
        <v>2375</v>
      </c>
    </row>
    <row r="238" spans="1:61" s="204" customFormat="1" ht="18" customHeight="1">
      <c r="A238" s="243" t="s">
        <v>504</v>
      </c>
      <c r="B238" s="58" t="s">
        <v>84</v>
      </c>
      <c r="C238" s="246" t="s">
        <v>1142</v>
      </c>
      <c r="D238" s="261" t="s">
        <v>1144</v>
      </c>
      <c r="E238" s="261"/>
      <c r="F238" s="261"/>
      <c r="G238" s="261"/>
      <c r="H238" s="30" t="s">
        <v>1113</v>
      </c>
      <c r="I238" s="82">
        <v>784</v>
      </c>
      <c r="J238" s="212">
        <v>43455</v>
      </c>
      <c r="K238" s="158">
        <v>3</v>
      </c>
      <c r="L238" s="158">
        <v>3</v>
      </c>
      <c r="M238" s="158"/>
      <c r="N238" s="158">
        <v>3</v>
      </c>
      <c r="O238" s="158"/>
      <c r="P238" s="158">
        <v>198845469</v>
      </c>
      <c r="Q238" s="158"/>
      <c r="R238" s="158"/>
      <c r="S238" s="158"/>
      <c r="T238" s="158"/>
      <c r="U238" s="158"/>
      <c r="V238" s="158"/>
      <c r="W238" s="158"/>
      <c r="X238" s="158"/>
      <c r="Y238" s="158"/>
      <c r="Z238" s="94"/>
      <c r="AA238" s="158"/>
      <c r="AB238" s="158"/>
      <c r="AC238" s="247"/>
      <c r="AD238" s="247"/>
      <c r="AE238" s="158"/>
      <c r="AF238" s="158">
        <f t="shared" si="49"/>
        <v>198845469</v>
      </c>
      <c r="AG238" s="158"/>
      <c r="AH238" s="94">
        <v>0</v>
      </c>
      <c r="AI238" s="94">
        <v>198845469</v>
      </c>
      <c r="AJ238" s="94"/>
      <c r="AK238" s="602">
        <f t="shared" ref="AK238:AK239" si="51">P238-R238-U238-Z238</f>
        <v>198845469</v>
      </c>
      <c r="AL238" s="72">
        <v>877</v>
      </c>
      <c r="AM238" s="175">
        <v>10</v>
      </c>
      <c r="AN238" s="158">
        <v>3</v>
      </c>
      <c r="AO238" s="158"/>
      <c r="AP238" s="11"/>
      <c r="AQ238" s="11"/>
      <c r="AR238" s="11"/>
      <c r="AS238" s="11"/>
      <c r="AT238" s="2">
        <v>0</v>
      </c>
      <c r="AU238" s="58" t="s">
        <v>521</v>
      </c>
      <c r="AV238" s="104"/>
      <c r="AW238" s="158"/>
      <c r="AX238" s="11"/>
      <c r="AY238" s="11"/>
      <c r="AZ238" s="11"/>
      <c r="BA238" s="11"/>
      <c r="BB238" s="11"/>
      <c r="BC238" s="70"/>
      <c r="BD238" s="70"/>
      <c r="BE238" s="69"/>
      <c r="BF238" s="271"/>
      <c r="BG238" s="271">
        <v>2019</v>
      </c>
      <c r="BH238" s="271">
        <v>2020</v>
      </c>
      <c r="BI238" s="271" t="s">
        <v>2375</v>
      </c>
    </row>
    <row r="239" spans="1:61" s="204" customFormat="1" ht="29.25" customHeight="1">
      <c r="A239" s="160" t="s">
        <v>504</v>
      </c>
      <c r="B239" s="58" t="s">
        <v>84</v>
      </c>
      <c r="C239" s="77" t="s">
        <v>1173</v>
      </c>
      <c r="D239" s="148" t="s">
        <v>1169</v>
      </c>
      <c r="E239" s="148"/>
      <c r="F239" s="148"/>
      <c r="G239" s="148"/>
      <c r="H239" s="30" t="s">
        <v>1113</v>
      </c>
      <c r="I239" s="226">
        <v>779</v>
      </c>
      <c r="J239" s="212">
        <v>43455</v>
      </c>
      <c r="K239" s="158">
        <v>20</v>
      </c>
      <c r="L239" s="158">
        <v>20</v>
      </c>
      <c r="M239" s="158"/>
      <c r="N239" s="12">
        <v>20</v>
      </c>
      <c r="O239" s="158"/>
      <c r="P239" s="158">
        <v>1294350428</v>
      </c>
      <c r="Q239" s="158"/>
      <c r="R239" s="158"/>
      <c r="S239" s="158"/>
      <c r="T239" s="158"/>
      <c r="U239" s="158">
        <f>658897806+6270000+22117425</f>
        <v>687285231</v>
      </c>
      <c r="V239" s="158">
        <v>20</v>
      </c>
      <c r="W239" s="311">
        <v>43739</v>
      </c>
      <c r="X239" s="311"/>
      <c r="Y239" s="311"/>
      <c r="Z239" s="94">
        <v>607065197</v>
      </c>
      <c r="AA239" s="69">
        <v>20</v>
      </c>
      <c r="AB239" s="311">
        <v>43951</v>
      </c>
      <c r="AC239" s="577"/>
      <c r="AD239" s="69"/>
      <c r="AE239" s="158"/>
      <c r="AF239" s="94">
        <f>P239-U239</f>
        <v>607065197</v>
      </c>
      <c r="AG239" s="158"/>
      <c r="AH239" s="94">
        <v>0</v>
      </c>
      <c r="AI239" s="94">
        <v>607065197</v>
      </c>
      <c r="AJ239" s="94"/>
      <c r="AK239" s="666">
        <f t="shared" si="51"/>
        <v>0</v>
      </c>
      <c r="AL239" s="666">
        <v>877</v>
      </c>
      <c r="AM239" s="664">
        <v>20</v>
      </c>
      <c r="AN239" s="158"/>
      <c r="AO239" s="158">
        <v>20</v>
      </c>
      <c r="AP239" s="158"/>
      <c r="AQ239" s="11"/>
      <c r="AR239" s="11"/>
      <c r="AS239" s="158"/>
      <c r="AT239" s="2">
        <v>0.54600000000000004</v>
      </c>
      <c r="AU239" s="58" t="s">
        <v>38</v>
      </c>
      <c r="AV239" s="104"/>
      <c r="AW239" s="158"/>
      <c r="AX239" s="158"/>
      <c r="AY239" s="158"/>
      <c r="AZ239" s="158"/>
      <c r="BA239" s="158"/>
      <c r="BB239" s="158"/>
      <c r="BC239" s="69"/>
      <c r="BD239" s="69"/>
      <c r="BE239" s="69"/>
      <c r="BF239" s="271"/>
      <c r="BG239" s="271">
        <v>2019</v>
      </c>
      <c r="BH239" s="430">
        <v>2020</v>
      </c>
      <c r="BI239" s="271" t="s">
        <v>2375</v>
      </c>
    </row>
    <row r="240" spans="1:61" s="204" customFormat="1" ht="18" customHeight="1">
      <c r="A240" s="160" t="s">
        <v>504</v>
      </c>
      <c r="B240" s="58" t="s">
        <v>89</v>
      </c>
      <c r="C240" s="58" t="s">
        <v>1259</v>
      </c>
      <c r="D240" s="148" t="s">
        <v>1078</v>
      </c>
      <c r="E240" s="148"/>
      <c r="F240" s="148"/>
      <c r="G240" s="148"/>
      <c r="H240" s="30" t="s">
        <v>1232</v>
      </c>
      <c r="I240" s="226">
        <v>473</v>
      </c>
      <c r="J240" s="212" t="s">
        <v>1469</v>
      </c>
      <c r="K240" s="158"/>
      <c r="L240" s="158"/>
      <c r="M240" s="158">
        <v>1</v>
      </c>
      <c r="N240" s="158"/>
      <c r="O240" s="158"/>
      <c r="P240" s="158">
        <v>70242040</v>
      </c>
      <c r="Q240" s="158"/>
      <c r="R240" s="158"/>
      <c r="S240" s="158"/>
      <c r="T240" s="158"/>
      <c r="U240" s="158">
        <v>0</v>
      </c>
      <c r="V240" s="158"/>
      <c r="W240" s="158"/>
      <c r="X240" s="158"/>
      <c r="Y240" s="158"/>
      <c r="Z240" s="94"/>
      <c r="AA240" s="69"/>
      <c r="AB240" s="69"/>
      <c r="AC240" s="69"/>
      <c r="AD240" s="69">
        <v>70242040</v>
      </c>
      <c r="AE240" s="158"/>
      <c r="AF240" s="158">
        <f>P240-U240-Z240-AD240</f>
        <v>0</v>
      </c>
      <c r="AG240" s="158"/>
      <c r="AH240" s="94">
        <v>0</v>
      </c>
      <c r="AI240" s="94">
        <v>0</v>
      </c>
      <c r="AJ240" s="94"/>
      <c r="AK240" s="72">
        <f t="shared" ref="AK240:AK250" si="52">AF240+AH240</f>
        <v>0</v>
      </c>
      <c r="AL240" s="158">
        <v>877</v>
      </c>
      <c r="AM240" s="94">
        <v>10</v>
      </c>
      <c r="AN240" s="158"/>
      <c r="AO240" s="158"/>
      <c r="AP240" s="11"/>
      <c r="AQ240" s="11"/>
      <c r="AR240" s="11"/>
      <c r="AS240" s="158"/>
      <c r="AT240" s="2">
        <v>0</v>
      </c>
      <c r="AU240" s="1" t="s">
        <v>687</v>
      </c>
      <c r="AV240" s="104" t="s">
        <v>1423</v>
      </c>
      <c r="AW240" s="158"/>
      <c r="AX240" s="11"/>
      <c r="AY240" s="11"/>
      <c r="AZ240" s="11"/>
      <c r="BA240" s="11"/>
      <c r="BB240" s="11"/>
      <c r="BC240" s="70"/>
      <c r="BD240" s="70"/>
      <c r="BE240" s="69">
        <v>1</v>
      </c>
      <c r="BF240" s="271" t="s">
        <v>1706</v>
      </c>
      <c r="BG240" s="271">
        <v>2019</v>
      </c>
      <c r="BH240" s="271"/>
      <c r="BI240" s="271" t="s">
        <v>2375</v>
      </c>
    </row>
    <row r="241" spans="1:61" s="204" customFormat="1" ht="18" customHeight="1">
      <c r="A241" s="160" t="s">
        <v>504</v>
      </c>
      <c r="B241" s="58" t="s">
        <v>89</v>
      </c>
      <c r="C241" s="58" t="s">
        <v>1259</v>
      </c>
      <c r="D241" s="148" t="s">
        <v>1078</v>
      </c>
      <c r="E241" s="148"/>
      <c r="F241" s="148"/>
      <c r="G241" s="148"/>
      <c r="H241" s="30" t="s">
        <v>1232</v>
      </c>
      <c r="I241" s="226">
        <v>473</v>
      </c>
      <c r="J241" s="212" t="s">
        <v>1469</v>
      </c>
      <c r="K241" s="158"/>
      <c r="L241" s="158"/>
      <c r="M241" s="158">
        <f>69-1</f>
        <v>68</v>
      </c>
      <c r="N241" s="158">
        <v>68</v>
      </c>
      <c r="O241" s="158"/>
      <c r="P241" s="158">
        <f>4846700746-70242040</f>
        <v>4776458706</v>
      </c>
      <c r="Q241" s="158"/>
      <c r="R241" s="158"/>
      <c r="S241" s="158"/>
      <c r="T241" s="158"/>
      <c r="U241" s="158">
        <v>2597168863</v>
      </c>
      <c r="V241" s="158">
        <v>10</v>
      </c>
      <c r="W241" s="311">
        <v>43556</v>
      </c>
      <c r="X241" s="311"/>
      <c r="Y241" s="311"/>
      <c r="Z241" s="94">
        <v>2179289843</v>
      </c>
      <c r="AA241" s="158">
        <v>10</v>
      </c>
      <c r="AB241" s="311">
        <v>43678</v>
      </c>
      <c r="AC241" s="577"/>
      <c r="AD241" s="69"/>
      <c r="AE241" s="158"/>
      <c r="AF241" s="158">
        <f t="shared" si="49"/>
        <v>0</v>
      </c>
      <c r="AG241" s="158"/>
      <c r="AH241" s="94">
        <v>0</v>
      </c>
      <c r="AI241" s="94">
        <v>0</v>
      </c>
      <c r="AJ241" s="94"/>
      <c r="AK241" s="158">
        <f>P241-R241-U241-Z241</f>
        <v>0</v>
      </c>
      <c r="AL241" s="158">
        <v>877</v>
      </c>
      <c r="AM241" s="94">
        <v>10</v>
      </c>
      <c r="AN241" s="158"/>
      <c r="AO241" s="158"/>
      <c r="AP241" s="158">
        <v>68</v>
      </c>
      <c r="AQ241" s="11"/>
      <c r="AR241" s="11"/>
      <c r="AS241" s="11"/>
      <c r="AT241" s="2">
        <v>1</v>
      </c>
      <c r="AU241" s="58" t="s">
        <v>646</v>
      </c>
      <c r="AV241" s="104"/>
      <c r="AW241" s="158"/>
      <c r="AX241" s="11"/>
      <c r="AY241" s="11"/>
      <c r="AZ241" s="11"/>
      <c r="BA241" s="158">
        <v>68</v>
      </c>
      <c r="BB241" s="11"/>
      <c r="BC241" s="70"/>
      <c r="BD241" s="158">
        <v>68</v>
      </c>
      <c r="BE241" s="69"/>
      <c r="BF241" s="271">
        <v>2020</v>
      </c>
      <c r="BG241" s="271">
        <v>2019</v>
      </c>
      <c r="BH241" s="430">
        <v>2020</v>
      </c>
      <c r="BI241" s="271" t="s">
        <v>2375</v>
      </c>
    </row>
    <row r="242" spans="1:61" s="204" customFormat="1" ht="18" customHeight="1">
      <c r="A242" s="160" t="s">
        <v>504</v>
      </c>
      <c r="B242" s="58" t="s">
        <v>1243</v>
      </c>
      <c r="C242" s="58" t="s">
        <v>1260</v>
      </c>
      <c r="D242" s="148" t="s">
        <v>919</v>
      </c>
      <c r="E242" s="148"/>
      <c r="F242" s="148"/>
      <c r="G242" s="148"/>
      <c r="H242" s="30" t="s">
        <v>1232</v>
      </c>
      <c r="I242" s="226">
        <v>490</v>
      </c>
      <c r="J242" s="212">
        <v>43539</v>
      </c>
      <c r="K242" s="158"/>
      <c r="L242" s="158">
        <v>16</v>
      </c>
      <c r="M242" s="158"/>
      <c r="N242" s="158"/>
      <c r="O242" s="158"/>
      <c r="P242" s="158">
        <f>1237204572-137467175</f>
        <v>1099737397</v>
      </c>
      <c r="Q242" s="158"/>
      <c r="R242" s="158"/>
      <c r="S242" s="158"/>
      <c r="T242" s="158"/>
      <c r="U242" s="158">
        <f>570703514</f>
        <v>570703514</v>
      </c>
      <c r="V242" s="158">
        <v>10</v>
      </c>
      <c r="W242" s="311">
        <v>43586</v>
      </c>
      <c r="X242" s="311"/>
      <c r="Y242" s="311"/>
      <c r="Z242" s="94">
        <v>529033883</v>
      </c>
      <c r="AA242" s="69">
        <v>20</v>
      </c>
      <c r="AB242" s="311">
        <v>43709</v>
      </c>
      <c r="AC242" s="577"/>
      <c r="AD242" s="69"/>
      <c r="AE242" s="158"/>
      <c r="AF242" s="158">
        <f t="shared" si="49"/>
        <v>0</v>
      </c>
      <c r="AG242" s="158"/>
      <c r="AH242" s="94">
        <v>0</v>
      </c>
      <c r="AI242" s="94">
        <v>0</v>
      </c>
      <c r="AJ242" s="94"/>
      <c r="AK242" s="158">
        <f t="shared" si="52"/>
        <v>0</v>
      </c>
      <c r="AL242" s="158">
        <v>877</v>
      </c>
      <c r="AM242" s="94">
        <v>20</v>
      </c>
      <c r="AN242" s="158"/>
      <c r="AO242" s="158"/>
      <c r="AP242" s="158"/>
      <c r="AQ242" s="11"/>
      <c r="AR242" s="11"/>
      <c r="AS242" s="11"/>
      <c r="AT242" s="2">
        <v>1</v>
      </c>
      <c r="AU242" s="58" t="s">
        <v>646</v>
      </c>
      <c r="AV242" s="104" t="s">
        <v>1709</v>
      </c>
      <c r="AW242" s="158"/>
      <c r="AX242" s="11"/>
      <c r="AY242" s="11"/>
      <c r="AZ242" s="12">
        <v>16</v>
      </c>
      <c r="BA242" s="12"/>
      <c r="BB242" s="11"/>
      <c r="BC242" s="11"/>
      <c r="BD242" s="158">
        <v>16</v>
      </c>
      <c r="BE242" s="69"/>
      <c r="BF242" s="271">
        <v>2019</v>
      </c>
      <c r="BG242" s="271">
        <v>2019</v>
      </c>
      <c r="BH242" s="271"/>
      <c r="BI242" s="271" t="s">
        <v>2375</v>
      </c>
    </row>
    <row r="243" spans="1:61" s="204" customFormat="1" ht="18" customHeight="1">
      <c r="A243" s="160" t="s">
        <v>504</v>
      </c>
      <c r="B243" s="58" t="s">
        <v>1243</v>
      </c>
      <c r="C243" s="58" t="s">
        <v>1260</v>
      </c>
      <c r="D243" s="148" t="s">
        <v>919</v>
      </c>
      <c r="E243" s="148"/>
      <c r="F243" s="148"/>
      <c r="G243" s="148"/>
      <c r="H243" s="30" t="s">
        <v>1232</v>
      </c>
      <c r="I243" s="226">
        <v>490</v>
      </c>
      <c r="J243" s="212">
        <v>43539</v>
      </c>
      <c r="K243" s="158"/>
      <c r="L243" s="158"/>
      <c r="M243" s="158">
        <v>2</v>
      </c>
      <c r="N243" s="158"/>
      <c r="O243" s="158"/>
      <c r="P243" s="158">
        <v>137467175</v>
      </c>
      <c r="Q243" s="158"/>
      <c r="R243" s="158"/>
      <c r="S243" s="158"/>
      <c r="T243" s="158"/>
      <c r="U243" s="158">
        <v>72225824</v>
      </c>
      <c r="V243" s="158">
        <v>10</v>
      </c>
      <c r="W243" s="311">
        <v>43647</v>
      </c>
      <c r="X243" s="311"/>
      <c r="Y243" s="311"/>
      <c r="Z243" s="94">
        <v>65241351</v>
      </c>
      <c r="AA243" s="69">
        <v>20</v>
      </c>
      <c r="AB243" s="311">
        <v>43709</v>
      </c>
      <c r="AC243" s="577"/>
      <c r="AD243" s="69"/>
      <c r="AE243" s="158"/>
      <c r="AF243" s="158">
        <f t="shared" si="49"/>
        <v>0</v>
      </c>
      <c r="AG243" s="158"/>
      <c r="AH243" s="94">
        <v>0</v>
      </c>
      <c r="AI243" s="94">
        <v>0</v>
      </c>
      <c r="AJ243" s="94"/>
      <c r="AK243" s="158">
        <f t="shared" si="52"/>
        <v>0</v>
      </c>
      <c r="AL243" s="158">
        <v>877</v>
      </c>
      <c r="AM243" s="94">
        <v>20</v>
      </c>
      <c r="AN243" s="158"/>
      <c r="AO243" s="158"/>
      <c r="AP243" s="61"/>
      <c r="AQ243" s="11"/>
      <c r="AR243" s="11"/>
      <c r="AS243" s="11"/>
      <c r="AT243" s="2">
        <v>1</v>
      </c>
      <c r="AU243" s="58" t="s">
        <v>646</v>
      </c>
      <c r="AV243" s="104" t="s">
        <v>1709</v>
      </c>
      <c r="AW243" s="158"/>
      <c r="AX243" s="11"/>
      <c r="AY243" s="11"/>
      <c r="AZ243" s="12">
        <v>2</v>
      </c>
      <c r="BA243" s="12"/>
      <c r="BB243" s="11"/>
      <c r="BC243" s="11"/>
      <c r="BD243" s="158">
        <v>2</v>
      </c>
      <c r="BE243" s="69"/>
      <c r="BF243" s="271">
        <v>2019</v>
      </c>
      <c r="BG243" s="271">
        <v>2019</v>
      </c>
      <c r="BH243" s="271"/>
      <c r="BI243" s="271" t="s">
        <v>2375</v>
      </c>
    </row>
    <row r="244" spans="1:61" s="204" customFormat="1" ht="18" customHeight="1">
      <c r="A244" s="160" t="s">
        <v>504</v>
      </c>
      <c r="B244" s="58" t="s">
        <v>1243</v>
      </c>
      <c r="C244" s="58" t="s">
        <v>1261</v>
      </c>
      <c r="D244" s="148" t="s">
        <v>919</v>
      </c>
      <c r="E244" s="148"/>
      <c r="F244" s="148"/>
      <c r="G244" s="148"/>
      <c r="H244" s="30" t="s">
        <v>1232</v>
      </c>
      <c r="I244" s="226">
        <v>477</v>
      </c>
      <c r="J244" s="212">
        <v>43538</v>
      </c>
      <c r="K244" s="158"/>
      <c r="L244" s="158">
        <v>24</v>
      </c>
      <c r="M244" s="158"/>
      <c r="N244" s="158"/>
      <c r="O244" s="158"/>
      <c r="P244" s="158">
        <v>1683699620</v>
      </c>
      <c r="Q244" s="158"/>
      <c r="R244" s="158"/>
      <c r="S244" s="158"/>
      <c r="T244" s="158"/>
      <c r="U244" s="158">
        <v>874893116</v>
      </c>
      <c r="V244" s="158">
        <v>10</v>
      </c>
      <c r="W244" s="311">
        <v>43556</v>
      </c>
      <c r="X244" s="311"/>
      <c r="Y244" s="311"/>
      <c r="Z244" s="158">
        <v>808806504</v>
      </c>
      <c r="AA244" s="69">
        <v>10</v>
      </c>
      <c r="AB244" s="311">
        <v>43647</v>
      </c>
      <c r="AC244" s="577"/>
      <c r="AD244" s="69"/>
      <c r="AE244" s="158"/>
      <c r="AF244" s="158">
        <f t="shared" si="49"/>
        <v>0</v>
      </c>
      <c r="AG244" s="158"/>
      <c r="AH244" s="94">
        <v>0</v>
      </c>
      <c r="AI244" s="94">
        <v>0</v>
      </c>
      <c r="AJ244" s="94"/>
      <c r="AK244" s="158">
        <f t="shared" si="52"/>
        <v>0</v>
      </c>
      <c r="AL244" s="158">
        <v>877</v>
      </c>
      <c r="AM244" s="94">
        <v>10</v>
      </c>
      <c r="AN244" s="158"/>
      <c r="AO244" s="158"/>
      <c r="AP244" s="158"/>
      <c r="AQ244" s="11"/>
      <c r="AR244" s="11"/>
      <c r="AS244" s="11"/>
      <c r="AT244" s="2">
        <v>1</v>
      </c>
      <c r="AU244" s="58" t="s">
        <v>646</v>
      </c>
      <c r="AV244" s="104"/>
      <c r="AW244" s="158"/>
      <c r="AX244" s="11"/>
      <c r="AY244" s="11"/>
      <c r="AZ244" s="158">
        <v>24</v>
      </c>
      <c r="BA244" s="158"/>
      <c r="BB244" s="11"/>
      <c r="BC244" s="70"/>
      <c r="BD244" s="158">
        <v>24</v>
      </c>
      <c r="BE244" s="69"/>
      <c r="BF244" s="271">
        <v>2019</v>
      </c>
      <c r="BG244" s="271">
        <v>2019</v>
      </c>
      <c r="BH244" s="271"/>
      <c r="BI244" s="271" t="s">
        <v>2375</v>
      </c>
    </row>
    <row r="245" spans="1:61" s="204" customFormat="1" ht="18" customHeight="1">
      <c r="A245" s="160" t="s">
        <v>504</v>
      </c>
      <c r="B245" s="58" t="s">
        <v>1619</v>
      </c>
      <c r="C245" s="58" t="s">
        <v>1616</v>
      </c>
      <c r="D245" s="148" t="s">
        <v>67</v>
      </c>
      <c r="E245" s="148"/>
      <c r="F245" s="148"/>
      <c r="G245" s="148"/>
      <c r="H245" s="30" t="s">
        <v>1605</v>
      </c>
      <c r="I245" s="226">
        <v>1361</v>
      </c>
      <c r="J245" s="212">
        <v>43685</v>
      </c>
      <c r="K245" s="158"/>
      <c r="L245" s="158"/>
      <c r="M245" s="205">
        <f>70-1</f>
        <v>69</v>
      </c>
      <c r="N245" s="158">
        <v>69</v>
      </c>
      <c r="O245" s="205"/>
      <c r="P245" s="158">
        <f>5687127414-81244677</f>
        <v>5605882737</v>
      </c>
      <c r="Q245" s="158"/>
      <c r="R245" s="158"/>
      <c r="S245" s="158"/>
      <c r="T245" s="158"/>
      <c r="U245" s="158">
        <v>3022530175</v>
      </c>
      <c r="V245" s="158">
        <v>20</v>
      </c>
      <c r="W245" s="311">
        <v>43678</v>
      </c>
      <c r="X245" s="311"/>
      <c r="Y245" s="311"/>
      <c r="Z245" s="158">
        <v>2583352562</v>
      </c>
      <c r="AA245" s="69">
        <v>20</v>
      </c>
      <c r="AB245" s="311">
        <v>43800</v>
      </c>
      <c r="AC245" s="582"/>
      <c r="AD245" s="284"/>
      <c r="AE245" s="158"/>
      <c r="AF245" s="158">
        <f t="shared" si="49"/>
        <v>0</v>
      </c>
      <c r="AG245" s="158"/>
      <c r="AH245" s="94">
        <v>0</v>
      </c>
      <c r="AI245" s="94">
        <v>0</v>
      </c>
      <c r="AJ245" s="94"/>
      <c r="AK245" s="158">
        <f t="shared" ref="AK245:AK247" si="53">P245-R245-U245-Z245</f>
        <v>0</v>
      </c>
      <c r="AL245" s="158">
        <v>877</v>
      </c>
      <c r="AM245" s="94">
        <v>20</v>
      </c>
      <c r="AN245" s="158"/>
      <c r="AO245" s="158"/>
      <c r="AP245" s="158">
        <v>69</v>
      </c>
      <c r="AQ245" s="11"/>
      <c r="AR245" s="11"/>
      <c r="AS245" s="11"/>
      <c r="AT245" s="2">
        <v>1</v>
      </c>
      <c r="AU245" s="58" t="s">
        <v>646</v>
      </c>
      <c r="AV245" s="104"/>
      <c r="AW245" s="158"/>
      <c r="AX245" s="11"/>
      <c r="AY245" s="11"/>
      <c r="AZ245" s="11"/>
      <c r="BA245" s="158">
        <v>69</v>
      </c>
      <c r="BB245" s="11"/>
      <c r="BC245" s="11"/>
      <c r="BD245" s="158">
        <v>69</v>
      </c>
      <c r="BE245" s="69"/>
      <c r="BF245" s="271">
        <v>2020</v>
      </c>
      <c r="BG245" s="271">
        <v>2019</v>
      </c>
      <c r="BH245" s="430">
        <v>2020</v>
      </c>
      <c r="BI245" s="271" t="s">
        <v>2375</v>
      </c>
    </row>
    <row r="246" spans="1:61" s="204" customFormat="1" ht="18" customHeight="1">
      <c r="A246" s="160" t="s">
        <v>504</v>
      </c>
      <c r="B246" s="58" t="s">
        <v>1619</v>
      </c>
      <c r="C246" s="58" t="s">
        <v>1616</v>
      </c>
      <c r="D246" s="148" t="s">
        <v>67</v>
      </c>
      <c r="E246" s="148"/>
      <c r="F246" s="148"/>
      <c r="G246" s="148"/>
      <c r="H246" s="30" t="s">
        <v>1605</v>
      </c>
      <c r="I246" s="226">
        <v>1361</v>
      </c>
      <c r="J246" s="212">
        <v>43685</v>
      </c>
      <c r="K246" s="158"/>
      <c r="L246" s="158"/>
      <c r="M246" s="205">
        <v>1</v>
      </c>
      <c r="N246" s="158">
        <v>1</v>
      </c>
      <c r="O246" s="205"/>
      <c r="P246" s="158">
        <v>81244677</v>
      </c>
      <c r="Q246" s="158"/>
      <c r="R246" s="158"/>
      <c r="S246" s="158"/>
      <c r="T246" s="158"/>
      <c r="U246" s="158">
        <v>43006723</v>
      </c>
      <c r="V246" s="69">
        <v>20</v>
      </c>
      <c r="W246" s="311">
        <v>43800</v>
      </c>
      <c r="X246" s="311"/>
      <c r="Y246" s="311"/>
      <c r="Z246" s="158">
        <v>38237954</v>
      </c>
      <c r="AA246" s="69">
        <v>20</v>
      </c>
      <c r="AB246" s="311">
        <v>43800</v>
      </c>
      <c r="AC246" s="582"/>
      <c r="AD246" s="284"/>
      <c r="AE246" s="158"/>
      <c r="AF246" s="158">
        <f t="shared" si="49"/>
        <v>0</v>
      </c>
      <c r="AG246" s="158"/>
      <c r="AH246" s="94">
        <v>0</v>
      </c>
      <c r="AI246" s="94">
        <v>0</v>
      </c>
      <c r="AJ246" s="94"/>
      <c r="AK246" s="158">
        <f t="shared" si="53"/>
        <v>0</v>
      </c>
      <c r="AL246" s="158">
        <v>877</v>
      </c>
      <c r="AM246" s="94">
        <v>20</v>
      </c>
      <c r="AN246" s="158"/>
      <c r="AO246" s="158"/>
      <c r="AP246" s="158">
        <v>1</v>
      </c>
      <c r="AQ246" s="11"/>
      <c r="AR246" s="11"/>
      <c r="AS246" s="11"/>
      <c r="AT246" s="2">
        <v>1</v>
      </c>
      <c r="AU246" s="58" t="s">
        <v>646</v>
      </c>
      <c r="AV246" s="104"/>
      <c r="AW246" s="158"/>
      <c r="AX246" s="11"/>
      <c r="AY246" s="11"/>
      <c r="AZ246" s="11"/>
      <c r="BA246" s="158">
        <v>1</v>
      </c>
      <c r="BB246" s="11"/>
      <c r="BC246" s="11"/>
      <c r="BD246" s="158">
        <v>1</v>
      </c>
      <c r="BE246" s="69"/>
      <c r="BF246" s="271">
        <v>2020</v>
      </c>
      <c r="BG246" s="271">
        <v>2019</v>
      </c>
      <c r="BH246" s="430">
        <v>2020</v>
      </c>
      <c r="BI246" s="271" t="s">
        <v>2375</v>
      </c>
    </row>
    <row r="247" spans="1:61" s="204" customFormat="1" ht="18" customHeight="1">
      <c r="A247" s="160" t="s">
        <v>504</v>
      </c>
      <c r="B247" s="58" t="s">
        <v>74</v>
      </c>
      <c r="C247" s="58" t="s">
        <v>1604</v>
      </c>
      <c r="D247" s="148" t="s">
        <v>1015</v>
      </c>
      <c r="E247" s="148"/>
      <c r="F247" s="148"/>
      <c r="G247" s="148"/>
      <c r="H247" s="30" t="s">
        <v>1605</v>
      </c>
      <c r="I247" s="226">
        <v>1363</v>
      </c>
      <c r="J247" s="212">
        <v>43685</v>
      </c>
      <c r="K247" s="158"/>
      <c r="L247" s="158"/>
      <c r="M247" s="205">
        <f>68-5</f>
        <v>63</v>
      </c>
      <c r="N247" s="158">
        <v>63</v>
      </c>
      <c r="O247" s="205"/>
      <c r="P247" s="158">
        <f>4919632442-364559346</f>
        <v>4555073096</v>
      </c>
      <c r="Q247" s="158"/>
      <c r="R247" s="158"/>
      <c r="S247" s="158"/>
      <c r="T247" s="158"/>
      <c r="U247" s="158">
        <v>2473438497</v>
      </c>
      <c r="V247" s="158">
        <v>20</v>
      </c>
      <c r="W247" s="311">
        <v>43709</v>
      </c>
      <c r="X247" s="311"/>
      <c r="Y247" s="311"/>
      <c r="Z247" s="158">
        <v>2081634599</v>
      </c>
      <c r="AA247" s="69">
        <v>20</v>
      </c>
      <c r="AB247" s="311">
        <v>43800</v>
      </c>
      <c r="AC247" s="582"/>
      <c r="AD247" s="284"/>
      <c r="AE247" s="158"/>
      <c r="AF247" s="158">
        <f t="shared" si="49"/>
        <v>0</v>
      </c>
      <c r="AG247" s="158"/>
      <c r="AH247" s="94">
        <v>0</v>
      </c>
      <c r="AI247" s="94">
        <v>0</v>
      </c>
      <c r="AJ247" s="94"/>
      <c r="AK247" s="158">
        <f t="shared" si="53"/>
        <v>0</v>
      </c>
      <c r="AL247" s="158">
        <v>877</v>
      </c>
      <c r="AM247" s="94">
        <v>20</v>
      </c>
      <c r="AN247" s="158"/>
      <c r="AO247" s="158"/>
      <c r="AP247" s="158">
        <v>63</v>
      </c>
      <c r="AQ247" s="11"/>
      <c r="AR247" s="11"/>
      <c r="AS247" s="11"/>
      <c r="AT247" s="2">
        <v>1</v>
      </c>
      <c r="AU247" s="58" t="s">
        <v>646</v>
      </c>
      <c r="AV247" s="104"/>
      <c r="AW247" s="158"/>
      <c r="AX247" s="11"/>
      <c r="AY247" s="11"/>
      <c r="AZ247" s="11"/>
      <c r="BA247" s="158">
        <v>63</v>
      </c>
      <c r="BB247" s="11"/>
      <c r="BC247" s="70"/>
      <c r="BD247" s="158">
        <v>63</v>
      </c>
      <c r="BE247" s="69"/>
      <c r="BF247" s="271">
        <v>2020</v>
      </c>
      <c r="BG247" s="271">
        <v>2019</v>
      </c>
      <c r="BH247" s="430">
        <v>2020</v>
      </c>
      <c r="BI247" s="271" t="s">
        <v>2375</v>
      </c>
    </row>
    <row r="248" spans="1:61" s="204" customFormat="1" ht="18" customHeight="1">
      <c r="A248" s="160" t="s">
        <v>504</v>
      </c>
      <c r="B248" s="58" t="s">
        <v>74</v>
      </c>
      <c r="C248" s="58" t="s">
        <v>1604</v>
      </c>
      <c r="D248" s="148" t="s">
        <v>1015</v>
      </c>
      <c r="E248" s="148"/>
      <c r="F248" s="148"/>
      <c r="G248" s="148"/>
      <c r="H248" s="30" t="s">
        <v>1605</v>
      </c>
      <c r="I248" s="226">
        <v>1363</v>
      </c>
      <c r="J248" s="212">
        <v>43685</v>
      </c>
      <c r="K248" s="158"/>
      <c r="L248" s="158"/>
      <c r="M248" s="205">
        <v>5</v>
      </c>
      <c r="N248" s="158">
        <v>5</v>
      </c>
      <c r="O248" s="205"/>
      <c r="P248" s="158">
        <f>364559346</f>
        <v>364559346</v>
      </c>
      <c r="Q248" s="158"/>
      <c r="R248" s="158"/>
      <c r="S248" s="158"/>
      <c r="T248" s="158"/>
      <c r="U248" s="158">
        <v>364559346</v>
      </c>
      <c r="V248" s="69">
        <v>20</v>
      </c>
      <c r="W248" s="311">
        <v>43800</v>
      </c>
      <c r="X248" s="311"/>
      <c r="Y248" s="311"/>
      <c r="Z248" s="158"/>
      <c r="AA248" s="69"/>
      <c r="AB248" s="284"/>
      <c r="AC248" s="284"/>
      <c r="AD248" s="284"/>
      <c r="AE248" s="158"/>
      <c r="AF248" s="158">
        <f t="shared" si="49"/>
        <v>0</v>
      </c>
      <c r="AG248" s="158"/>
      <c r="AH248" s="94">
        <v>0</v>
      </c>
      <c r="AI248" s="94">
        <v>0</v>
      </c>
      <c r="AJ248" s="94"/>
      <c r="AK248" s="158">
        <f>P248-R248-U248-Z248</f>
        <v>0</v>
      </c>
      <c r="AL248" s="158">
        <v>877</v>
      </c>
      <c r="AM248" s="94">
        <v>20</v>
      </c>
      <c r="AN248" s="158"/>
      <c r="AO248" s="158"/>
      <c r="AP248" s="158">
        <v>5</v>
      </c>
      <c r="AQ248" s="11"/>
      <c r="AR248" s="11"/>
      <c r="AS248" s="11"/>
      <c r="AT248" s="2">
        <v>1</v>
      </c>
      <c r="AU248" s="58" t="s">
        <v>646</v>
      </c>
      <c r="AV248" s="104"/>
      <c r="AW248" s="158"/>
      <c r="AX248" s="11"/>
      <c r="AY248" s="11"/>
      <c r="AZ248" s="11"/>
      <c r="BA248" s="158">
        <v>5</v>
      </c>
      <c r="BB248" s="11"/>
      <c r="BC248" s="70"/>
      <c r="BD248" s="158">
        <v>5</v>
      </c>
      <c r="BE248" s="69"/>
      <c r="BF248" s="271">
        <v>2020</v>
      </c>
      <c r="BG248" s="271">
        <v>2019</v>
      </c>
      <c r="BH248" s="271">
        <v>2020</v>
      </c>
      <c r="BI248" s="271" t="s">
        <v>2375</v>
      </c>
    </row>
    <row r="249" spans="1:61" s="204" customFormat="1" ht="27.75" customHeight="1">
      <c r="A249" s="160" t="s">
        <v>504</v>
      </c>
      <c r="B249" s="58" t="s">
        <v>84</v>
      </c>
      <c r="C249" s="77" t="s">
        <v>1617</v>
      </c>
      <c r="D249" s="148" t="s">
        <v>1618</v>
      </c>
      <c r="E249" s="148"/>
      <c r="F249" s="148"/>
      <c r="G249" s="148"/>
      <c r="H249" s="30" t="s">
        <v>1605</v>
      </c>
      <c r="I249" s="272" t="s">
        <v>1620</v>
      </c>
      <c r="J249" s="212">
        <v>43685</v>
      </c>
      <c r="K249" s="158"/>
      <c r="L249" s="158"/>
      <c r="M249" s="205">
        <v>50</v>
      </c>
      <c r="N249" s="12">
        <v>50</v>
      </c>
      <c r="O249" s="205"/>
      <c r="P249" s="158">
        <v>4120172800</v>
      </c>
      <c r="Q249" s="158"/>
      <c r="R249" s="158">
        <v>500000000</v>
      </c>
      <c r="S249" s="158">
        <v>20</v>
      </c>
      <c r="T249" s="311">
        <v>43678</v>
      </c>
      <c r="U249" s="94">
        <v>1942145866</v>
      </c>
      <c r="V249" s="158">
        <v>10</v>
      </c>
      <c r="W249" s="311">
        <v>43831</v>
      </c>
      <c r="X249" s="311"/>
      <c r="Y249" s="311"/>
      <c r="Z249" s="158">
        <v>1678026934</v>
      </c>
      <c r="AA249" s="69">
        <v>10</v>
      </c>
      <c r="AB249" s="311">
        <v>43980</v>
      </c>
      <c r="AC249" s="582"/>
      <c r="AD249" s="284"/>
      <c r="AE249" s="158"/>
      <c r="AF249" s="94">
        <f>P249-R249</f>
        <v>3620172800</v>
      </c>
      <c r="AG249" s="158"/>
      <c r="AH249" s="94">
        <v>0</v>
      </c>
      <c r="AI249" s="94">
        <v>3620172800</v>
      </c>
      <c r="AJ249" s="94"/>
      <c r="AK249" s="158">
        <f>P249-R249-U249-Z249</f>
        <v>0</v>
      </c>
      <c r="AL249" s="158">
        <v>877</v>
      </c>
      <c r="AM249" s="94">
        <v>10</v>
      </c>
      <c r="AN249" s="158"/>
      <c r="AO249" s="158">
        <v>50</v>
      </c>
      <c r="AP249" s="11"/>
      <c r="AQ249" s="11"/>
      <c r="AR249" s="11"/>
      <c r="AS249" s="11"/>
      <c r="AT249" s="2">
        <v>0.54339999999999999</v>
      </c>
      <c r="AU249" s="28" t="s">
        <v>38</v>
      </c>
      <c r="AV249" s="104"/>
      <c r="AW249" s="158"/>
      <c r="AX249" s="11"/>
      <c r="AY249" s="11"/>
      <c r="AZ249" s="11"/>
      <c r="BA249" s="11"/>
      <c r="BB249" s="11"/>
      <c r="BC249" s="70"/>
      <c r="BD249" s="70"/>
      <c r="BE249" s="69"/>
      <c r="BF249" s="271"/>
      <c r="BG249" s="271">
        <v>2019</v>
      </c>
      <c r="BH249" s="430">
        <v>2020</v>
      </c>
      <c r="BI249" s="271" t="s">
        <v>2375</v>
      </c>
    </row>
    <row r="250" spans="1:61" s="204" customFormat="1" ht="18" customHeight="1">
      <c r="A250" s="160" t="s">
        <v>504</v>
      </c>
      <c r="B250" s="58" t="s">
        <v>74</v>
      </c>
      <c r="C250" s="58" t="s">
        <v>1866</v>
      </c>
      <c r="D250" s="148" t="s">
        <v>119</v>
      </c>
      <c r="E250" s="148"/>
      <c r="F250" s="148"/>
      <c r="G250" s="148"/>
      <c r="H250" s="30" t="s">
        <v>1605</v>
      </c>
      <c r="I250" s="226">
        <v>1375</v>
      </c>
      <c r="J250" s="212">
        <v>43685</v>
      </c>
      <c r="K250" s="158"/>
      <c r="L250" s="158"/>
      <c r="M250" s="205">
        <v>28</v>
      </c>
      <c r="N250" s="158"/>
      <c r="O250" s="205"/>
      <c r="P250" s="158">
        <v>2041476767</v>
      </c>
      <c r="Q250" s="158"/>
      <c r="R250" s="158"/>
      <c r="S250" s="158"/>
      <c r="T250" s="158"/>
      <c r="U250" s="158">
        <v>1093858563</v>
      </c>
      <c r="V250" s="158">
        <v>20</v>
      </c>
      <c r="W250" s="311">
        <v>43678</v>
      </c>
      <c r="X250" s="311"/>
      <c r="Y250" s="311"/>
      <c r="Z250" s="158">
        <v>947618204</v>
      </c>
      <c r="AA250" s="69">
        <v>20</v>
      </c>
      <c r="AB250" s="311">
        <v>43770</v>
      </c>
      <c r="AC250" s="582"/>
      <c r="AD250" s="284"/>
      <c r="AE250" s="158"/>
      <c r="AF250" s="158">
        <f t="shared" si="49"/>
        <v>0</v>
      </c>
      <c r="AG250" s="158"/>
      <c r="AH250" s="158">
        <f>P250-U250-Z250</f>
        <v>0</v>
      </c>
      <c r="AI250" s="158">
        <v>0</v>
      </c>
      <c r="AJ250" s="158"/>
      <c r="AK250" s="158">
        <f t="shared" si="52"/>
        <v>0</v>
      </c>
      <c r="AL250" s="158">
        <v>877</v>
      </c>
      <c r="AM250" s="94">
        <v>20</v>
      </c>
      <c r="AN250" s="158"/>
      <c r="AO250" s="158"/>
      <c r="AP250" s="158"/>
      <c r="AQ250" s="11"/>
      <c r="AR250" s="11"/>
      <c r="AS250" s="11"/>
      <c r="AT250" s="2">
        <v>1</v>
      </c>
      <c r="AU250" s="58" t="s">
        <v>646</v>
      </c>
      <c r="AV250" s="104" t="s">
        <v>1867</v>
      </c>
      <c r="AW250" s="158"/>
      <c r="AX250" s="11"/>
      <c r="AY250" s="11"/>
      <c r="AZ250" s="158">
        <v>28</v>
      </c>
      <c r="BA250" s="158"/>
      <c r="BB250" s="11"/>
      <c r="BC250" s="11"/>
      <c r="BD250" s="158">
        <v>28</v>
      </c>
      <c r="BE250" s="69"/>
      <c r="BF250" s="271">
        <v>2019</v>
      </c>
      <c r="BG250" s="271">
        <v>2019</v>
      </c>
      <c r="BH250" s="271"/>
      <c r="BI250" s="271" t="s">
        <v>2375</v>
      </c>
    </row>
    <row r="251" spans="1:61" s="204" customFormat="1" ht="30.75" customHeight="1">
      <c r="A251" s="160" t="s">
        <v>504</v>
      </c>
      <c r="B251" s="58" t="s">
        <v>86</v>
      </c>
      <c r="C251" s="77" t="s">
        <v>1608</v>
      </c>
      <c r="D251" s="148" t="s">
        <v>1609</v>
      </c>
      <c r="E251" s="148"/>
      <c r="F251" s="148"/>
      <c r="G251" s="148"/>
      <c r="H251" s="30" t="s">
        <v>1605</v>
      </c>
      <c r="I251" s="226">
        <v>1378</v>
      </c>
      <c r="J251" s="212">
        <v>43685</v>
      </c>
      <c r="K251" s="158"/>
      <c r="L251" s="158"/>
      <c r="M251" s="205">
        <v>35</v>
      </c>
      <c r="N251" s="12">
        <v>35</v>
      </c>
      <c r="O251" s="205"/>
      <c r="P251" s="158">
        <v>2916475881</v>
      </c>
      <c r="Q251" s="158"/>
      <c r="R251" s="158"/>
      <c r="S251" s="158"/>
      <c r="T251" s="158"/>
      <c r="U251" s="158">
        <v>1556260957</v>
      </c>
      <c r="V251" s="158">
        <v>20</v>
      </c>
      <c r="W251" s="311">
        <v>43709</v>
      </c>
      <c r="X251" s="311"/>
      <c r="Y251" s="311"/>
      <c r="Z251" s="94">
        <v>1360214924</v>
      </c>
      <c r="AA251" s="69">
        <v>20</v>
      </c>
      <c r="AB251" s="311">
        <v>43889</v>
      </c>
      <c r="AC251" s="582"/>
      <c r="AD251" s="284"/>
      <c r="AE251" s="158"/>
      <c r="AF251" s="94">
        <f>P251-U251</f>
        <v>1360214924</v>
      </c>
      <c r="AG251" s="158"/>
      <c r="AH251" s="94">
        <v>0</v>
      </c>
      <c r="AI251" s="94">
        <v>1360214924</v>
      </c>
      <c r="AJ251" s="94"/>
      <c r="AK251" s="158">
        <f t="shared" ref="AK251:AK266" si="54">P251-R251-U251-Z251</f>
        <v>0</v>
      </c>
      <c r="AL251" s="158">
        <v>877</v>
      </c>
      <c r="AM251" s="94">
        <v>20</v>
      </c>
      <c r="AN251" s="158"/>
      <c r="AO251" s="158">
        <v>35</v>
      </c>
      <c r="AP251" s="158"/>
      <c r="AQ251" s="11"/>
      <c r="AR251" s="11"/>
      <c r="AS251" s="158"/>
      <c r="AT251" s="2">
        <v>0.6</v>
      </c>
      <c r="AU251" s="58" t="s">
        <v>38</v>
      </c>
      <c r="AV251" s="104" t="s">
        <v>2216</v>
      </c>
      <c r="AW251" s="158"/>
      <c r="AX251" s="158"/>
      <c r="AY251" s="158"/>
      <c r="AZ251" s="158"/>
      <c r="BA251" s="158"/>
      <c r="BB251" s="158"/>
      <c r="BC251" s="69"/>
      <c r="BD251" s="69"/>
      <c r="BE251" s="69"/>
      <c r="BF251" s="271"/>
      <c r="BG251" s="271">
        <v>2019</v>
      </c>
      <c r="BH251" s="430">
        <v>2020</v>
      </c>
      <c r="BI251" s="271" t="s">
        <v>2375</v>
      </c>
    </row>
    <row r="252" spans="1:61" s="204" customFormat="1" ht="25.5" customHeight="1">
      <c r="A252" s="160" t="s">
        <v>504</v>
      </c>
      <c r="B252" s="88" t="s">
        <v>1568</v>
      </c>
      <c r="C252" s="118" t="s">
        <v>2413</v>
      </c>
      <c r="D252" s="148" t="s">
        <v>1567</v>
      </c>
      <c r="E252" s="148"/>
      <c r="F252" s="148"/>
      <c r="G252" s="148"/>
      <c r="H252" s="30" t="s">
        <v>1553</v>
      </c>
      <c r="I252" s="226">
        <v>1645</v>
      </c>
      <c r="J252" s="212">
        <v>43728</v>
      </c>
      <c r="K252" s="158"/>
      <c r="L252" s="158"/>
      <c r="M252" s="158">
        <v>25</v>
      </c>
      <c r="N252" s="12">
        <v>25</v>
      </c>
      <c r="O252" s="158"/>
      <c r="P252" s="158">
        <v>2081400648</v>
      </c>
      <c r="Q252" s="158"/>
      <c r="R252" s="158"/>
      <c r="S252" s="158"/>
      <c r="T252" s="158"/>
      <c r="U252" s="158">
        <v>1144034725</v>
      </c>
      <c r="V252" s="158">
        <v>20</v>
      </c>
      <c r="W252" s="311">
        <v>43739</v>
      </c>
      <c r="X252" s="311"/>
      <c r="Y252" s="311"/>
      <c r="Z252" s="158">
        <v>937365923</v>
      </c>
      <c r="AA252" s="69">
        <v>20</v>
      </c>
      <c r="AB252" s="311">
        <v>43900</v>
      </c>
      <c r="AC252" s="582"/>
      <c r="AD252" s="284"/>
      <c r="AE252" s="158"/>
      <c r="AF252" s="94">
        <f t="shared" ref="AF252" si="55">P252-U252</f>
        <v>937365923</v>
      </c>
      <c r="AG252" s="158"/>
      <c r="AH252" s="158">
        <f>P252-U252-Z252</f>
        <v>0</v>
      </c>
      <c r="AI252" s="94">
        <v>937365923</v>
      </c>
      <c r="AJ252" s="158"/>
      <c r="AK252" s="158">
        <f t="shared" si="54"/>
        <v>0</v>
      </c>
      <c r="AL252" s="158">
        <v>877</v>
      </c>
      <c r="AM252" s="94">
        <v>20</v>
      </c>
      <c r="AN252" s="158"/>
      <c r="AO252" s="158">
        <v>25</v>
      </c>
      <c r="AP252" s="158"/>
      <c r="AQ252" s="11"/>
      <c r="AR252" s="11"/>
      <c r="AS252" s="158"/>
      <c r="AT252" s="2">
        <v>0.54720000000000002</v>
      </c>
      <c r="AU252" s="58" t="s">
        <v>38</v>
      </c>
      <c r="AV252" s="104" t="s">
        <v>1565</v>
      </c>
      <c r="AW252" s="158"/>
      <c r="AX252" s="158"/>
      <c r="AY252" s="158"/>
      <c r="AZ252" s="158"/>
      <c r="BA252" s="158"/>
      <c r="BB252" s="158"/>
      <c r="BC252" s="69"/>
      <c r="BD252" s="69"/>
      <c r="BE252" s="69"/>
      <c r="BF252" s="271"/>
      <c r="BG252" s="271">
        <v>2019</v>
      </c>
      <c r="BH252" s="430">
        <v>2020</v>
      </c>
      <c r="BI252" s="271" t="s">
        <v>2375</v>
      </c>
    </row>
    <row r="253" spans="1:61" s="204" customFormat="1" ht="18" customHeight="1">
      <c r="A253" s="160" t="s">
        <v>504</v>
      </c>
      <c r="B253" s="58" t="s">
        <v>84</v>
      </c>
      <c r="C253" s="253" t="s">
        <v>1762</v>
      </c>
      <c r="D253" s="259" t="s">
        <v>723</v>
      </c>
      <c r="E253" s="259"/>
      <c r="F253" s="259"/>
      <c r="G253" s="259"/>
      <c r="H253" s="30" t="s">
        <v>1763</v>
      </c>
      <c r="I253" s="226">
        <v>1840</v>
      </c>
      <c r="J253" s="212">
        <v>43763</v>
      </c>
      <c r="K253" s="158"/>
      <c r="L253" s="158"/>
      <c r="M253" s="158">
        <v>60</v>
      </c>
      <c r="N253" s="12">
        <v>60</v>
      </c>
      <c r="O253" s="158"/>
      <c r="P253" s="158">
        <v>4996057084</v>
      </c>
      <c r="Q253" s="158"/>
      <c r="R253" s="158"/>
      <c r="S253" s="158"/>
      <c r="T253" s="158"/>
      <c r="U253" s="158">
        <v>2715844024</v>
      </c>
      <c r="V253" s="158">
        <v>20</v>
      </c>
      <c r="W253" s="311">
        <v>43770</v>
      </c>
      <c r="X253" s="311"/>
      <c r="Y253" s="311"/>
      <c r="Z253" s="94">
        <v>2280213060</v>
      </c>
      <c r="AA253" s="69">
        <v>20</v>
      </c>
      <c r="AB253" s="311">
        <v>43951</v>
      </c>
      <c r="AC253" s="582"/>
      <c r="AD253" s="284"/>
      <c r="AE253" s="158"/>
      <c r="AF253" s="94">
        <f>P253-U253</f>
        <v>2280213060</v>
      </c>
      <c r="AG253" s="158"/>
      <c r="AH253" s="94">
        <v>0</v>
      </c>
      <c r="AI253" s="94">
        <v>2280213060</v>
      </c>
      <c r="AJ253" s="94"/>
      <c r="AK253" s="158">
        <f t="shared" si="54"/>
        <v>0</v>
      </c>
      <c r="AL253" s="158">
        <v>877</v>
      </c>
      <c r="AM253" s="94">
        <v>20</v>
      </c>
      <c r="AN253" s="158"/>
      <c r="AO253" s="158">
        <v>60</v>
      </c>
      <c r="AP253" s="158"/>
      <c r="AQ253" s="11"/>
      <c r="AR253" s="11"/>
      <c r="AS253" s="158"/>
      <c r="AT253" s="2">
        <v>0.53800000000000003</v>
      </c>
      <c r="AU253" s="58" t="s">
        <v>38</v>
      </c>
      <c r="AV253" s="104"/>
      <c r="AW253" s="158"/>
      <c r="AX253" s="158"/>
      <c r="AY253" s="158"/>
      <c r="AZ253" s="158"/>
      <c r="BA253" s="158"/>
      <c r="BB253" s="158"/>
      <c r="BC253" s="69"/>
      <c r="BD253" s="69"/>
      <c r="BE253" s="69"/>
      <c r="BF253" s="271"/>
      <c r="BG253" s="271">
        <v>2019</v>
      </c>
      <c r="BH253" s="430">
        <v>2020</v>
      </c>
      <c r="BI253" s="271" t="s">
        <v>2375</v>
      </c>
    </row>
    <row r="254" spans="1:61" s="204" customFormat="1" ht="18" customHeight="1">
      <c r="A254" s="160" t="s">
        <v>504</v>
      </c>
      <c r="B254" s="58" t="s">
        <v>1773</v>
      </c>
      <c r="C254" s="253" t="s">
        <v>1772</v>
      </c>
      <c r="D254" s="259" t="s">
        <v>287</v>
      </c>
      <c r="E254" s="259"/>
      <c r="F254" s="259"/>
      <c r="G254" s="259"/>
      <c r="H254" s="30" t="s">
        <v>1763</v>
      </c>
      <c r="I254" s="226">
        <v>1866</v>
      </c>
      <c r="J254" s="212">
        <v>43766</v>
      </c>
      <c r="K254" s="158"/>
      <c r="L254" s="158"/>
      <c r="M254" s="158">
        <v>39</v>
      </c>
      <c r="N254" s="12">
        <v>39</v>
      </c>
      <c r="O254" s="158"/>
      <c r="P254" s="158">
        <v>3214063944</v>
      </c>
      <c r="Q254" s="158"/>
      <c r="R254" s="158">
        <v>390000000</v>
      </c>
      <c r="S254" s="158">
        <v>20</v>
      </c>
      <c r="T254" s="311">
        <v>43770</v>
      </c>
      <c r="U254" s="158">
        <v>1542558489</v>
      </c>
      <c r="V254" s="158">
        <v>10</v>
      </c>
      <c r="W254" s="311">
        <v>43888</v>
      </c>
      <c r="X254" s="311"/>
      <c r="Y254" s="311"/>
      <c r="Z254" s="94"/>
      <c r="AA254" s="69"/>
      <c r="AB254" s="284"/>
      <c r="AC254" s="284"/>
      <c r="AD254" s="284"/>
      <c r="AE254" s="158"/>
      <c r="AF254" s="94">
        <f>P254-R254</f>
        <v>2824063944</v>
      </c>
      <c r="AG254" s="158"/>
      <c r="AH254" s="94">
        <v>0</v>
      </c>
      <c r="AI254" s="94">
        <v>2824063944</v>
      </c>
      <c r="AJ254" s="94"/>
      <c r="AK254" s="158">
        <f>P254-R254-U254-Z254</f>
        <v>1281505455</v>
      </c>
      <c r="AL254" s="158">
        <v>877</v>
      </c>
      <c r="AM254" s="94">
        <v>10</v>
      </c>
      <c r="AN254" s="158"/>
      <c r="AO254" s="158">
        <v>39</v>
      </c>
      <c r="AP254" s="11"/>
      <c r="AQ254" s="11"/>
      <c r="AR254" s="11"/>
      <c r="AS254" s="11"/>
      <c r="AT254" s="2">
        <v>0</v>
      </c>
      <c r="AU254" s="58" t="s">
        <v>38</v>
      </c>
      <c r="AV254" s="104" t="s">
        <v>1565</v>
      </c>
      <c r="AW254" s="158"/>
      <c r="AX254" s="11"/>
      <c r="AY254" s="11"/>
      <c r="AZ254" s="11"/>
      <c r="BA254" s="11"/>
      <c r="BB254" s="11"/>
      <c r="BC254" s="70"/>
      <c r="BD254" s="70"/>
      <c r="BE254" s="69"/>
      <c r="BF254" s="271"/>
      <c r="BG254" s="271">
        <v>2019</v>
      </c>
      <c r="BH254" s="351">
        <v>2020</v>
      </c>
      <c r="BI254" s="271" t="s">
        <v>2375</v>
      </c>
    </row>
    <row r="255" spans="1:61" s="204" customFormat="1" ht="26.25" customHeight="1">
      <c r="A255" s="160" t="s">
        <v>504</v>
      </c>
      <c r="B255" s="58" t="s">
        <v>84</v>
      </c>
      <c r="C255" s="695" t="s">
        <v>1778</v>
      </c>
      <c r="D255" s="259" t="s">
        <v>1779</v>
      </c>
      <c r="E255" s="259"/>
      <c r="F255" s="259"/>
      <c r="G255" s="259"/>
      <c r="H255" s="30" t="s">
        <v>1763</v>
      </c>
      <c r="I255" s="226">
        <v>1846</v>
      </c>
      <c r="J255" s="212">
        <v>43763</v>
      </c>
      <c r="K255" s="158"/>
      <c r="L255" s="158"/>
      <c r="M255" s="158">
        <f>21-1</f>
        <v>20</v>
      </c>
      <c r="N255" s="12">
        <v>20</v>
      </c>
      <c r="O255" s="158"/>
      <c r="P255" s="158">
        <f>1531057064-72907479</f>
        <v>1458149585</v>
      </c>
      <c r="Q255" s="158"/>
      <c r="R255" s="158"/>
      <c r="S255" s="158"/>
      <c r="T255" s="311"/>
      <c r="U255" s="158">
        <f>793423508+6866000</f>
        <v>800289508</v>
      </c>
      <c r="V255" s="158">
        <v>20</v>
      </c>
      <c r="W255" s="311">
        <v>43770</v>
      </c>
      <c r="X255" s="311"/>
      <c r="Y255" s="311"/>
      <c r="Z255" s="94">
        <v>657860077</v>
      </c>
      <c r="AA255" s="69">
        <v>20</v>
      </c>
      <c r="AB255" s="311">
        <v>43889</v>
      </c>
      <c r="AC255" s="582"/>
      <c r="AD255" s="284"/>
      <c r="AE255" s="158"/>
      <c r="AF255" s="94">
        <f t="shared" ref="AF255" si="56">P255-U255</f>
        <v>657860077</v>
      </c>
      <c r="AG255" s="158"/>
      <c r="AH255" s="94">
        <v>0</v>
      </c>
      <c r="AI255" s="94">
        <v>657860077</v>
      </c>
      <c r="AJ255" s="94"/>
      <c r="AK255" s="158">
        <f t="shared" si="54"/>
        <v>0</v>
      </c>
      <c r="AL255" s="158">
        <v>877</v>
      </c>
      <c r="AM255" s="94">
        <v>10</v>
      </c>
      <c r="AN255" s="158"/>
      <c r="AO255" s="158">
        <v>20</v>
      </c>
      <c r="AP255" s="11"/>
      <c r="AQ255" s="11"/>
      <c r="AR255" s="11"/>
      <c r="AS255" s="11"/>
      <c r="AT255" s="2">
        <v>0.97019999999999995</v>
      </c>
      <c r="AU255" s="58" t="s">
        <v>38</v>
      </c>
      <c r="AV255" s="104"/>
      <c r="AW255" s="158"/>
      <c r="AX255" s="11"/>
      <c r="AY255" s="11"/>
      <c r="AZ255" s="11"/>
      <c r="BA255" s="11"/>
      <c r="BB255" s="11"/>
      <c r="BC255" s="70"/>
      <c r="BD255" s="70"/>
      <c r="BE255" s="69"/>
      <c r="BF255" s="271"/>
      <c r="BG255" s="271">
        <v>2019</v>
      </c>
      <c r="BH255" s="504">
        <v>2020</v>
      </c>
      <c r="BI255" s="271" t="s">
        <v>2375</v>
      </c>
    </row>
    <row r="256" spans="1:61" s="204" customFormat="1" ht="26.25" customHeight="1">
      <c r="A256" s="160" t="s">
        <v>504</v>
      </c>
      <c r="B256" s="58" t="s">
        <v>84</v>
      </c>
      <c r="C256" s="695" t="s">
        <v>1778</v>
      </c>
      <c r="D256" s="259" t="s">
        <v>1779</v>
      </c>
      <c r="E256" s="259"/>
      <c r="F256" s="259"/>
      <c r="G256" s="259"/>
      <c r="H256" s="30" t="s">
        <v>1763</v>
      </c>
      <c r="I256" s="226">
        <v>1846</v>
      </c>
      <c r="J256" s="212">
        <v>43763</v>
      </c>
      <c r="K256" s="158"/>
      <c r="L256" s="158"/>
      <c r="M256" s="158">
        <v>1</v>
      </c>
      <c r="N256" s="12">
        <v>1</v>
      </c>
      <c r="O256" s="158"/>
      <c r="P256" s="158">
        <v>72907479</v>
      </c>
      <c r="Q256" s="158"/>
      <c r="R256" s="158"/>
      <c r="S256" s="158"/>
      <c r="T256" s="311"/>
      <c r="U256" s="225">
        <f>36823175+343300</f>
        <v>37166475</v>
      </c>
      <c r="V256" s="158">
        <v>20</v>
      </c>
      <c r="W256" s="311">
        <v>43900</v>
      </c>
      <c r="X256" s="311"/>
      <c r="Y256" s="311"/>
      <c r="Z256" s="94">
        <v>35741004</v>
      </c>
      <c r="AA256" s="69">
        <v>20</v>
      </c>
      <c r="AB256" s="311">
        <v>43980</v>
      </c>
      <c r="AC256" s="582"/>
      <c r="AD256" s="284"/>
      <c r="AE256" s="158"/>
      <c r="AF256" s="94">
        <f>P256</f>
        <v>72907479</v>
      </c>
      <c r="AG256" s="158"/>
      <c r="AH256" s="94">
        <v>0</v>
      </c>
      <c r="AI256" s="94">
        <v>72907479</v>
      </c>
      <c r="AJ256" s="94"/>
      <c r="AK256" s="158">
        <f t="shared" si="54"/>
        <v>0</v>
      </c>
      <c r="AL256" s="158">
        <v>877</v>
      </c>
      <c r="AM256" s="94">
        <v>20</v>
      </c>
      <c r="AN256" s="158"/>
      <c r="AO256" s="158">
        <v>1</v>
      </c>
      <c r="AP256" s="158"/>
      <c r="AQ256" s="11"/>
      <c r="AR256" s="11"/>
      <c r="AS256" s="158"/>
      <c r="AT256" s="2">
        <v>0</v>
      </c>
      <c r="AU256" s="58" t="s">
        <v>38</v>
      </c>
      <c r="AV256" s="308" t="s">
        <v>2209</v>
      </c>
      <c r="AW256" s="158"/>
      <c r="AX256" s="158"/>
      <c r="AY256" s="158"/>
      <c r="AZ256" s="158"/>
      <c r="BA256" s="158"/>
      <c r="BB256" s="158"/>
      <c r="BC256" s="69"/>
      <c r="BD256" s="69"/>
      <c r="BE256" s="69"/>
      <c r="BF256" s="271"/>
      <c r="BG256" s="271">
        <v>2019</v>
      </c>
      <c r="BH256" s="430">
        <v>2020</v>
      </c>
      <c r="BI256" s="271" t="s">
        <v>2375</v>
      </c>
    </row>
    <row r="257" spans="1:61 16166:16286" s="204" customFormat="1" ht="32.25" customHeight="1">
      <c r="A257" s="160" t="s">
        <v>504</v>
      </c>
      <c r="B257" s="58" t="s">
        <v>1773</v>
      </c>
      <c r="C257" s="695" t="s">
        <v>1973</v>
      </c>
      <c r="D257" s="33" t="s">
        <v>740</v>
      </c>
      <c r="E257" s="33"/>
      <c r="F257" s="33"/>
      <c r="G257" s="33"/>
      <c r="H257" s="30" t="s">
        <v>1920</v>
      </c>
      <c r="I257" s="226">
        <v>2045</v>
      </c>
      <c r="J257" s="212">
        <v>43797</v>
      </c>
      <c r="K257" s="158"/>
      <c r="L257" s="158"/>
      <c r="M257" s="158">
        <v>37</v>
      </c>
      <c r="N257" s="12">
        <v>37</v>
      </c>
      <c r="O257" s="158"/>
      <c r="P257" s="158">
        <v>3006053062</v>
      </c>
      <c r="Q257" s="158"/>
      <c r="R257" s="158"/>
      <c r="S257" s="158"/>
      <c r="T257" s="311"/>
      <c r="U257" s="158">
        <v>1653295110</v>
      </c>
      <c r="V257" s="158">
        <v>10</v>
      </c>
      <c r="W257" s="311">
        <v>43831</v>
      </c>
      <c r="X257" s="311"/>
      <c r="Y257" s="311"/>
      <c r="Z257" s="94">
        <v>1352757952</v>
      </c>
      <c r="AA257" s="69">
        <v>10</v>
      </c>
      <c r="AB257" s="311">
        <v>43983</v>
      </c>
      <c r="AC257" s="284"/>
      <c r="AD257" s="284"/>
      <c r="AE257" s="158">
        <v>10</v>
      </c>
      <c r="AF257" s="158">
        <f>P257</f>
        <v>3006053062</v>
      </c>
      <c r="AG257" s="158"/>
      <c r="AH257" s="158"/>
      <c r="AI257" s="158">
        <v>3006053062</v>
      </c>
      <c r="AJ257" s="158"/>
      <c r="AK257" s="602">
        <f t="shared" si="54"/>
        <v>0</v>
      </c>
      <c r="AL257" s="72">
        <v>877</v>
      </c>
      <c r="AM257" s="175">
        <v>10</v>
      </c>
      <c r="AO257" s="158">
        <v>37</v>
      </c>
      <c r="AP257" s="11"/>
      <c r="AQ257" s="11"/>
      <c r="AR257" s="11"/>
      <c r="AS257" s="11"/>
      <c r="AT257" s="2">
        <v>0.54759999999999998</v>
      </c>
      <c r="AU257" s="58" t="s">
        <v>38</v>
      </c>
      <c r="AV257" s="104" t="s">
        <v>1565</v>
      </c>
      <c r="AW257" s="158"/>
      <c r="AX257" s="11"/>
      <c r="AY257" s="11"/>
      <c r="AZ257" s="11"/>
      <c r="BA257" s="11"/>
      <c r="BB257" s="11"/>
      <c r="BC257" s="70"/>
      <c r="BD257" s="70"/>
      <c r="BE257" s="69"/>
      <c r="BF257" s="271"/>
      <c r="BG257" s="271">
        <v>2019</v>
      </c>
      <c r="BH257" s="430">
        <v>2020</v>
      </c>
      <c r="BI257" s="271" t="s">
        <v>2375</v>
      </c>
    </row>
    <row r="258" spans="1:61 16166:16286" s="204" customFormat="1" ht="25.5" customHeight="1">
      <c r="A258" s="160" t="s">
        <v>504</v>
      </c>
      <c r="B258" s="58" t="s">
        <v>84</v>
      </c>
      <c r="C258" s="55" t="s">
        <v>1945</v>
      </c>
      <c r="D258" s="33" t="s">
        <v>1779</v>
      </c>
      <c r="E258" s="33"/>
      <c r="F258" s="33"/>
      <c r="G258" s="33"/>
      <c r="H258" s="30" t="s">
        <v>1920</v>
      </c>
      <c r="I258" s="226">
        <v>2112</v>
      </c>
      <c r="J258" s="212">
        <v>43805</v>
      </c>
      <c r="K258" s="269"/>
      <c r="L258" s="374"/>
      <c r="M258" s="158">
        <v>15</v>
      </c>
      <c r="N258" s="12">
        <v>15</v>
      </c>
      <c r="O258" s="158"/>
      <c r="P258" s="158">
        <v>1093677824</v>
      </c>
      <c r="Q258" s="158"/>
      <c r="R258" s="158"/>
      <c r="S258" s="158"/>
      <c r="T258" s="446"/>
      <c r="U258" s="158">
        <f>593697612+5134879</f>
        <v>598832491</v>
      </c>
      <c r="V258" s="158">
        <v>10</v>
      </c>
      <c r="W258" s="311">
        <v>43831</v>
      </c>
      <c r="X258" s="311"/>
      <c r="Y258" s="311"/>
      <c r="Z258" s="94">
        <v>494845333</v>
      </c>
      <c r="AA258" s="158">
        <v>10</v>
      </c>
      <c r="AB258" s="311">
        <v>43983</v>
      </c>
      <c r="AC258" s="446"/>
      <c r="AD258" s="268"/>
      <c r="AE258" s="158">
        <v>10</v>
      </c>
      <c r="AF258" s="158">
        <f>P258</f>
        <v>1093677824</v>
      </c>
      <c r="AG258" s="158"/>
      <c r="AH258" s="158"/>
      <c r="AI258" s="158">
        <v>1093677824</v>
      </c>
      <c r="AJ258" s="158"/>
      <c r="AK258" s="72">
        <f t="shared" si="54"/>
        <v>0</v>
      </c>
      <c r="AL258" s="72">
        <v>877</v>
      </c>
      <c r="AM258" s="175">
        <v>10</v>
      </c>
      <c r="AN258" s="158"/>
      <c r="AO258" s="158">
        <v>15</v>
      </c>
      <c r="AP258" s="471"/>
      <c r="AQ258" s="471"/>
      <c r="AR258" s="471"/>
      <c r="AS258" s="471"/>
      <c r="AT258" s="2">
        <v>0.57010000000000005</v>
      </c>
      <c r="AU258" s="58" t="s">
        <v>38</v>
      </c>
      <c r="AV258" s="308" t="s">
        <v>2297</v>
      </c>
      <c r="AW258" s="268"/>
      <c r="AX258" s="268"/>
      <c r="AY258" s="268"/>
      <c r="AZ258" s="268"/>
      <c r="BA258" s="268"/>
      <c r="BB258" s="268"/>
      <c r="BC258" s="268"/>
      <c r="BD258" s="268"/>
      <c r="BE258" s="268"/>
      <c r="BF258" s="268"/>
      <c r="BG258" s="271">
        <v>2019</v>
      </c>
      <c r="BH258" s="430">
        <v>2020</v>
      </c>
      <c r="BI258" s="271" t="s">
        <v>2375</v>
      </c>
    </row>
    <row r="259" spans="1:61 16166:16286" s="204" customFormat="1" ht="25.5" customHeight="1">
      <c r="A259" s="160" t="s">
        <v>504</v>
      </c>
      <c r="B259" s="520" t="s">
        <v>2240</v>
      </c>
      <c r="C259" s="55" t="s">
        <v>2410</v>
      </c>
      <c r="D259" s="33" t="s">
        <v>2242</v>
      </c>
      <c r="E259" s="659"/>
      <c r="F259" s="78">
        <v>4</v>
      </c>
      <c r="G259" s="78"/>
      <c r="H259" s="533" t="s">
        <v>2236</v>
      </c>
      <c r="I259" s="226">
        <v>253</v>
      </c>
      <c r="J259" s="459">
        <v>43893</v>
      </c>
      <c r="K259" s="531"/>
      <c r="L259" s="532"/>
      <c r="M259" s="61"/>
      <c r="N259" s="693">
        <v>61</v>
      </c>
      <c r="O259" s="61"/>
      <c r="P259" s="61">
        <f>(2771335365+2311351453)</f>
        <v>5082686818</v>
      </c>
      <c r="Q259" s="61"/>
      <c r="R259" s="158"/>
      <c r="S259" s="61"/>
      <c r="T259" s="706"/>
      <c r="U259" s="158">
        <v>2771335365</v>
      </c>
      <c r="V259" s="61">
        <v>10</v>
      </c>
      <c r="W259" s="460">
        <v>43921</v>
      </c>
      <c r="X259" s="460"/>
      <c r="Y259" s="460"/>
      <c r="Z259" s="706"/>
      <c r="AA259" s="521">
        <v>10</v>
      </c>
      <c r="AB259" s="446"/>
      <c r="AC259" s="446"/>
      <c r="AD259" s="268"/>
      <c r="AE259" s="158"/>
      <c r="AF259" s="158">
        <f t="shared" ref="AF259:AF262" si="57">P259</f>
        <v>5082686818</v>
      </c>
      <c r="AG259" s="61"/>
      <c r="AH259" s="61"/>
      <c r="AI259" s="61">
        <v>5082686818</v>
      </c>
      <c r="AJ259" s="61"/>
      <c r="AK259" s="158">
        <f t="shared" si="54"/>
        <v>2311351453</v>
      </c>
      <c r="AL259" s="61">
        <v>877</v>
      </c>
      <c r="AM259" s="61">
        <v>10</v>
      </c>
      <c r="AN259" s="61"/>
      <c r="AO259" s="61">
        <v>61</v>
      </c>
      <c r="AP259" s="532"/>
      <c r="AQ259" s="532"/>
      <c r="AR259" s="532"/>
      <c r="AS259" s="532"/>
      <c r="AT259" s="2">
        <v>0</v>
      </c>
      <c r="AU259" s="58" t="s">
        <v>38</v>
      </c>
      <c r="AV259" s="462"/>
      <c r="AW259" s="268"/>
      <c r="AX259" s="268"/>
      <c r="AY259" s="268"/>
      <c r="AZ259" s="268"/>
      <c r="BA259" s="531"/>
      <c r="BB259" s="531"/>
      <c r="BC259" s="531"/>
      <c r="BD259" s="531"/>
      <c r="BE259" s="531"/>
      <c r="BF259" s="531"/>
      <c r="BG259" s="464"/>
      <c r="BH259" s="464">
        <v>2020</v>
      </c>
      <c r="BI259" s="271" t="s">
        <v>2375</v>
      </c>
    </row>
    <row r="260" spans="1:61 16166:16286" s="204" customFormat="1" ht="25.5" customHeight="1">
      <c r="A260" s="160" t="s">
        <v>504</v>
      </c>
      <c r="B260" s="716" t="s">
        <v>2425</v>
      </c>
      <c r="C260" s="55" t="s">
        <v>2256</v>
      </c>
      <c r="D260" s="33" t="s">
        <v>61</v>
      </c>
      <c r="E260" s="659"/>
      <c r="F260" s="78">
        <v>4</v>
      </c>
      <c r="G260" s="78"/>
      <c r="H260" s="533" t="s">
        <v>2236</v>
      </c>
      <c r="I260" s="272" t="s">
        <v>2257</v>
      </c>
      <c r="J260" s="272" t="s">
        <v>2258</v>
      </c>
      <c r="K260" s="531"/>
      <c r="L260" s="532"/>
      <c r="M260" s="61"/>
      <c r="N260" s="693">
        <v>40</v>
      </c>
      <c r="O260" s="61"/>
      <c r="P260" s="61">
        <f>(1584114036+1324335895)</f>
        <v>2908449931</v>
      </c>
      <c r="Q260" s="61"/>
      <c r="R260" s="158"/>
      <c r="S260" s="61"/>
      <c r="T260" s="706"/>
      <c r="U260" s="158">
        <v>1584114036</v>
      </c>
      <c r="V260" s="61">
        <v>20</v>
      </c>
      <c r="W260" s="460">
        <v>43950</v>
      </c>
      <c r="X260" s="460"/>
      <c r="Y260" s="460"/>
      <c r="Z260" s="706"/>
      <c r="AA260" s="521">
        <v>20</v>
      </c>
      <c r="AB260" s="446"/>
      <c r="AC260" s="446"/>
      <c r="AD260" s="268"/>
      <c r="AE260" s="158"/>
      <c r="AF260" s="158">
        <f t="shared" si="57"/>
        <v>2908449931</v>
      </c>
      <c r="AG260" s="61"/>
      <c r="AH260" s="61"/>
      <c r="AI260" s="61">
        <v>2908449931</v>
      </c>
      <c r="AJ260" s="61"/>
      <c r="AK260" s="158">
        <f t="shared" si="54"/>
        <v>1324335895</v>
      </c>
      <c r="AL260" s="61">
        <v>877</v>
      </c>
      <c r="AM260" s="61">
        <v>20</v>
      </c>
      <c r="AN260" s="61"/>
      <c r="AO260" s="61">
        <v>40</v>
      </c>
      <c r="AP260" s="532"/>
      <c r="AQ260" s="532"/>
      <c r="AR260" s="532"/>
      <c r="AS260" s="532"/>
      <c r="AT260" s="2">
        <v>0</v>
      </c>
      <c r="AU260" s="58" t="s">
        <v>38</v>
      </c>
      <c r="AV260" s="462" t="s">
        <v>2259</v>
      </c>
      <c r="AW260" s="268"/>
      <c r="AX260" s="268"/>
      <c r="AY260" s="268"/>
      <c r="AZ260" s="268"/>
      <c r="BA260" s="531"/>
      <c r="BB260" s="531"/>
      <c r="BC260" s="531"/>
      <c r="BD260" s="531"/>
      <c r="BE260" s="531"/>
      <c r="BF260" s="531"/>
      <c r="BG260" s="464"/>
      <c r="BH260" s="712">
        <v>2020</v>
      </c>
      <c r="BI260" s="271" t="s">
        <v>2375</v>
      </c>
    </row>
    <row r="261" spans="1:61 16166:16286" s="204" customFormat="1" ht="25.5" customHeight="1">
      <c r="A261" s="160" t="s">
        <v>504</v>
      </c>
      <c r="B261" s="58" t="s">
        <v>84</v>
      </c>
      <c r="C261" s="55" t="s">
        <v>2267</v>
      </c>
      <c r="D261" s="33" t="s">
        <v>1087</v>
      </c>
      <c r="E261" s="659"/>
      <c r="F261" s="78">
        <v>4</v>
      </c>
      <c r="G261" s="78"/>
      <c r="H261" s="533" t="s">
        <v>2236</v>
      </c>
      <c r="I261" s="272">
        <v>307</v>
      </c>
      <c r="J261" s="555">
        <v>43937</v>
      </c>
      <c r="K261" s="531"/>
      <c r="L261" s="532"/>
      <c r="M261" s="61"/>
      <c r="N261" s="693">
        <v>33</v>
      </c>
      <c r="O261" s="61"/>
      <c r="P261" s="61">
        <f>(1248498382+1055376424)</f>
        <v>2303874806</v>
      </c>
      <c r="Q261" s="61"/>
      <c r="R261" s="158"/>
      <c r="S261" s="61"/>
      <c r="T261" s="706"/>
      <c r="U261" s="158">
        <v>1248498382</v>
      </c>
      <c r="V261" s="61">
        <v>20</v>
      </c>
      <c r="W261" s="460">
        <v>43951</v>
      </c>
      <c r="X261" s="460"/>
      <c r="Y261" s="460"/>
      <c r="Z261" s="706"/>
      <c r="AA261" s="521">
        <v>20</v>
      </c>
      <c r="AB261" s="446"/>
      <c r="AC261" s="446"/>
      <c r="AD261" s="268"/>
      <c r="AE261" s="158">
        <v>20</v>
      </c>
      <c r="AF261" s="158">
        <f t="shared" si="57"/>
        <v>2303874806</v>
      </c>
      <c r="AG261" s="61"/>
      <c r="AH261" s="61"/>
      <c r="AI261" s="61">
        <v>2303874806</v>
      </c>
      <c r="AJ261" s="61"/>
      <c r="AK261" s="158">
        <f t="shared" si="54"/>
        <v>1055376424</v>
      </c>
      <c r="AL261" s="61">
        <v>877</v>
      </c>
      <c r="AM261" s="61">
        <v>20</v>
      </c>
      <c r="AN261" s="61"/>
      <c r="AO261" s="61">
        <v>33</v>
      </c>
      <c r="AP261" s="532"/>
      <c r="AQ261" s="532"/>
      <c r="AR261" s="532"/>
      <c r="AS261" s="532"/>
      <c r="AT261" s="2">
        <v>0</v>
      </c>
      <c r="AU261" s="58" t="s">
        <v>38</v>
      </c>
      <c r="AV261" s="462"/>
      <c r="AW261" s="531"/>
      <c r="AX261" s="531"/>
      <c r="AY261" s="531"/>
      <c r="AZ261" s="531"/>
      <c r="BA261" s="531"/>
      <c r="BB261" s="531"/>
      <c r="BC261" s="531"/>
      <c r="BD261" s="531"/>
      <c r="BE261" s="531"/>
      <c r="BF261" s="531"/>
      <c r="BG261" s="464"/>
      <c r="BH261" s="712">
        <v>2020</v>
      </c>
      <c r="BI261" s="271" t="s">
        <v>2375</v>
      </c>
    </row>
    <row r="262" spans="1:61 16166:16286" s="204" customFormat="1" ht="25.5" customHeight="1">
      <c r="A262" s="160" t="s">
        <v>504</v>
      </c>
      <c r="B262" s="520" t="s">
        <v>85</v>
      </c>
      <c r="C262" s="55" t="s">
        <v>2273</v>
      </c>
      <c r="D262" s="33" t="s">
        <v>2266</v>
      </c>
      <c r="E262" s="659"/>
      <c r="F262" s="78">
        <v>4</v>
      </c>
      <c r="G262" s="78"/>
      <c r="H262" s="533" t="s">
        <v>2236</v>
      </c>
      <c r="I262" s="561" t="s">
        <v>2274</v>
      </c>
      <c r="J262" s="272" t="s">
        <v>2258</v>
      </c>
      <c r="K262" s="531"/>
      <c r="L262" s="532"/>
      <c r="M262" s="61"/>
      <c r="N262" s="693">
        <v>38</v>
      </c>
      <c r="O262" s="61"/>
      <c r="P262" s="61">
        <f>(1489598311+1255810074)</f>
        <v>2745408385</v>
      </c>
      <c r="Q262" s="61"/>
      <c r="R262" s="158"/>
      <c r="S262" s="61"/>
      <c r="T262" s="706"/>
      <c r="U262" s="158">
        <v>1489598311</v>
      </c>
      <c r="V262" s="61">
        <v>20</v>
      </c>
      <c r="W262" s="460">
        <v>43951</v>
      </c>
      <c r="X262" s="460"/>
      <c r="Y262" s="460"/>
      <c r="Z262" s="706"/>
      <c r="AA262" s="521">
        <v>20</v>
      </c>
      <c r="AB262" s="446"/>
      <c r="AC262" s="446"/>
      <c r="AD262" s="268"/>
      <c r="AE262" s="158">
        <v>20</v>
      </c>
      <c r="AF262" s="158">
        <f t="shared" si="57"/>
        <v>2745408385</v>
      </c>
      <c r="AG262" s="61"/>
      <c r="AH262" s="61"/>
      <c r="AI262" s="61">
        <v>2745408385</v>
      </c>
      <c r="AJ262" s="61"/>
      <c r="AK262" s="158">
        <f t="shared" si="54"/>
        <v>1255810074</v>
      </c>
      <c r="AL262" s="61">
        <v>877</v>
      </c>
      <c r="AM262" s="61">
        <v>20</v>
      </c>
      <c r="AN262" s="61"/>
      <c r="AO262" s="61">
        <v>38</v>
      </c>
      <c r="AP262" s="532"/>
      <c r="AQ262" s="532"/>
      <c r="AR262" s="532"/>
      <c r="AS262" s="532"/>
      <c r="AT262" s="2">
        <v>0</v>
      </c>
      <c r="AU262" s="58" t="s">
        <v>38</v>
      </c>
      <c r="AV262" s="462" t="s">
        <v>2259</v>
      </c>
      <c r="AW262" s="531"/>
      <c r="AX262" s="531"/>
      <c r="AY262" s="531"/>
      <c r="AZ262" s="531"/>
      <c r="BA262" s="531"/>
      <c r="BB262" s="531"/>
      <c r="BC262" s="531"/>
      <c r="BD262" s="531"/>
      <c r="BE262" s="531"/>
      <c r="BF262" s="531"/>
      <c r="BG262" s="464"/>
      <c r="BH262" s="712">
        <v>2020</v>
      </c>
      <c r="BI262" s="271" t="s">
        <v>2375</v>
      </c>
    </row>
    <row r="263" spans="1:61 16166:16286" s="204" customFormat="1" ht="25.5" customHeight="1">
      <c r="A263" s="160" t="s">
        <v>504</v>
      </c>
      <c r="B263" s="58" t="s">
        <v>84</v>
      </c>
      <c r="C263" s="55" t="s">
        <v>2277</v>
      </c>
      <c r="D263" s="33" t="s">
        <v>2278</v>
      </c>
      <c r="E263" s="659"/>
      <c r="F263" s="78">
        <v>4</v>
      </c>
      <c r="G263" s="78"/>
      <c r="H263" s="533" t="s">
        <v>2236</v>
      </c>
      <c r="I263" s="561">
        <v>334</v>
      </c>
      <c r="J263" s="555">
        <v>43915</v>
      </c>
      <c r="K263" s="531"/>
      <c r="L263" s="532"/>
      <c r="M263" s="61"/>
      <c r="N263" s="61">
        <v>33</v>
      </c>
      <c r="O263" s="61"/>
      <c r="P263" s="61">
        <v>2688214888</v>
      </c>
      <c r="Q263" s="61"/>
      <c r="R263" s="158">
        <v>297000000</v>
      </c>
      <c r="S263" s="158">
        <v>10</v>
      </c>
      <c r="T263" s="311">
        <v>43951</v>
      </c>
      <c r="U263" s="158">
        <v>1223249863</v>
      </c>
      <c r="V263" s="521">
        <v>10</v>
      </c>
      <c r="W263" s="460">
        <v>44012</v>
      </c>
      <c r="X263" s="460"/>
      <c r="Y263" s="460"/>
      <c r="Z263" s="531"/>
      <c r="AA263" s="521">
        <v>10</v>
      </c>
      <c r="AB263" s="268"/>
      <c r="AC263" s="268"/>
      <c r="AD263" s="268"/>
      <c r="AE263" s="158"/>
      <c r="AF263" s="158"/>
      <c r="AG263" s="61"/>
      <c r="AH263" s="61"/>
      <c r="AI263" s="61">
        <v>2688214888</v>
      </c>
      <c r="AJ263" s="61"/>
      <c r="AK263" s="158">
        <f t="shared" si="54"/>
        <v>1167965025</v>
      </c>
      <c r="AL263" s="61">
        <v>877</v>
      </c>
      <c r="AM263" s="61">
        <v>10</v>
      </c>
      <c r="AN263" s="61">
        <v>33</v>
      </c>
      <c r="AO263" s="61"/>
      <c r="AP263" s="532"/>
      <c r="AQ263" s="532"/>
      <c r="AR263" s="532"/>
      <c r="AS263" s="532"/>
      <c r="AT263" s="2">
        <v>0</v>
      </c>
      <c r="AU263" s="58" t="s">
        <v>521</v>
      </c>
      <c r="AV263" s="462"/>
      <c r="AW263" s="531"/>
      <c r="AX263" s="531"/>
      <c r="AY263" s="531"/>
      <c r="AZ263" s="531"/>
      <c r="BA263" s="531"/>
      <c r="BB263" s="531"/>
      <c r="BC263" s="531"/>
      <c r="BD263" s="531"/>
      <c r="BE263" s="531"/>
      <c r="BF263" s="531"/>
      <c r="BG263" s="464"/>
      <c r="BH263" s="464">
        <v>2020</v>
      </c>
      <c r="BI263" s="271" t="s">
        <v>2375</v>
      </c>
    </row>
    <row r="264" spans="1:61 16166:16286" s="204" customFormat="1" ht="25.5" customHeight="1">
      <c r="A264" s="160" t="s">
        <v>504</v>
      </c>
      <c r="B264" s="58" t="s">
        <v>84</v>
      </c>
      <c r="C264" s="55" t="s">
        <v>2277</v>
      </c>
      <c r="D264" s="33" t="s">
        <v>2278</v>
      </c>
      <c r="E264" s="659"/>
      <c r="F264" s="78">
        <v>4</v>
      </c>
      <c r="G264" s="78"/>
      <c r="H264" s="533" t="s">
        <v>2236</v>
      </c>
      <c r="I264" s="561">
        <v>334</v>
      </c>
      <c r="J264" s="555">
        <v>43915</v>
      </c>
      <c r="K264" s="531"/>
      <c r="L264" s="532"/>
      <c r="M264" s="61"/>
      <c r="N264" s="61">
        <v>7</v>
      </c>
      <c r="O264" s="61"/>
      <c r="P264" s="61">
        <v>570227400</v>
      </c>
      <c r="Q264" s="61"/>
      <c r="R264" s="158">
        <v>63000000</v>
      </c>
      <c r="S264" s="61">
        <v>10</v>
      </c>
      <c r="T264" s="311">
        <v>43951</v>
      </c>
      <c r="U264" s="158">
        <f>-63000000</f>
        <v>-63000000</v>
      </c>
      <c r="V264" s="521">
        <v>10</v>
      </c>
      <c r="W264" s="460">
        <v>44012</v>
      </c>
      <c r="X264" s="460"/>
      <c r="Y264" s="460"/>
      <c r="Z264" s="531"/>
      <c r="AA264" s="521">
        <v>10</v>
      </c>
      <c r="AB264" s="268"/>
      <c r="AC264" s="268"/>
      <c r="AD264" s="268"/>
      <c r="AE264" s="158"/>
      <c r="AF264" s="158"/>
      <c r="AG264" s="61"/>
      <c r="AH264" s="61"/>
      <c r="AI264" s="61">
        <v>570227400</v>
      </c>
      <c r="AJ264" s="61"/>
      <c r="AK264" s="158">
        <f t="shared" si="54"/>
        <v>570227400</v>
      </c>
      <c r="AL264" s="61">
        <v>877</v>
      </c>
      <c r="AM264" s="61">
        <v>10</v>
      </c>
      <c r="AN264" s="61">
        <v>7</v>
      </c>
      <c r="AO264" s="61"/>
      <c r="AP264" s="532"/>
      <c r="AQ264" s="532"/>
      <c r="AR264" s="532"/>
      <c r="AS264" s="532"/>
      <c r="AT264" s="2">
        <v>0</v>
      </c>
      <c r="AU264" s="58" t="s">
        <v>521</v>
      </c>
      <c r="AV264" s="462"/>
      <c r="AW264" s="531"/>
      <c r="AX264" s="531"/>
      <c r="AY264" s="531"/>
      <c r="AZ264" s="531"/>
      <c r="BA264" s="531"/>
      <c r="BB264" s="531"/>
      <c r="BC264" s="531"/>
      <c r="BD264" s="531"/>
      <c r="BE264" s="531"/>
      <c r="BF264" s="531"/>
      <c r="BG264" s="464"/>
      <c r="BH264" s="464">
        <v>2020</v>
      </c>
      <c r="BI264" s="271" t="s">
        <v>2375</v>
      </c>
    </row>
    <row r="265" spans="1:61 16166:16286" s="204" customFormat="1" ht="25.5" customHeight="1">
      <c r="A265" s="160" t="s">
        <v>504</v>
      </c>
      <c r="B265" s="58" t="s">
        <v>84</v>
      </c>
      <c r="C265" s="55" t="s">
        <v>2284</v>
      </c>
      <c r="D265" s="33" t="s">
        <v>1584</v>
      </c>
      <c r="E265" s="659"/>
      <c r="F265" s="78">
        <v>4</v>
      </c>
      <c r="G265" s="78"/>
      <c r="H265" s="533" t="s">
        <v>2236</v>
      </c>
      <c r="I265" s="561" t="s">
        <v>2285</v>
      </c>
      <c r="J265" s="272" t="s">
        <v>2286</v>
      </c>
      <c r="K265" s="531"/>
      <c r="L265" s="532"/>
      <c r="M265" s="61"/>
      <c r="N265" s="693">
        <v>41</v>
      </c>
      <c r="O265" s="61"/>
      <c r="P265" s="61">
        <f>(1804207153+1497851116)</f>
        <v>3302058269</v>
      </c>
      <c r="Q265" s="61"/>
      <c r="R265" s="158"/>
      <c r="S265" s="61"/>
      <c r="T265" s="460"/>
      <c r="U265" s="158">
        <v>1804207153</v>
      </c>
      <c r="V265" s="61">
        <v>20</v>
      </c>
      <c r="W265" s="460">
        <v>43951</v>
      </c>
      <c r="X265" s="460"/>
      <c r="Y265" s="460"/>
      <c r="Z265" s="706"/>
      <c r="AA265" s="521">
        <v>20</v>
      </c>
      <c r="AB265" s="446"/>
      <c r="AC265" s="446"/>
      <c r="AD265" s="268"/>
      <c r="AE265" s="158"/>
      <c r="AF265" s="158">
        <f t="shared" ref="AF265:AF266" si="58">P265</f>
        <v>3302058269</v>
      </c>
      <c r="AG265" s="61"/>
      <c r="AH265" s="61"/>
      <c r="AI265" s="61">
        <v>3302058269</v>
      </c>
      <c r="AJ265" s="61"/>
      <c r="AK265" s="158">
        <f t="shared" si="54"/>
        <v>1497851116</v>
      </c>
      <c r="AL265" s="61">
        <v>877</v>
      </c>
      <c r="AM265" s="61">
        <v>20</v>
      </c>
      <c r="AN265" s="61"/>
      <c r="AO265" s="61">
        <v>41</v>
      </c>
      <c r="AP265" s="532"/>
      <c r="AQ265" s="532"/>
      <c r="AR265" s="532"/>
      <c r="AS265" s="532"/>
      <c r="AT265" s="2">
        <v>0</v>
      </c>
      <c r="AU265" s="58" t="s">
        <v>38</v>
      </c>
      <c r="AV265" s="462" t="s">
        <v>2259</v>
      </c>
      <c r="AW265" s="531"/>
      <c r="AX265" s="531"/>
      <c r="AY265" s="531"/>
      <c r="AZ265" s="531"/>
      <c r="BA265" s="531"/>
      <c r="BB265" s="531"/>
      <c r="BC265" s="531"/>
      <c r="BD265" s="531"/>
      <c r="BE265" s="531"/>
      <c r="BF265" s="531"/>
      <c r="BG265" s="464"/>
      <c r="BH265" s="712">
        <v>2020</v>
      </c>
      <c r="BI265" s="271" t="s">
        <v>2375</v>
      </c>
    </row>
    <row r="266" spans="1:61 16166:16286" s="204" customFormat="1" ht="25.5" customHeight="1">
      <c r="A266" s="160" t="s">
        <v>504</v>
      </c>
      <c r="B266" s="58" t="s">
        <v>84</v>
      </c>
      <c r="C266" s="55" t="s">
        <v>2298</v>
      </c>
      <c r="D266" s="33" t="s">
        <v>40</v>
      </c>
      <c r="E266" s="659"/>
      <c r="F266" s="78">
        <v>4</v>
      </c>
      <c r="G266" s="78"/>
      <c r="H266" s="533" t="s">
        <v>2236</v>
      </c>
      <c r="I266" s="561">
        <v>257</v>
      </c>
      <c r="J266" s="555">
        <v>43894</v>
      </c>
      <c r="K266" s="531"/>
      <c r="L266" s="532"/>
      <c r="M266" s="61"/>
      <c r="N266" s="693">
        <v>7</v>
      </c>
      <c r="O266" s="61"/>
      <c r="P266" s="61">
        <f>(258914314+215968996)</f>
        <v>474883310</v>
      </c>
      <c r="Q266" s="61"/>
      <c r="R266" s="158"/>
      <c r="S266" s="61"/>
      <c r="T266" s="460"/>
      <c r="U266" s="158">
        <v>258914314</v>
      </c>
      <c r="V266" s="61">
        <v>10</v>
      </c>
      <c r="W266" s="460">
        <v>43921</v>
      </c>
      <c r="X266" s="460"/>
      <c r="Y266" s="460"/>
      <c r="Z266" s="706"/>
      <c r="AA266" s="521">
        <v>10</v>
      </c>
      <c r="AB266" s="446"/>
      <c r="AC266" s="446"/>
      <c r="AD266" s="268"/>
      <c r="AE266" s="158"/>
      <c r="AF266" s="158">
        <f t="shared" si="58"/>
        <v>474883310</v>
      </c>
      <c r="AG266" s="61"/>
      <c r="AH266" s="61"/>
      <c r="AI266" s="61">
        <v>474883310</v>
      </c>
      <c r="AJ266" s="61">
        <v>10</v>
      </c>
      <c r="AK266" s="158">
        <f t="shared" si="54"/>
        <v>215968996</v>
      </c>
      <c r="AL266" s="61">
        <v>877</v>
      </c>
      <c r="AM266" s="61">
        <v>10</v>
      </c>
      <c r="AN266" s="61"/>
      <c r="AO266" s="61">
        <v>7</v>
      </c>
      <c r="AP266" s="532"/>
      <c r="AQ266" s="532"/>
      <c r="AR266" s="532"/>
      <c r="AS266" s="532"/>
      <c r="AT266" s="2">
        <v>0</v>
      </c>
      <c r="AU266" s="58" t="s">
        <v>38</v>
      </c>
      <c r="AV266" s="462"/>
      <c r="AW266" s="531"/>
      <c r="AX266" s="531"/>
      <c r="AY266" s="531"/>
      <c r="AZ266" s="531"/>
      <c r="BA266" s="531"/>
      <c r="BB266" s="531"/>
      <c r="BC266" s="531"/>
      <c r="BD266" s="531"/>
      <c r="BE266" s="531"/>
      <c r="BF266" s="531"/>
      <c r="BG266" s="464"/>
      <c r="BH266" s="464">
        <v>2020</v>
      </c>
      <c r="BI266" s="271" t="s">
        <v>2375</v>
      </c>
    </row>
    <row r="267" spans="1:61 16166:16286" ht="15" customHeight="1">
      <c r="A267" s="371" t="s">
        <v>505</v>
      </c>
      <c r="B267" s="371"/>
      <c r="C267" s="371"/>
      <c r="D267" s="371"/>
      <c r="E267" s="371"/>
      <c r="F267" s="371"/>
      <c r="G267" s="371"/>
      <c r="H267" s="371"/>
      <c r="I267" s="371"/>
      <c r="J267" s="371"/>
      <c r="K267" s="371">
        <f>SUM(K268:K305)</f>
        <v>131</v>
      </c>
      <c r="L267" s="370">
        <f t="shared" ref="L267:M267" si="59">SUM(L268:L305)</f>
        <v>213</v>
      </c>
      <c r="M267" s="370">
        <f t="shared" si="59"/>
        <v>239</v>
      </c>
      <c r="N267" s="424">
        <f>SUM(N268:N306)</f>
        <v>341</v>
      </c>
      <c r="O267" s="424">
        <f>SUM(O268:O306)</f>
        <v>47</v>
      </c>
      <c r="P267" s="371"/>
      <c r="Q267" s="371"/>
      <c r="R267" s="371"/>
      <c r="S267" s="371"/>
      <c r="T267" s="371"/>
      <c r="U267" s="371"/>
      <c r="V267" s="371"/>
      <c r="W267" s="371"/>
      <c r="X267" s="371"/>
      <c r="Y267" s="371"/>
      <c r="Z267" s="371"/>
      <c r="AA267" s="371"/>
      <c r="AB267" s="371"/>
      <c r="AC267" s="371"/>
      <c r="AD267" s="371"/>
      <c r="AE267" s="371"/>
      <c r="AF267" s="371"/>
      <c r="AG267" s="371"/>
      <c r="AH267" s="371"/>
      <c r="AI267" s="371"/>
      <c r="AJ267" s="371"/>
      <c r="AK267" s="371"/>
      <c r="AL267" s="371"/>
      <c r="AM267" s="371"/>
      <c r="AN267" s="424">
        <f t="shared" ref="AN267:AS267" si="60">SUM(AN268:AN306)</f>
        <v>3</v>
      </c>
      <c r="AO267" s="424">
        <f t="shared" si="60"/>
        <v>239</v>
      </c>
      <c r="AP267" s="424">
        <f t="shared" si="60"/>
        <v>102</v>
      </c>
      <c r="AQ267" s="424">
        <f t="shared" si="60"/>
        <v>43</v>
      </c>
      <c r="AR267" s="424">
        <f t="shared" si="60"/>
        <v>0</v>
      </c>
      <c r="AS267" s="424">
        <f t="shared" si="60"/>
        <v>1</v>
      </c>
      <c r="AT267" s="371"/>
      <c r="AU267" s="371"/>
      <c r="AV267" s="385"/>
      <c r="AW267" s="370">
        <f>SUM(AW268:AW305)</f>
        <v>367</v>
      </c>
      <c r="AX267" s="370">
        <f t="shared" ref="AX267:AZ267" si="61">SUM(AX268:AX305)</f>
        <v>335</v>
      </c>
      <c r="AY267" s="370">
        <f t="shared" si="61"/>
        <v>122</v>
      </c>
      <c r="AZ267" s="370">
        <f t="shared" si="61"/>
        <v>101</v>
      </c>
      <c r="BA267" s="424">
        <f t="shared" ref="BA267:BE267" si="62">SUM(BA268:BA306)</f>
        <v>102</v>
      </c>
      <c r="BB267" s="424">
        <f t="shared" si="62"/>
        <v>108</v>
      </c>
      <c r="BC267" s="424">
        <f t="shared" si="62"/>
        <v>14</v>
      </c>
      <c r="BD267" s="424">
        <f t="shared" si="62"/>
        <v>217</v>
      </c>
      <c r="BE267" s="424">
        <f t="shared" si="62"/>
        <v>24</v>
      </c>
      <c r="BF267" s="371"/>
      <c r="BG267" s="371">
        <v>2019</v>
      </c>
      <c r="BH267" s="371">
        <v>2020</v>
      </c>
      <c r="BI267" s="434" t="s">
        <v>2419</v>
      </c>
      <c r="WWT267" s="371"/>
      <c r="WWU267" s="371"/>
      <c r="WWV267" s="371"/>
      <c r="WWW267" s="371"/>
      <c r="WWX267" s="371"/>
      <c r="WWY267" s="370"/>
      <c r="WWZ267" s="370"/>
      <c r="WXA267" s="370"/>
      <c r="WXB267" s="370"/>
      <c r="WXC267" s="370"/>
      <c r="WXD267" s="370"/>
      <c r="WXE267" s="370"/>
      <c r="WXF267" s="370"/>
      <c r="WXG267" s="370"/>
      <c r="WXH267" s="370"/>
      <c r="WXW267" s="371"/>
      <c r="WXX267" s="371"/>
      <c r="WXY267" s="371"/>
      <c r="WXZ267" s="371"/>
      <c r="WYA267" s="371"/>
      <c r="WYB267" s="370"/>
      <c r="WYC267" s="370"/>
      <c r="WYZ267" s="371"/>
      <c r="WZA267" s="371"/>
      <c r="WZB267" s="371"/>
      <c r="WZC267" s="371"/>
      <c r="WZD267" s="371"/>
      <c r="XAC267" s="371"/>
      <c r="XAD267" s="371"/>
      <c r="XAE267" s="371"/>
      <c r="XAF267" s="371"/>
      <c r="XAG267" s="371"/>
      <c r="XBF267" s="371"/>
      <c r="XBG267" s="371"/>
      <c r="XBH267" s="371"/>
      <c r="XBI267" s="371"/>
      <c r="XBJ267" s="371"/>
    </row>
    <row r="268" spans="1:61 16166:16286" s="204" customFormat="1" ht="15" customHeight="1">
      <c r="A268" s="160" t="s">
        <v>505</v>
      </c>
      <c r="B268" s="58" t="s">
        <v>120</v>
      </c>
      <c r="C268" s="148" t="s">
        <v>121</v>
      </c>
      <c r="D268" s="58" t="s">
        <v>122</v>
      </c>
      <c r="E268" s="58"/>
      <c r="F268" s="58"/>
      <c r="G268" s="58"/>
      <c r="H268" s="30"/>
      <c r="I268" s="58"/>
      <c r="J268" s="212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649"/>
      <c r="V268" s="158"/>
      <c r="W268" s="158"/>
      <c r="X268" s="158"/>
      <c r="Y268" s="158"/>
      <c r="Z268" s="94"/>
      <c r="AA268" s="158"/>
      <c r="AB268" s="158"/>
      <c r="AC268" s="158"/>
      <c r="AD268" s="158"/>
      <c r="AE268" s="158"/>
      <c r="AF268" s="158"/>
      <c r="AG268" s="158"/>
      <c r="AH268" s="158"/>
      <c r="AI268" s="158"/>
      <c r="AJ268" s="158"/>
      <c r="AK268" s="158"/>
      <c r="AL268" s="158"/>
      <c r="AM268" s="94"/>
      <c r="AN268" s="158"/>
      <c r="AO268" s="158"/>
      <c r="AP268" s="158"/>
      <c r="AQ268" s="158"/>
      <c r="AR268" s="158"/>
      <c r="AS268" s="158"/>
      <c r="AT268" s="2"/>
      <c r="AU268" s="58"/>
      <c r="AV268" s="102"/>
      <c r="AW268" s="158">
        <v>22</v>
      </c>
      <c r="AX268" s="158"/>
      <c r="AY268" s="158"/>
      <c r="AZ268" s="158"/>
      <c r="BA268" s="158"/>
      <c r="BB268" s="158"/>
      <c r="BC268" s="69"/>
      <c r="BD268" s="69"/>
      <c r="BE268" s="69"/>
      <c r="BF268" s="271">
        <v>2016</v>
      </c>
      <c r="BG268" s="271"/>
      <c r="BH268" s="271"/>
      <c r="BI268" s="271" t="s">
        <v>2376</v>
      </c>
    </row>
    <row r="269" spans="1:61 16166:16286" s="204" customFormat="1" ht="15" customHeight="1">
      <c r="A269" s="160" t="s">
        <v>505</v>
      </c>
      <c r="B269" s="58" t="s">
        <v>1146</v>
      </c>
      <c r="C269" s="148" t="s">
        <v>834</v>
      </c>
      <c r="D269" s="1" t="s">
        <v>13</v>
      </c>
      <c r="E269" s="1"/>
      <c r="F269" s="1"/>
      <c r="G269" s="1"/>
      <c r="H269" s="30"/>
      <c r="I269" s="58"/>
      <c r="J269" s="212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649"/>
      <c r="V269" s="158"/>
      <c r="W269" s="158"/>
      <c r="X269" s="158"/>
      <c r="Y269" s="158"/>
      <c r="Z269" s="94"/>
      <c r="AA269" s="158"/>
      <c r="AB269" s="158"/>
      <c r="AC269" s="158"/>
      <c r="AD269" s="158"/>
      <c r="AE269" s="158"/>
      <c r="AF269" s="158"/>
      <c r="AG269" s="158"/>
      <c r="AH269" s="158"/>
      <c r="AI269" s="158"/>
      <c r="AJ269" s="158"/>
      <c r="AK269" s="158"/>
      <c r="AL269" s="158"/>
      <c r="AM269" s="94"/>
      <c r="AN269" s="158"/>
      <c r="AO269" s="158"/>
      <c r="AP269" s="158"/>
      <c r="AQ269" s="158"/>
      <c r="AR269" s="158"/>
      <c r="AS269" s="158"/>
      <c r="AT269" s="2"/>
      <c r="AU269" s="58"/>
      <c r="AV269" s="106"/>
      <c r="AW269" s="158">
        <v>20</v>
      </c>
      <c r="AX269" s="158"/>
      <c r="AY269" s="158"/>
      <c r="AZ269" s="158"/>
      <c r="BA269" s="158"/>
      <c r="BB269" s="158"/>
      <c r="BC269" s="69"/>
      <c r="BD269" s="69"/>
      <c r="BE269" s="69"/>
      <c r="BF269" s="271">
        <v>2016</v>
      </c>
      <c r="BG269" s="271"/>
      <c r="BH269" s="271"/>
      <c r="BI269" s="271" t="s">
        <v>2376</v>
      </c>
    </row>
    <row r="270" spans="1:61 16166:16286" s="204" customFormat="1" ht="15" customHeight="1">
      <c r="A270" s="160" t="s">
        <v>505</v>
      </c>
      <c r="B270" s="58" t="s">
        <v>1146</v>
      </c>
      <c r="C270" s="148" t="s">
        <v>834</v>
      </c>
      <c r="D270" s="1" t="s">
        <v>13</v>
      </c>
      <c r="E270" s="1"/>
      <c r="F270" s="1"/>
      <c r="G270" s="1"/>
      <c r="H270" s="30" t="s">
        <v>648</v>
      </c>
      <c r="I270" s="30"/>
      <c r="J270" s="212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649"/>
      <c r="V270" s="158"/>
      <c r="W270" s="158"/>
      <c r="X270" s="158"/>
      <c r="Y270" s="158"/>
      <c r="Z270" s="94"/>
      <c r="AA270" s="158"/>
      <c r="AB270" s="158"/>
      <c r="AC270" s="158"/>
      <c r="AD270" s="158"/>
      <c r="AE270" s="158"/>
      <c r="AF270" s="158"/>
      <c r="AG270" s="158"/>
      <c r="AH270" s="158"/>
      <c r="AI270" s="158"/>
      <c r="AJ270" s="158"/>
      <c r="AK270" s="158"/>
      <c r="AL270" s="158"/>
      <c r="AM270" s="94"/>
      <c r="AN270" s="158"/>
      <c r="AO270" s="158"/>
      <c r="AP270" s="11"/>
      <c r="AQ270" s="11"/>
      <c r="AR270" s="11"/>
      <c r="AS270" s="11"/>
      <c r="AT270" s="2">
        <v>1</v>
      </c>
      <c r="AU270" s="58" t="s">
        <v>646</v>
      </c>
      <c r="AV270" s="106"/>
      <c r="AW270" s="158"/>
      <c r="AX270" s="11">
        <v>1</v>
      </c>
      <c r="AY270" s="11"/>
      <c r="AZ270" s="11"/>
      <c r="BA270" s="11"/>
      <c r="BB270" s="11"/>
      <c r="BC270" s="70"/>
      <c r="BD270" s="70"/>
      <c r="BE270" s="69"/>
      <c r="BF270" s="271">
        <v>2017</v>
      </c>
      <c r="BG270" s="271"/>
      <c r="BH270" s="271"/>
      <c r="BI270" s="271" t="s">
        <v>2376</v>
      </c>
    </row>
    <row r="271" spans="1:61 16166:16286" s="204" customFormat="1" ht="15" customHeight="1">
      <c r="A271" s="160" t="s">
        <v>505</v>
      </c>
      <c r="B271" s="58" t="s">
        <v>1146</v>
      </c>
      <c r="C271" s="148" t="s">
        <v>124</v>
      </c>
      <c r="D271" s="1" t="s">
        <v>13</v>
      </c>
      <c r="E271" s="1"/>
      <c r="F271" s="1"/>
      <c r="G271" s="1"/>
      <c r="H271" s="30"/>
      <c r="I271" s="58"/>
      <c r="J271" s="212"/>
      <c r="K271" s="158"/>
      <c r="L271" s="158"/>
      <c r="M271" s="158"/>
      <c r="N271" s="158"/>
      <c r="O271" s="158"/>
      <c r="P271" s="158">
        <f>6571872242-67059921</f>
        <v>6504812321</v>
      </c>
      <c r="Q271" s="158"/>
      <c r="R271" s="158"/>
      <c r="S271" s="158"/>
      <c r="T271" s="158"/>
      <c r="U271" s="649">
        <v>2712459718</v>
      </c>
      <c r="V271" s="158"/>
      <c r="W271" s="158"/>
      <c r="X271" s="158"/>
      <c r="Y271" s="158"/>
      <c r="Z271" s="158">
        <v>3792352603</v>
      </c>
      <c r="AA271" s="158"/>
      <c r="AB271" s="158"/>
      <c r="AC271" s="158"/>
      <c r="AD271" s="158"/>
      <c r="AE271" s="158"/>
      <c r="AF271" s="158"/>
      <c r="AG271" s="158"/>
      <c r="AH271" s="158"/>
      <c r="AI271" s="158"/>
      <c r="AJ271" s="158"/>
      <c r="AK271" s="158"/>
      <c r="AL271" s="158"/>
      <c r="AM271" s="94"/>
      <c r="AN271" s="158"/>
      <c r="AO271" s="158"/>
      <c r="AP271" s="158"/>
      <c r="AQ271" s="158"/>
      <c r="AR271" s="158"/>
      <c r="AS271" s="158"/>
      <c r="AT271" s="2"/>
      <c r="AU271" s="58"/>
      <c r="AV271" s="106"/>
      <c r="AW271" s="158">
        <v>97</v>
      </c>
      <c r="AX271" s="158"/>
      <c r="AY271" s="158"/>
      <c r="AZ271" s="158"/>
      <c r="BA271" s="158"/>
      <c r="BB271" s="158"/>
      <c r="BC271" s="69"/>
      <c r="BD271" s="69"/>
      <c r="BE271" s="69"/>
      <c r="BF271" s="271">
        <v>2016</v>
      </c>
      <c r="BG271" s="271"/>
      <c r="BH271" s="271"/>
      <c r="BI271" s="271" t="s">
        <v>2376</v>
      </c>
    </row>
    <row r="272" spans="1:61 16166:16286" s="204" customFormat="1" ht="25.5" customHeight="1">
      <c r="A272" s="160" t="s">
        <v>505</v>
      </c>
      <c r="B272" s="88" t="s">
        <v>1146</v>
      </c>
      <c r="C272" s="148" t="s">
        <v>124</v>
      </c>
      <c r="D272" s="1" t="s">
        <v>13</v>
      </c>
      <c r="E272" s="1"/>
      <c r="F272" s="1"/>
      <c r="G272" s="1"/>
      <c r="H272" s="30" t="s">
        <v>674</v>
      </c>
      <c r="I272" s="30">
        <v>1445</v>
      </c>
      <c r="J272" s="212">
        <v>42209</v>
      </c>
      <c r="K272" s="158"/>
      <c r="L272" s="158"/>
      <c r="M272" s="158">
        <v>1</v>
      </c>
      <c r="N272" s="158"/>
      <c r="O272" s="158">
        <v>1</v>
      </c>
      <c r="P272" s="158">
        <v>67059921</v>
      </c>
      <c r="Q272" s="158"/>
      <c r="R272" s="158"/>
      <c r="S272" s="158"/>
      <c r="T272" s="158"/>
      <c r="U272" s="649"/>
      <c r="V272" s="158"/>
      <c r="W272" s="158"/>
      <c r="X272" s="158"/>
      <c r="Y272" s="158"/>
      <c r="Z272" s="94"/>
      <c r="AA272" s="158"/>
      <c r="AB272" s="158"/>
      <c r="AC272" s="158"/>
      <c r="AD272" s="158">
        <v>67059921</v>
      </c>
      <c r="AE272" s="158"/>
      <c r="AF272" s="158">
        <f>P272-U272-Z272</f>
        <v>67059921</v>
      </c>
      <c r="AG272" s="158"/>
      <c r="AH272" s="94">
        <v>0</v>
      </c>
      <c r="AI272" s="94">
        <v>0</v>
      </c>
      <c r="AJ272" s="94"/>
      <c r="AK272" s="158">
        <f>P272-R272-U272-Z272-AD272</f>
        <v>0</v>
      </c>
      <c r="AL272" s="158"/>
      <c r="AM272" s="94"/>
      <c r="AN272" s="158"/>
      <c r="AO272" s="158"/>
      <c r="AP272" s="11"/>
      <c r="AQ272" s="11"/>
      <c r="AR272" s="11"/>
      <c r="AS272" s="12">
        <v>1</v>
      </c>
      <c r="AT272" s="2">
        <v>0</v>
      </c>
      <c r="AU272" s="58" t="s">
        <v>687</v>
      </c>
      <c r="AV272" s="104" t="s">
        <v>2377</v>
      </c>
      <c r="AW272" s="158" t="s">
        <v>0</v>
      </c>
      <c r="AX272" s="11"/>
      <c r="AY272" s="11"/>
      <c r="AZ272" s="11"/>
      <c r="BA272" s="11"/>
      <c r="BB272" s="11"/>
      <c r="BC272" s="70"/>
      <c r="BD272" s="70"/>
      <c r="BE272" s="69"/>
      <c r="BF272" s="271"/>
      <c r="BG272" s="271">
        <v>2019</v>
      </c>
      <c r="BH272" s="271">
        <v>2020</v>
      </c>
      <c r="BI272" s="271" t="s">
        <v>2375</v>
      </c>
    </row>
    <row r="273" spans="1:61" s="204" customFormat="1" ht="15" customHeight="1">
      <c r="A273" s="160" t="s">
        <v>505</v>
      </c>
      <c r="B273" s="58" t="s">
        <v>126</v>
      </c>
      <c r="C273" s="148" t="s">
        <v>125</v>
      </c>
      <c r="D273" s="1" t="s">
        <v>43</v>
      </c>
      <c r="E273" s="1"/>
      <c r="F273" s="1"/>
      <c r="G273" s="1"/>
      <c r="H273" s="30"/>
      <c r="I273" s="58"/>
      <c r="J273" s="212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649"/>
      <c r="V273" s="158"/>
      <c r="W273" s="158"/>
      <c r="X273" s="158"/>
      <c r="Y273" s="158"/>
      <c r="Z273" s="94"/>
      <c r="AA273" s="158"/>
      <c r="AB273" s="158"/>
      <c r="AC273" s="158"/>
      <c r="AD273" s="158"/>
      <c r="AE273" s="158"/>
      <c r="AF273" s="158"/>
      <c r="AG273" s="158"/>
      <c r="AH273" s="158"/>
      <c r="AI273" s="158"/>
      <c r="AJ273" s="158"/>
      <c r="AK273" s="158"/>
      <c r="AL273" s="158"/>
      <c r="AM273" s="94"/>
      <c r="AN273" s="158"/>
      <c r="AO273" s="158"/>
      <c r="AP273" s="158"/>
      <c r="AQ273" s="158"/>
      <c r="AR273" s="158"/>
      <c r="AS273" s="158"/>
      <c r="AT273" s="2"/>
      <c r="AU273" s="58"/>
      <c r="AV273" s="104" t="s">
        <v>1038</v>
      </c>
      <c r="AW273" s="158">
        <v>70</v>
      </c>
      <c r="AX273" s="158"/>
      <c r="AY273" s="158"/>
      <c r="AZ273" s="158"/>
      <c r="BA273" s="158"/>
      <c r="BB273" s="158"/>
      <c r="BC273" s="69"/>
      <c r="BD273" s="69"/>
      <c r="BE273" s="69"/>
      <c r="BF273" s="271">
        <v>2016</v>
      </c>
      <c r="BG273" s="271"/>
      <c r="BH273" s="271"/>
      <c r="BI273" s="271" t="s">
        <v>2376</v>
      </c>
    </row>
    <row r="274" spans="1:61" s="204" customFormat="1" ht="15" customHeight="1">
      <c r="A274" s="160" t="s">
        <v>505</v>
      </c>
      <c r="B274" s="58" t="s">
        <v>126</v>
      </c>
      <c r="C274" s="148" t="s">
        <v>125</v>
      </c>
      <c r="D274" s="1" t="s">
        <v>43</v>
      </c>
      <c r="E274" s="1"/>
      <c r="F274" s="1"/>
      <c r="G274" s="1"/>
      <c r="H274" s="30" t="s">
        <v>658</v>
      </c>
      <c r="I274" s="30"/>
      <c r="J274" s="212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649"/>
      <c r="V274" s="158"/>
      <c r="W274" s="158"/>
      <c r="X274" s="158"/>
      <c r="Y274" s="158"/>
      <c r="Z274" s="94"/>
      <c r="AA274" s="158"/>
      <c r="AB274" s="158"/>
      <c r="AC274" s="158"/>
      <c r="AD274" s="158"/>
      <c r="AE274" s="158"/>
      <c r="AF274" s="158"/>
      <c r="AG274" s="158"/>
      <c r="AH274" s="158"/>
      <c r="AI274" s="158"/>
      <c r="AJ274" s="158"/>
      <c r="AK274" s="158"/>
      <c r="AL274" s="158"/>
      <c r="AM274" s="94"/>
      <c r="AN274" s="158"/>
      <c r="AO274" s="158"/>
      <c r="AP274" s="158"/>
      <c r="AQ274" s="158"/>
      <c r="AR274" s="158"/>
      <c r="AS274" s="158"/>
      <c r="AT274" s="2">
        <v>1</v>
      </c>
      <c r="AU274" s="58" t="s">
        <v>646</v>
      </c>
      <c r="AV274" s="104"/>
      <c r="AW274" s="158"/>
      <c r="AX274" s="158">
        <v>21</v>
      </c>
      <c r="AY274" s="158"/>
      <c r="AZ274" s="158"/>
      <c r="BA274" s="158"/>
      <c r="BB274" s="158"/>
      <c r="BC274" s="69"/>
      <c r="BD274" s="69"/>
      <c r="BE274" s="69"/>
      <c r="BF274" s="271">
        <v>2017</v>
      </c>
      <c r="BG274" s="271"/>
      <c r="BH274" s="271"/>
      <c r="BI274" s="271" t="s">
        <v>2376</v>
      </c>
    </row>
    <row r="275" spans="1:61" s="204" customFormat="1" ht="15" customHeight="1">
      <c r="A275" s="160" t="s">
        <v>505</v>
      </c>
      <c r="B275" s="58" t="s">
        <v>1146</v>
      </c>
      <c r="C275" s="148" t="s">
        <v>127</v>
      </c>
      <c r="D275" s="1" t="s">
        <v>13</v>
      </c>
      <c r="E275" s="1"/>
      <c r="F275" s="1"/>
      <c r="G275" s="1"/>
      <c r="H275" s="30"/>
      <c r="I275" s="58"/>
      <c r="J275" s="212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649"/>
      <c r="V275" s="158"/>
      <c r="W275" s="158"/>
      <c r="X275" s="158"/>
      <c r="Y275" s="158"/>
      <c r="Z275" s="94"/>
      <c r="AA275" s="158"/>
      <c r="AB275" s="158"/>
      <c r="AC275" s="158"/>
      <c r="AD275" s="158"/>
      <c r="AE275" s="158"/>
      <c r="AF275" s="158"/>
      <c r="AG275" s="158"/>
      <c r="AH275" s="158"/>
      <c r="AI275" s="158"/>
      <c r="AJ275" s="158"/>
      <c r="AK275" s="158"/>
      <c r="AL275" s="158"/>
      <c r="AM275" s="94"/>
      <c r="AN275" s="158"/>
      <c r="AO275" s="158"/>
      <c r="AP275" s="158"/>
      <c r="AQ275" s="158"/>
      <c r="AR275" s="158"/>
      <c r="AS275" s="158"/>
      <c r="AT275" s="2"/>
      <c r="AU275" s="58"/>
      <c r="AV275" s="104"/>
      <c r="AW275" s="158">
        <v>93</v>
      </c>
      <c r="AX275" s="158"/>
      <c r="AY275" s="158"/>
      <c r="AZ275" s="158"/>
      <c r="BA275" s="158"/>
      <c r="BB275" s="158"/>
      <c r="BC275" s="69"/>
      <c r="BD275" s="69"/>
      <c r="BE275" s="69"/>
      <c r="BF275" s="271">
        <v>2016</v>
      </c>
      <c r="BG275" s="271"/>
      <c r="BH275" s="271"/>
      <c r="BI275" s="271" t="s">
        <v>2376</v>
      </c>
    </row>
    <row r="276" spans="1:61" s="204" customFormat="1" ht="15" customHeight="1">
      <c r="A276" s="160" t="s">
        <v>505</v>
      </c>
      <c r="B276" s="58" t="s">
        <v>1146</v>
      </c>
      <c r="C276" s="148" t="s">
        <v>127</v>
      </c>
      <c r="D276" s="1" t="s">
        <v>13</v>
      </c>
      <c r="E276" s="1"/>
      <c r="F276" s="1"/>
      <c r="G276" s="1"/>
      <c r="H276" s="30" t="s">
        <v>664</v>
      </c>
      <c r="I276" s="30"/>
      <c r="J276" s="212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649"/>
      <c r="V276" s="158"/>
      <c r="W276" s="158"/>
      <c r="X276" s="158"/>
      <c r="Y276" s="158"/>
      <c r="Z276" s="94"/>
      <c r="AA276" s="158"/>
      <c r="AB276" s="158"/>
      <c r="AC276" s="158"/>
      <c r="AD276" s="158"/>
      <c r="AE276" s="158"/>
      <c r="AF276" s="158"/>
      <c r="AG276" s="158"/>
      <c r="AH276" s="158"/>
      <c r="AI276" s="158"/>
      <c r="AJ276" s="158"/>
      <c r="AK276" s="158"/>
      <c r="AL276" s="158"/>
      <c r="AM276" s="94"/>
      <c r="AN276" s="158"/>
      <c r="AO276" s="158"/>
      <c r="AP276" s="11"/>
      <c r="AQ276" s="11"/>
      <c r="AR276" s="11"/>
      <c r="AS276" s="158"/>
      <c r="AT276" s="2">
        <v>0</v>
      </c>
      <c r="AU276" s="1" t="s">
        <v>687</v>
      </c>
      <c r="AV276" s="104" t="s">
        <v>1369</v>
      </c>
      <c r="AW276" s="158" t="s">
        <v>0</v>
      </c>
      <c r="AX276" s="11"/>
      <c r="AY276" s="11"/>
      <c r="AZ276" s="11"/>
      <c r="BA276" s="11"/>
      <c r="BB276" s="11"/>
      <c r="BC276" s="70"/>
      <c r="BD276" s="70"/>
      <c r="BE276" s="69">
        <v>1</v>
      </c>
      <c r="BF276" s="271" t="s">
        <v>1704</v>
      </c>
      <c r="BG276" s="271"/>
      <c r="BH276" s="271"/>
      <c r="BI276" s="271" t="s">
        <v>2376</v>
      </c>
    </row>
    <row r="277" spans="1:61" s="204" customFormat="1" ht="15" customHeight="1">
      <c r="A277" s="160" t="s">
        <v>505</v>
      </c>
      <c r="B277" s="58" t="s">
        <v>129</v>
      </c>
      <c r="C277" s="148" t="s">
        <v>128</v>
      </c>
      <c r="D277" s="58" t="s">
        <v>16</v>
      </c>
      <c r="E277" s="58"/>
      <c r="F277" s="58"/>
      <c r="G277" s="58"/>
      <c r="H277" s="30"/>
      <c r="I277" s="58"/>
      <c r="J277" s="212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649"/>
      <c r="V277" s="158"/>
      <c r="W277" s="158"/>
      <c r="X277" s="158"/>
      <c r="Y277" s="158"/>
      <c r="Z277" s="94"/>
      <c r="AA277" s="158"/>
      <c r="AB277" s="158"/>
      <c r="AC277" s="158"/>
      <c r="AD277" s="158"/>
      <c r="AE277" s="158"/>
      <c r="AF277" s="158"/>
      <c r="AG277" s="158"/>
      <c r="AH277" s="158"/>
      <c r="AI277" s="158"/>
      <c r="AJ277" s="158"/>
      <c r="AK277" s="158"/>
      <c r="AL277" s="158"/>
      <c r="AM277" s="94"/>
      <c r="AN277" s="158"/>
      <c r="AO277" s="158"/>
      <c r="AP277" s="158"/>
      <c r="AQ277" s="158"/>
      <c r="AR277" s="158"/>
      <c r="AS277" s="158"/>
      <c r="AT277" s="2"/>
      <c r="AU277" s="58"/>
      <c r="AV277" s="104" t="s">
        <v>1011</v>
      </c>
      <c r="AW277" s="158">
        <v>39</v>
      </c>
      <c r="AX277" s="158"/>
      <c r="AY277" s="158"/>
      <c r="AZ277" s="158"/>
      <c r="BA277" s="158"/>
      <c r="BB277" s="158"/>
      <c r="BC277" s="69"/>
      <c r="BD277" s="69"/>
      <c r="BE277" s="69"/>
      <c r="BF277" s="271">
        <v>2016</v>
      </c>
      <c r="BG277" s="271"/>
      <c r="BH277" s="271"/>
      <c r="BI277" s="271" t="s">
        <v>2376</v>
      </c>
    </row>
    <row r="278" spans="1:61" s="204" customFormat="1" ht="15" customHeight="1">
      <c r="A278" s="160" t="s">
        <v>505</v>
      </c>
      <c r="B278" s="58" t="s">
        <v>1146</v>
      </c>
      <c r="C278" s="148" t="s">
        <v>130</v>
      </c>
      <c r="D278" s="58" t="s">
        <v>67</v>
      </c>
      <c r="E278" s="58"/>
      <c r="F278" s="58"/>
      <c r="G278" s="58"/>
      <c r="H278" s="30" t="s">
        <v>651</v>
      </c>
      <c r="I278" s="30"/>
      <c r="J278" s="212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649"/>
      <c r="V278" s="158"/>
      <c r="W278" s="158"/>
      <c r="X278" s="158"/>
      <c r="Y278" s="158"/>
      <c r="Z278" s="94"/>
      <c r="AA278" s="158"/>
      <c r="AB278" s="158"/>
      <c r="AC278" s="158"/>
      <c r="AD278" s="158"/>
      <c r="AE278" s="158"/>
      <c r="AF278" s="158"/>
      <c r="AG278" s="158"/>
      <c r="AH278" s="158"/>
      <c r="AI278" s="158"/>
      <c r="AJ278" s="158"/>
      <c r="AK278" s="158"/>
      <c r="AL278" s="158"/>
      <c r="AM278" s="94"/>
      <c r="AN278" s="158"/>
      <c r="AO278" s="158"/>
      <c r="AP278" s="158"/>
      <c r="AQ278" s="158"/>
      <c r="AR278" s="158"/>
      <c r="AS278" s="158"/>
      <c r="AT278" s="2">
        <v>1</v>
      </c>
      <c r="AU278" s="58" t="s">
        <v>646</v>
      </c>
      <c r="AV278" s="104"/>
      <c r="AW278" s="158" t="s">
        <v>0</v>
      </c>
      <c r="AX278" s="158">
        <v>29</v>
      </c>
      <c r="AY278" s="158"/>
      <c r="AZ278" s="158"/>
      <c r="BA278" s="158"/>
      <c r="BB278" s="158"/>
      <c r="BC278" s="69"/>
      <c r="BD278" s="69"/>
      <c r="BE278" s="69"/>
      <c r="BF278" s="271">
        <v>2017</v>
      </c>
      <c r="BG278" s="271"/>
      <c r="BH278" s="271"/>
      <c r="BI278" s="271" t="s">
        <v>2376</v>
      </c>
    </row>
    <row r="279" spans="1:61" s="204" customFormat="1" ht="15" customHeight="1">
      <c r="A279" s="160" t="s">
        <v>505</v>
      </c>
      <c r="B279" s="58" t="s">
        <v>132</v>
      </c>
      <c r="C279" s="148" t="s">
        <v>131</v>
      </c>
      <c r="D279" s="58" t="s">
        <v>67</v>
      </c>
      <c r="E279" s="58"/>
      <c r="F279" s="58"/>
      <c r="G279" s="58"/>
      <c r="H279" s="30" t="s">
        <v>651</v>
      </c>
      <c r="I279" s="30"/>
      <c r="J279" s="212"/>
      <c r="K279" s="158"/>
      <c r="L279" s="158"/>
      <c r="M279" s="158"/>
      <c r="N279" s="158"/>
      <c r="O279" s="158"/>
      <c r="P279" s="158"/>
      <c r="Q279" s="158"/>
      <c r="R279" s="158"/>
      <c r="S279" s="158"/>
      <c r="T279" s="158"/>
      <c r="U279" s="649"/>
      <c r="V279" s="158"/>
      <c r="W279" s="158"/>
      <c r="X279" s="158"/>
      <c r="Y279" s="158"/>
      <c r="Z279" s="94"/>
      <c r="AA279" s="158"/>
      <c r="AB279" s="158"/>
      <c r="AC279" s="158"/>
      <c r="AD279" s="158"/>
      <c r="AE279" s="158"/>
      <c r="AF279" s="158"/>
      <c r="AG279" s="158"/>
      <c r="AH279" s="158"/>
      <c r="AI279" s="158"/>
      <c r="AJ279" s="158"/>
      <c r="AK279" s="158"/>
      <c r="AL279" s="158"/>
      <c r="AM279" s="94"/>
      <c r="AN279" s="158"/>
      <c r="AO279" s="158"/>
      <c r="AP279" s="158"/>
      <c r="AQ279" s="158"/>
      <c r="AR279" s="158"/>
      <c r="AS279" s="158"/>
      <c r="AT279" s="2">
        <v>1</v>
      </c>
      <c r="AU279" s="58" t="s">
        <v>646</v>
      </c>
      <c r="AV279" s="104"/>
      <c r="AW279" s="158" t="s">
        <v>0</v>
      </c>
      <c r="AX279" s="158">
        <v>26</v>
      </c>
      <c r="AY279" s="158"/>
      <c r="AZ279" s="158"/>
      <c r="BA279" s="158"/>
      <c r="BB279" s="158"/>
      <c r="BC279" s="69"/>
      <c r="BD279" s="69"/>
      <c r="BE279" s="69"/>
      <c r="BF279" s="271">
        <v>2017</v>
      </c>
      <c r="BG279" s="271"/>
      <c r="BH279" s="271"/>
      <c r="BI279" s="271" t="s">
        <v>2376</v>
      </c>
    </row>
    <row r="280" spans="1:61" s="204" customFormat="1" ht="15" customHeight="1">
      <c r="A280" s="160" t="s">
        <v>505</v>
      </c>
      <c r="B280" s="58" t="s">
        <v>129</v>
      </c>
      <c r="C280" s="148" t="s">
        <v>133</v>
      </c>
      <c r="D280" s="58" t="s">
        <v>16</v>
      </c>
      <c r="E280" s="58"/>
      <c r="F280" s="58"/>
      <c r="G280" s="58"/>
      <c r="H280" s="30"/>
      <c r="I280" s="58"/>
      <c r="J280" s="212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649"/>
      <c r="V280" s="158"/>
      <c r="W280" s="158"/>
      <c r="X280" s="158"/>
      <c r="Y280" s="158"/>
      <c r="Z280" s="94"/>
      <c r="AA280" s="158"/>
      <c r="AB280" s="158"/>
      <c r="AC280" s="158"/>
      <c r="AD280" s="158"/>
      <c r="AE280" s="158"/>
      <c r="AF280" s="158"/>
      <c r="AG280" s="158"/>
      <c r="AH280" s="158"/>
      <c r="AI280" s="158"/>
      <c r="AJ280" s="158"/>
      <c r="AK280" s="158"/>
      <c r="AL280" s="158"/>
      <c r="AM280" s="94"/>
      <c r="AN280" s="158"/>
      <c r="AO280" s="158"/>
      <c r="AP280" s="158"/>
      <c r="AQ280" s="158"/>
      <c r="AR280" s="158"/>
      <c r="AS280" s="158"/>
      <c r="AT280" s="2"/>
      <c r="AU280" s="58"/>
      <c r="AV280" s="104"/>
      <c r="AW280" s="158">
        <v>26</v>
      </c>
      <c r="AX280" s="158"/>
      <c r="AY280" s="158"/>
      <c r="AZ280" s="158"/>
      <c r="BA280" s="158"/>
      <c r="BB280" s="158"/>
      <c r="BC280" s="69"/>
      <c r="BD280" s="69"/>
      <c r="BE280" s="69"/>
      <c r="BF280" s="271">
        <v>2016</v>
      </c>
      <c r="BG280" s="271"/>
      <c r="BH280" s="271"/>
      <c r="BI280" s="271" t="s">
        <v>2376</v>
      </c>
    </row>
    <row r="281" spans="1:61" s="204" customFormat="1" ht="15" customHeight="1">
      <c r="A281" s="160" t="s">
        <v>505</v>
      </c>
      <c r="B281" s="58" t="s">
        <v>126</v>
      </c>
      <c r="C281" s="148" t="s">
        <v>134</v>
      </c>
      <c r="D281" s="58" t="s">
        <v>119</v>
      </c>
      <c r="E281" s="58"/>
      <c r="F281" s="58"/>
      <c r="G281" s="58"/>
      <c r="H281" s="30" t="s">
        <v>651</v>
      </c>
      <c r="I281" s="30"/>
      <c r="J281" s="212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649"/>
      <c r="V281" s="158"/>
      <c r="W281" s="158"/>
      <c r="X281" s="158"/>
      <c r="Y281" s="158"/>
      <c r="Z281" s="94"/>
      <c r="AA281" s="158"/>
      <c r="AB281" s="158"/>
      <c r="AC281" s="158"/>
      <c r="AD281" s="158"/>
      <c r="AE281" s="158"/>
      <c r="AF281" s="158"/>
      <c r="AG281" s="158"/>
      <c r="AH281" s="158"/>
      <c r="AI281" s="158"/>
      <c r="AJ281" s="158"/>
      <c r="AK281" s="158"/>
      <c r="AL281" s="158"/>
      <c r="AM281" s="94"/>
      <c r="AN281" s="158"/>
      <c r="AO281" s="158"/>
      <c r="AP281" s="158"/>
      <c r="AQ281" s="158"/>
      <c r="AR281" s="158"/>
      <c r="AS281" s="158"/>
      <c r="AT281" s="2">
        <v>1</v>
      </c>
      <c r="AU281" s="58" t="s">
        <v>646</v>
      </c>
      <c r="AV281" s="104"/>
      <c r="AW281" s="11"/>
      <c r="AX281" s="158">
        <v>110</v>
      </c>
      <c r="AY281" s="158"/>
      <c r="AZ281" s="158"/>
      <c r="BA281" s="158"/>
      <c r="BB281" s="158"/>
      <c r="BC281" s="69"/>
      <c r="BD281" s="69"/>
      <c r="BE281" s="69"/>
      <c r="BF281" s="271">
        <v>2017</v>
      </c>
      <c r="BG281" s="271"/>
      <c r="BH281" s="271"/>
      <c r="BI281" s="271" t="s">
        <v>2376</v>
      </c>
    </row>
    <row r="282" spans="1:61" s="204" customFormat="1" ht="15" customHeight="1">
      <c r="A282" s="160" t="s">
        <v>505</v>
      </c>
      <c r="B282" s="58" t="s">
        <v>1146</v>
      </c>
      <c r="C282" s="148" t="s">
        <v>135</v>
      </c>
      <c r="D282" s="1" t="s">
        <v>67</v>
      </c>
      <c r="E282" s="1"/>
      <c r="F282" s="1"/>
      <c r="G282" s="1"/>
      <c r="H282" s="30" t="s">
        <v>635</v>
      </c>
      <c r="I282" s="30"/>
      <c r="J282" s="212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649"/>
      <c r="V282" s="158"/>
      <c r="W282" s="158"/>
      <c r="X282" s="158"/>
      <c r="Y282" s="158"/>
      <c r="Z282" s="94"/>
      <c r="AA282" s="158"/>
      <c r="AB282" s="158"/>
      <c r="AC282" s="158"/>
      <c r="AD282" s="158"/>
      <c r="AE282" s="158"/>
      <c r="AF282" s="158"/>
      <c r="AG282" s="158"/>
      <c r="AH282" s="158"/>
      <c r="AI282" s="158"/>
      <c r="AJ282" s="158"/>
      <c r="AK282" s="158"/>
      <c r="AL282" s="158"/>
      <c r="AM282" s="94"/>
      <c r="AN282" s="158"/>
      <c r="AO282" s="158"/>
      <c r="AP282" s="158"/>
      <c r="AQ282" s="158"/>
      <c r="AR282" s="158"/>
      <c r="AS282" s="158"/>
      <c r="AT282" s="2">
        <v>1</v>
      </c>
      <c r="AU282" s="58" t="s">
        <v>646</v>
      </c>
      <c r="AV282" s="104"/>
      <c r="AW282" s="158"/>
      <c r="AX282" s="158">
        <v>76</v>
      </c>
      <c r="AY282" s="158"/>
      <c r="AZ282" s="158"/>
      <c r="BA282" s="158"/>
      <c r="BB282" s="158"/>
      <c r="BC282" s="69"/>
      <c r="BD282" s="69"/>
      <c r="BE282" s="69"/>
      <c r="BF282" s="271">
        <v>2017</v>
      </c>
      <c r="BG282" s="271"/>
      <c r="BH282" s="271"/>
      <c r="BI282" s="271" t="s">
        <v>2376</v>
      </c>
    </row>
    <row r="283" spans="1:61" s="204" customFormat="1" ht="15" customHeight="1">
      <c r="A283" s="160" t="s">
        <v>505</v>
      </c>
      <c r="B283" s="58" t="s">
        <v>126</v>
      </c>
      <c r="C283" s="148" t="s">
        <v>136</v>
      </c>
      <c r="D283" s="1" t="s">
        <v>67</v>
      </c>
      <c r="E283" s="1"/>
      <c r="F283" s="1"/>
      <c r="G283" s="1"/>
      <c r="H283" s="30" t="s">
        <v>635</v>
      </c>
      <c r="I283" s="30"/>
      <c r="J283" s="212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649"/>
      <c r="V283" s="158"/>
      <c r="W283" s="158"/>
      <c r="X283" s="158"/>
      <c r="Y283" s="158"/>
      <c r="Z283" s="94"/>
      <c r="AA283" s="158"/>
      <c r="AB283" s="158"/>
      <c r="AC283" s="158"/>
      <c r="AD283" s="158"/>
      <c r="AE283" s="158"/>
      <c r="AF283" s="158"/>
      <c r="AG283" s="158"/>
      <c r="AH283" s="158"/>
      <c r="AI283" s="158"/>
      <c r="AJ283" s="158"/>
      <c r="AK283" s="158"/>
      <c r="AL283" s="158"/>
      <c r="AM283" s="94"/>
      <c r="AN283" s="158"/>
      <c r="AO283" s="158"/>
      <c r="AP283" s="158"/>
      <c r="AQ283" s="158"/>
      <c r="AR283" s="158"/>
      <c r="AS283" s="158"/>
      <c r="AT283" s="2">
        <v>1</v>
      </c>
      <c r="AU283" s="58" t="s">
        <v>646</v>
      </c>
      <c r="AV283" s="104"/>
      <c r="AW283" s="158"/>
      <c r="AX283" s="158">
        <v>30</v>
      </c>
      <c r="AY283" s="158"/>
      <c r="AZ283" s="158"/>
      <c r="BA283" s="158"/>
      <c r="BB283" s="158"/>
      <c r="BC283" s="69"/>
      <c r="BD283" s="69"/>
      <c r="BE283" s="69"/>
      <c r="BF283" s="271">
        <v>2017</v>
      </c>
      <c r="BG283" s="271"/>
      <c r="BH283" s="271"/>
      <c r="BI283" s="271" t="s">
        <v>2376</v>
      </c>
    </row>
    <row r="284" spans="1:61" s="204" customFormat="1" ht="24" customHeight="1">
      <c r="A284" s="160" t="s">
        <v>505</v>
      </c>
      <c r="B284" s="58" t="s">
        <v>123</v>
      </c>
      <c r="C284" s="55" t="s">
        <v>665</v>
      </c>
      <c r="D284" s="58" t="s">
        <v>102</v>
      </c>
      <c r="E284" s="58"/>
      <c r="F284" s="58"/>
      <c r="G284" s="58"/>
      <c r="H284" s="30" t="s">
        <v>635</v>
      </c>
      <c r="I284" s="30">
        <v>1972</v>
      </c>
      <c r="J284" s="212">
        <v>42629</v>
      </c>
      <c r="K284" s="158"/>
      <c r="L284" s="158"/>
      <c r="M284" s="158">
        <v>43</v>
      </c>
      <c r="N284" s="158"/>
      <c r="O284" s="158">
        <v>43</v>
      </c>
      <c r="P284" s="158">
        <v>2980419676</v>
      </c>
      <c r="Q284" s="158"/>
      <c r="R284" s="158"/>
      <c r="S284" s="158"/>
      <c r="T284" s="158"/>
      <c r="U284" s="649">
        <v>1251710388</v>
      </c>
      <c r="V284" s="158">
        <v>20</v>
      </c>
      <c r="W284" s="158"/>
      <c r="X284" s="158"/>
      <c r="Y284" s="158"/>
      <c r="Z284" s="94"/>
      <c r="AA284" s="158"/>
      <c r="AB284" s="158"/>
      <c r="AC284" s="158"/>
      <c r="AD284" s="158"/>
      <c r="AE284" s="158"/>
      <c r="AF284" s="158">
        <f>P284-U284-Z284-1728709288</f>
        <v>0</v>
      </c>
      <c r="AG284" s="158"/>
      <c r="AH284" s="158">
        <v>1728709288</v>
      </c>
      <c r="AI284" s="158">
        <v>1728709288</v>
      </c>
      <c r="AJ284" s="158"/>
      <c r="AK284" s="602">
        <f t="shared" ref="AK284" si="63">P284-R284-U284-Z284</f>
        <v>1728709288</v>
      </c>
      <c r="AL284" s="72">
        <v>877</v>
      </c>
      <c r="AM284" s="175">
        <v>10</v>
      </c>
      <c r="AN284" s="158"/>
      <c r="AO284" s="158"/>
      <c r="AP284" s="158"/>
      <c r="AQ284" s="158">
        <v>43</v>
      </c>
      <c r="AR284" s="158"/>
      <c r="AS284" s="158"/>
      <c r="AT284" s="2">
        <v>0.1211</v>
      </c>
      <c r="AU284" s="58" t="s">
        <v>942</v>
      </c>
      <c r="AV284" s="104" t="s">
        <v>1299</v>
      </c>
      <c r="AW284" s="158"/>
      <c r="AX284" s="158"/>
      <c r="AY284" s="158"/>
      <c r="AZ284" s="158"/>
      <c r="BA284" s="158"/>
      <c r="BB284" s="158"/>
      <c r="BC284" s="69"/>
      <c r="BD284" s="69"/>
      <c r="BE284" s="69"/>
      <c r="BF284" s="271"/>
      <c r="BG284" s="271">
        <v>2019</v>
      </c>
      <c r="BH284" s="271">
        <v>2020</v>
      </c>
      <c r="BI284" s="271" t="s">
        <v>2375</v>
      </c>
    </row>
    <row r="285" spans="1:61" s="204" customFormat="1" ht="15" customHeight="1">
      <c r="A285" s="160" t="s">
        <v>505</v>
      </c>
      <c r="B285" s="58" t="s">
        <v>129</v>
      </c>
      <c r="C285" s="148" t="s">
        <v>137</v>
      </c>
      <c r="D285" s="1" t="s">
        <v>16</v>
      </c>
      <c r="E285" s="1"/>
      <c r="F285" s="1"/>
      <c r="G285" s="1"/>
      <c r="H285" s="30" t="s">
        <v>635</v>
      </c>
      <c r="I285" s="30"/>
      <c r="J285" s="212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649"/>
      <c r="V285" s="158"/>
      <c r="W285" s="158"/>
      <c r="X285" s="158"/>
      <c r="Y285" s="158"/>
      <c r="Z285" s="94"/>
      <c r="AA285" s="158"/>
      <c r="AB285" s="158"/>
      <c r="AC285" s="158"/>
      <c r="AD285" s="158"/>
      <c r="AE285" s="158"/>
      <c r="AF285" s="158"/>
      <c r="AG285" s="158"/>
      <c r="AH285" s="158"/>
      <c r="AI285" s="158"/>
      <c r="AJ285" s="158"/>
      <c r="AK285" s="158"/>
      <c r="AL285" s="158"/>
      <c r="AM285" s="158"/>
      <c r="AN285" s="158"/>
      <c r="AO285" s="158"/>
      <c r="AP285" s="158"/>
      <c r="AQ285" s="158"/>
      <c r="AR285" s="158"/>
      <c r="AS285" s="158"/>
      <c r="AT285" s="2">
        <v>1</v>
      </c>
      <c r="AU285" s="58" t="s">
        <v>646</v>
      </c>
      <c r="AV285" s="104"/>
      <c r="AW285" s="158"/>
      <c r="AX285" s="158">
        <f>43-1</f>
        <v>42</v>
      </c>
      <c r="AY285" s="158"/>
      <c r="AZ285" s="158"/>
      <c r="BA285" s="158"/>
      <c r="BB285" s="158"/>
      <c r="BC285" s="69"/>
      <c r="BD285" s="69"/>
      <c r="BE285" s="69"/>
      <c r="BF285" s="271">
        <v>2017</v>
      </c>
      <c r="BG285" s="271"/>
      <c r="BH285" s="271"/>
      <c r="BI285" s="271" t="s">
        <v>2376</v>
      </c>
    </row>
    <row r="286" spans="1:61" s="204" customFormat="1" ht="15" customHeight="1">
      <c r="A286" s="160" t="s">
        <v>505</v>
      </c>
      <c r="B286" s="58" t="s">
        <v>129</v>
      </c>
      <c r="C286" s="148" t="s">
        <v>137</v>
      </c>
      <c r="D286" s="1" t="s">
        <v>16</v>
      </c>
      <c r="E286" s="1"/>
      <c r="F286" s="1"/>
      <c r="G286" s="1"/>
      <c r="H286" s="30" t="s">
        <v>635</v>
      </c>
      <c r="I286" s="30"/>
      <c r="J286" s="212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649"/>
      <c r="V286" s="158"/>
      <c r="W286" s="158"/>
      <c r="X286" s="158"/>
      <c r="Y286" s="158"/>
      <c r="Z286" s="94"/>
      <c r="AA286" s="158"/>
      <c r="AB286" s="158"/>
      <c r="AC286" s="158"/>
      <c r="AD286" s="158"/>
      <c r="AE286" s="158"/>
      <c r="AF286" s="158"/>
      <c r="AG286" s="158"/>
      <c r="AH286" s="158"/>
      <c r="AI286" s="158"/>
      <c r="AJ286" s="158"/>
      <c r="AK286" s="158"/>
      <c r="AL286" s="158"/>
      <c r="AM286" s="158"/>
      <c r="AN286" s="158"/>
      <c r="AO286" s="158"/>
      <c r="AP286" s="158"/>
      <c r="AQ286" s="158"/>
      <c r="AR286" s="158"/>
      <c r="AS286" s="158"/>
      <c r="AT286" s="2">
        <v>1</v>
      </c>
      <c r="AU286" s="58" t="s">
        <v>646</v>
      </c>
      <c r="AV286" s="104" t="s">
        <v>1110</v>
      </c>
      <c r="AW286" s="158" t="s">
        <v>0</v>
      </c>
      <c r="AX286" s="158"/>
      <c r="AY286" s="72">
        <v>1</v>
      </c>
      <c r="AZ286" s="158"/>
      <c r="BA286" s="158"/>
      <c r="BB286" s="158">
        <v>1</v>
      </c>
      <c r="BC286" s="69"/>
      <c r="BD286" s="69"/>
      <c r="BE286" s="69"/>
      <c r="BF286" s="271">
        <v>2018</v>
      </c>
      <c r="BG286" s="271"/>
      <c r="BH286" s="271"/>
      <c r="BI286" s="271" t="s">
        <v>2376</v>
      </c>
    </row>
    <row r="287" spans="1:61" s="204" customFormat="1" ht="15" customHeight="1">
      <c r="A287" s="160" t="s">
        <v>505</v>
      </c>
      <c r="B287" s="58" t="s">
        <v>139</v>
      </c>
      <c r="C287" s="148" t="s">
        <v>138</v>
      </c>
      <c r="D287" s="1" t="s">
        <v>43</v>
      </c>
      <c r="E287" s="1"/>
      <c r="F287" s="1"/>
      <c r="G287" s="1"/>
      <c r="H287" s="30" t="s">
        <v>635</v>
      </c>
      <c r="I287" s="30"/>
      <c r="J287" s="212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649"/>
      <c r="V287" s="158"/>
      <c r="W287" s="158"/>
      <c r="X287" s="158"/>
      <c r="Y287" s="158"/>
      <c r="Z287" s="94"/>
      <c r="AA287" s="158"/>
      <c r="AB287" s="158"/>
      <c r="AC287" s="158"/>
      <c r="AD287" s="158"/>
      <c r="AE287" s="158"/>
      <c r="AF287" s="158"/>
      <c r="AG287" s="158"/>
      <c r="AH287" s="158"/>
      <c r="AI287" s="158"/>
      <c r="AJ287" s="158"/>
      <c r="AK287" s="158"/>
      <c r="AL287" s="158"/>
      <c r="AM287" s="158"/>
      <c r="AN287" s="158"/>
      <c r="AO287" s="158"/>
      <c r="AP287" s="158"/>
      <c r="AQ287" s="158"/>
      <c r="AR287" s="158"/>
      <c r="AS287" s="158"/>
      <c r="AT287" s="2">
        <v>1</v>
      </c>
      <c r="AU287" s="58" t="s">
        <v>646</v>
      </c>
      <c r="AV287" s="104"/>
      <c r="AW287" s="158"/>
      <c r="AX287" s="158"/>
      <c r="AY287" s="72">
        <v>71</v>
      </c>
      <c r="AZ287" s="158"/>
      <c r="BA287" s="158"/>
      <c r="BB287" s="158">
        <v>71</v>
      </c>
      <c r="BC287" s="69"/>
      <c r="BD287" s="69"/>
      <c r="BE287" s="69"/>
      <c r="BF287" s="271">
        <v>2018</v>
      </c>
      <c r="BG287" s="271"/>
      <c r="BH287" s="271"/>
      <c r="BI287" s="271" t="s">
        <v>2376</v>
      </c>
    </row>
    <row r="288" spans="1:61" s="204" customFormat="1" ht="39" customHeight="1">
      <c r="A288" s="230" t="s">
        <v>505</v>
      </c>
      <c r="B288" s="58" t="s">
        <v>126</v>
      </c>
      <c r="C288" s="148" t="s">
        <v>1111</v>
      </c>
      <c r="D288" s="28" t="s">
        <v>119</v>
      </c>
      <c r="E288" s="28"/>
      <c r="F288" s="28"/>
      <c r="G288" s="28"/>
      <c r="H288" s="30" t="s">
        <v>630</v>
      </c>
      <c r="I288" s="115" t="s">
        <v>1667</v>
      </c>
      <c r="J288" s="215" t="s">
        <v>1668</v>
      </c>
      <c r="K288" s="158"/>
      <c r="L288" s="158"/>
      <c r="M288" s="158"/>
      <c r="N288" s="158"/>
      <c r="O288" s="158"/>
      <c r="P288" s="158">
        <v>1651631649</v>
      </c>
      <c r="Q288" s="158">
        <f>P288/AY288</f>
        <v>61171542.555555552</v>
      </c>
      <c r="R288" s="158"/>
      <c r="S288" s="158"/>
      <c r="T288" s="158"/>
      <c r="U288" s="649"/>
      <c r="V288" s="158"/>
      <c r="W288" s="158"/>
      <c r="X288" s="158"/>
      <c r="Y288" s="158"/>
      <c r="Z288" s="94"/>
      <c r="AA288" s="158"/>
      <c r="AB288" s="5"/>
      <c r="AC288" s="5"/>
      <c r="AD288" s="5"/>
      <c r="AE288" s="158"/>
      <c r="AF288" s="158"/>
      <c r="AG288" s="158"/>
      <c r="AH288" s="158"/>
      <c r="AI288" s="158"/>
      <c r="AJ288" s="158"/>
      <c r="AK288" s="158"/>
      <c r="AL288" s="158"/>
      <c r="AM288" s="158"/>
      <c r="AN288" s="158"/>
      <c r="AO288" s="158"/>
      <c r="AP288" s="158"/>
      <c r="AQ288" s="11"/>
      <c r="AR288" s="11"/>
      <c r="AS288" s="11"/>
      <c r="AT288" s="2">
        <v>1</v>
      </c>
      <c r="AU288" s="58" t="s">
        <v>646</v>
      </c>
      <c r="AV288" s="104"/>
      <c r="AW288" s="158"/>
      <c r="AX288" s="11"/>
      <c r="AY288" s="72">
        <v>27</v>
      </c>
      <c r="AZ288" s="158"/>
      <c r="BA288" s="158"/>
      <c r="BB288" s="158">
        <v>27</v>
      </c>
      <c r="BC288" s="69"/>
      <c r="BD288" s="69"/>
      <c r="BE288" s="69"/>
      <c r="BF288" s="271">
        <v>2018</v>
      </c>
      <c r="BG288" s="271"/>
      <c r="BH288" s="271"/>
      <c r="BI288" s="271" t="s">
        <v>2376</v>
      </c>
    </row>
    <row r="289" spans="1:61" s="204" customFormat="1" ht="37.5" customHeight="1">
      <c r="A289" s="160" t="s">
        <v>505</v>
      </c>
      <c r="B289" s="58" t="s">
        <v>126</v>
      </c>
      <c r="C289" s="148" t="s">
        <v>1111</v>
      </c>
      <c r="D289" s="58" t="s">
        <v>119</v>
      </c>
      <c r="E289" s="58"/>
      <c r="F289" s="58"/>
      <c r="G289" s="58"/>
      <c r="H289" s="30" t="s">
        <v>630</v>
      </c>
      <c r="I289" s="115" t="s">
        <v>1667</v>
      </c>
      <c r="J289" s="215" t="s">
        <v>1668</v>
      </c>
      <c r="K289" s="158"/>
      <c r="L289" s="158"/>
      <c r="M289" s="158">
        <v>0</v>
      </c>
      <c r="N289" s="158"/>
      <c r="O289" s="158"/>
      <c r="P289" s="158">
        <v>61171543</v>
      </c>
      <c r="Q289" s="158">
        <f>P289/BE289</f>
        <v>61171543</v>
      </c>
      <c r="R289" s="158"/>
      <c r="S289" s="158"/>
      <c r="T289" s="158"/>
      <c r="U289" s="649"/>
      <c r="V289" s="158"/>
      <c r="W289" s="158"/>
      <c r="X289" s="158"/>
      <c r="Y289" s="158"/>
      <c r="Z289" s="94"/>
      <c r="AA289" s="69"/>
      <c r="AB289" s="69"/>
      <c r="AC289" s="69"/>
      <c r="AD289" s="69">
        <v>61171543</v>
      </c>
      <c r="AE289" s="158"/>
      <c r="AF289" s="158">
        <f>P289-U289-Z289-AD289</f>
        <v>0</v>
      </c>
      <c r="AG289" s="158"/>
      <c r="AH289" s="158"/>
      <c r="AI289" s="158"/>
      <c r="AJ289" s="158"/>
      <c r="AK289" s="158"/>
      <c r="AL289" s="158">
        <v>877</v>
      </c>
      <c r="AM289" s="158">
        <v>10</v>
      </c>
      <c r="AN289" s="158"/>
      <c r="AO289" s="158"/>
      <c r="AP289" s="11"/>
      <c r="AQ289" s="11"/>
      <c r="AR289" s="11"/>
      <c r="AS289" s="12"/>
      <c r="AT289" s="2">
        <v>0</v>
      </c>
      <c r="AU289" s="1" t="s">
        <v>687</v>
      </c>
      <c r="AV289" s="104" t="s">
        <v>1370</v>
      </c>
      <c r="AW289" s="158"/>
      <c r="AX289" s="11"/>
      <c r="AY289" s="11"/>
      <c r="AZ289" s="11"/>
      <c r="BA289" s="11"/>
      <c r="BB289" s="11"/>
      <c r="BC289" s="70"/>
      <c r="BD289" s="70"/>
      <c r="BE289" s="69">
        <v>1</v>
      </c>
      <c r="BF289" s="271" t="s">
        <v>1704</v>
      </c>
      <c r="BG289" s="271"/>
      <c r="BH289" s="271"/>
      <c r="BI289" s="271" t="s">
        <v>2376</v>
      </c>
    </row>
    <row r="290" spans="1:61" s="204" customFormat="1" ht="15" customHeight="1">
      <c r="A290" s="248" t="s">
        <v>505</v>
      </c>
      <c r="B290" s="58" t="s">
        <v>755</v>
      </c>
      <c r="C290" s="148" t="s">
        <v>922</v>
      </c>
      <c r="D290" s="251" t="s">
        <v>61</v>
      </c>
      <c r="E290" s="251"/>
      <c r="F290" s="251"/>
      <c r="G290" s="251"/>
      <c r="H290" s="30" t="s">
        <v>630</v>
      </c>
      <c r="I290" s="30"/>
      <c r="J290" s="212"/>
      <c r="K290" s="158"/>
      <c r="L290" s="158"/>
      <c r="M290" s="158"/>
      <c r="N290" s="158"/>
      <c r="O290" s="158"/>
      <c r="P290" s="158"/>
      <c r="Q290" s="158">
        <f t="shared" ref="Q290:Q291" si="64">P290/AY290</f>
        <v>0</v>
      </c>
      <c r="R290" s="158"/>
      <c r="S290" s="158"/>
      <c r="T290" s="158"/>
      <c r="U290" s="649"/>
      <c r="V290" s="158"/>
      <c r="W290" s="158"/>
      <c r="X290" s="158"/>
      <c r="Y290" s="158"/>
      <c r="Z290" s="94"/>
      <c r="AA290" s="158"/>
      <c r="AB290" s="92"/>
      <c r="AC290" s="92"/>
      <c r="AD290" s="92"/>
      <c r="AE290" s="158"/>
      <c r="AF290" s="158"/>
      <c r="AG290" s="158"/>
      <c r="AH290" s="158"/>
      <c r="AI290" s="158"/>
      <c r="AJ290" s="158"/>
      <c r="AK290" s="158"/>
      <c r="AL290" s="158"/>
      <c r="AM290" s="158"/>
      <c r="AN290" s="158"/>
      <c r="AO290" s="158"/>
      <c r="AP290" s="158"/>
      <c r="AQ290" s="158"/>
      <c r="AR290" s="158"/>
      <c r="AS290" s="158"/>
      <c r="AT290" s="2">
        <v>1</v>
      </c>
      <c r="AU290" s="58" t="s">
        <v>646</v>
      </c>
      <c r="AV290" s="104"/>
      <c r="AW290" s="158"/>
      <c r="AX290" s="158"/>
      <c r="AY290" s="72">
        <v>5</v>
      </c>
      <c r="AZ290" s="158"/>
      <c r="BA290" s="158"/>
      <c r="BB290" s="158">
        <v>5</v>
      </c>
      <c r="BC290" s="69"/>
      <c r="BD290" s="69"/>
      <c r="BE290" s="69"/>
      <c r="BF290" s="271">
        <v>2018</v>
      </c>
      <c r="BG290" s="271"/>
      <c r="BH290" s="271"/>
      <c r="BI290" s="271" t="s">
        <v>2376</v>
      </c>
    </row>
    <row r="291" spans="1:61" s="204" customFormat="1" ht="15" customHeight="1">
      <c r="A291" s="160" t="s">
        <v>505</v>
      </c>
      <c r="B291" s="58" t="s">
        <v>755</v>
      </c>
      <c r="C291" s="148" t="s">
        <v>756</v>
      </c>
      <c r="D291" s="58" t="s">
        <v>61</v>
      </c>
      <c r="E291" s="58"/>
      <c r="F291" s="58"/>
      <c r="G291" s="58"/>
      <c r="H291" s="30" t="s">
        <v>630</v>
      </c>
      <c r="I291" s="30"/>
      <c r="J291" s="212"/>
      <c r="K291" s="158"/>
      <c r="L291" s="158"/>
      <c r="M291" s="158"/>
      <c r="N291" s="158"/>
      <c r="O291" s="158"/>
      <c r="P291" s="158"/>
      <c r="Q291" s="158">
        <f t="shared" si="64"/>
        <v>0</v>
      </c>
      <c r="R291" s="158"/>
      <c r="S291" s="158"/>
      <c r="T291" s="158"/>
      <c r="U291" s="649"/>
      <c r="V291" s="158"/>
      <c r="W291" s="158"/>
      <c r="X291" s="158"/>
      <c r="Y291" s="158"/>
      <c r="Z291" s="94"/>
      <c r="AA291" s="158"/>
      <c r="AB291" s="158"/>
      <c r="AC291" s="158"/>
      <c r="AD291" s="158"/>
      <c r="AE291" s="158"/>
      <c r="AF291" s="158"/>
      <c r="AG291" s="158"/>
      <c r="AH291" s="158"/>
      <c r="AI291" s="158"/>
      <c r="AJ291" s="158"/>
      <c r="AK291" s="158"/>
      <c r="AL291" s="158"/>
      <c r="AM291" s="158"/>
      <c r="AN291" s="158"/>
      <c r="AO291" s="158"/>
      <c r="AP291" s="158"/>
      <c r="AQ291" s="158"/>
      <c r="AR291" s="158"/>
      <c r="AS291" s="158"/>
      <c r="AT291" s="2">
        <v>1</v>
      </c>
      <c r="AU291" s="58" t="s">
        <v>646</v>
      </c>
      <c r="AV291" s="104"/>
      <c r="AW291" s="158"/>
      <c r="AX291" s="158"/>
      <c r="AY291" s="72">
        <v>4</v>
      </c>
      <c r="AZ291" s="158"/>
      <c r="BA291" s="158"/>
      <c r="BB291" s="158">
        <v>4</v>
      </c>
      <c r="BC291" s="69"/>
      <c r="BD291" s="69"/>
      <c r="BE291" s="69"/>
      <c r="BF291" s="271">
        <v>2018</v>
      </c>
      <c r="BG291" s="271"/>
      <c r="BH291" s="271"/>
      <c r="BI291" s="271" t="s">
        <v>2376</v>
      </c>
    </row>
    <row r="292" spans="1:61" s="204" customFormat="1" ht="15" customHeight="1">
      <c r="A292" s="160" t="s">
        <v>505</v>
      </c>
      <c r="B292" s="58" t="s">
        <v>123</v>
      </c>
      <c r="C292" s="148" t="s">
        <v>757</v>
      </c>
      <c r="D292" s="58" t="s">
        <v>925</v>
      </c>
      <c r="E292" s="58"/>
      <c r="F292" s="58"/>
      <c r="G292" s="58"/>
      <c r="H292" s="30" t="s">
        <v>713</v>
      </c>
      <c r="I292" s="30"/>
      <c r="J292" s="212"/>
      <c r="K292" s="158"/>
      <c r="L292" s="158"/>
      <c r="M292" s="158"/>
      <c r="N292" s="158"/>
      <c r="O292" s="158"/>
      <c r="P292" s="158"/>
      <c r="Q292" s="158"/>
      <c r="R292" s="158"/>
      <c r="S292" s="158"/>
      <c r="T292" s="158"/>
      <c r="U292" s="649"/>
      <c r="V292" s="158"/>
      <c r="W292" s="158"/>
      <c r="X292" s="158"/>
      <c r="Y292" s="158"/>
      <c r="Z292" s="94"/>
      <c r="AA292" s="158"/>
      <c r="AB292" s="158"/>
      <c r="AC292" s="158"/>
      <c r="AD292" s="158"/>
      <c r="AE292" s="158"/>
      <c r="AF292" s="158"/>
      <c r="AG292" s="158"/>
      <c r="AH292" s="158"/>
      <c r="AI292" s="158"/>
      <c r="AJ292" s="158"/>
      <c r="AK292" s="158"/>
      <c r="AL292" s="158"/>
      <c r="AM292" s="158"/>
      <c r="AN292" s="158"/>
      <c r="AO292" s="158"/>
      <c r="AP292" s="158"/>
      <c r="AQ292" s="158"/>
      <c r="AR292" s="158"/>
      <c r="AS292" s="158"/>
      <c r="AT292" s="2">
        <v>1</v>
      </c>
      <c r="AU292" s="58" t="s">
        <v>646</v>
      </c>
      <c r="AV292" s="104"/>
      <c r="AW292" s="158"/>
      <c r="AX292" s="158"/>
      <c r="AY292" s="158">
        <v>14</v>
      </c>
      <c r="AZ292" s="96"/>
      <c r="BA292" s="96"/>
      <c r="BB292" s="158"/>
      <c r="BC292" s="69">
        <v>14</v>
      </c>
      <c r="BD292" s="69">
        <v>14</v>
      </c>
      <c r="BE292" s="69"/>
      <c r="BF292" s="271">
        <v>2018</v>
      </c>
      <c r="BG292" s="271"/>
      <c r="BH292" s="271"/>
      <c r="BI292" s="271" t="s">
        <v>2375</v>
      </c>
    </row>
    <row r="293" spans="1:61" s="204" customFormat="1" ht="18" customHeight="1">
      <c r="A293" s="160" t="s">
        <v>505</v>
      </c>
      <c r="B293" s="58" t="s">
        <v>1146</v>
      </c>
      <c r="C293" s="148" t="s">
        <v>835</v>
      </c>
      <c r="D293" s="58" t="s">
        <v>723</v>
      </c>
      <c r="E293" s="58"/>
      <c r="F293" s="58"/>
      <c r="G293" s="58"/>
      <c r="H293" s="30" t="s">
        <v>715</v>
      </c>
      <c r="I293" s="30">
        <v>2563</v>
      </c>
      <c r="J293" s="212">
        <v>43049</v>
      </c>
      <c r="K293" s="158"/>
      <c r="L293" s="158">
        <v>52</v>
      </c>
      <c r="M293" s="158"/>
      <c r="N293" s="158"/>
      <c r="O293" s="158"/>
      <c r="P293" s="158"/>
      <c r="Q293" s="158"/>
      <c r="R293" s="158"/>
      <c r="S293" s="158"/>
      <c r="T293" s="158"/>
      <c r="U293" s="649"/>
      <c r="V293" s="158"/>
      <c r="W293" s="158"/>
      <c r="X293" s="158"/>
      <c r="Y293" s="158"/>
      <c r="Z293" s="94"/>
      <c r="AA293" s="158"/>
      <c r="AB293" s="415"/>
      <c r="AC293" s="158"/>
      <c r="AD293" s="158"/>
      <c r="AE293" s="158"/>
      <c r="AF293" s="158">
        <f t="shared" ref="AF293:AF299" si="65">P293-U293-Z293</f>
        <v>0</v>
      </c>
      <c r="AG293" s="158"/>
      <c r="AH293" s="94">
        <v>0</v>
      </c>
      <c r="AI293" s="94">
        <v>0</v>
      </c>
      <c r="AJ293" s="94"/>
      <c r="AK293" s="158">
        <f t="shared" ref="AK293:AK296" si="66">AF293+AH293</f>
        <v>0</v>
      </c>
      <c r="AL293" s="158"/>
      <c r="AM293" s="158"/>
      <c r="AN293" s="158"/>
      <c r="AO293" s="158"/>
      <c r="AP293" s="158"/>
      <c r="AQ293" s="11"/>
      <c r="AR293" s="11"/>
      <c r="AS293" s="11"/>
      <c r="AT293" s="2">
        <v>1</v>
      </c>
      <c r="AU293" s="58" t="s">
        <v>646</v>
      </c>
      <c r="AV293" s="104"/>
      <c r="AW293" s="158"/>
      <c r="AX293" s="158"/>
      <c r="AY293" s="11"/>
      <c r="AZ293" s="158">
        <v>52</v>
      </c>
      <c r="BA293" s="158"/>
      <c r="BB293" s="158"/>
      <c r="BC293" s="69"/>
      <c r="BD293" s="69">
        <v>52</v>
      </c>
      <c r="BE293" s="69"/>
      <c r="BF293" s="271">
        <v>2019</v>
      </c>
      <c r="BG293" s="271">
        <v>2019</v>
      </c>
      <c r="BH293" s="271"/>
      <c r="BI293" s="271" t="s">
        <v>2375</v>
      </c>
    </row>
    <row r="294" spans="1:61" s="204" customFormat="1" ht="28.5" customHeight="1">
      <c r="A294" s="160" t="s">
        <v>505</v>
      </c>
      <c r="B294" s="58" t="s">
        <v>132</v>
      </c>
      <c r="C294" s="55" t="s">
        <v>1073</v>
      </c>
      <c r="D294" s="58" t="s">
        <v>149</v>
      </c>
      <c r="E294" s="58"/>
      <c r="F294" s="58"/>
      <c r="G294" s="58"/>
      <c r="H294" s="30" t="s">
        <v>715</v>
      </c>
      <c r="I294" s="115" t="s">
        <v>1468</v>
      </c>
      <c r="J294" s="215" t="s">
        <v>1467</v>
      </c>
      <c r="K294" s="158"/>
      <c r="L294" s="158">
        <v>30</v>
      </c>
      <c r="M294" s="158"/>
      <c r="N294" s="158">
        <v>30</v>
      </c>
      <c r="O294" s="158"/>
      <c r="P294" s="158">
        <v>2088709771</v>
      </c>
      <c r="Q294" s="158"/>
      <c r="R294" s="158"/>
      <c r="S294" s="158"/>
      <c r="T294" s="158"/>
      <c r="U294" s="158">
        <v>896537970</v>
      </c>
      <c r="V294" s="158">
        <v>30</v>
      </c>
      <c r="W294" s="158"/>
      <c r="X294" s="158"/>
      <c r="Y294" s="158"/>
      <c r="Z294" s="94">
        <f>-1192171801+1192171801</f>
        <v>0</v>
      </c>
      <c r="AA294" s="158">
        <v>10</v>
      </c>
      <c r="AB294" s="415" t="s">
        <v>2374</v>
      </c>
      <c r="AC294" s="311"/>
      <c r="AD294" s="158"/>
      <c r="AE294" s="158"/>
      <c r="AF294" s="158">
        <f>P294-U294-Z294</f>
        <v>1192171801</v>
      </c>
      <c r="AG294" s="158"/>
      <c r="AH294" s="94">
        <v>0</v>
      </c>
      <c r="AI294" s="94">
        <v>0</v>
      </c>
      <c r="AJ294" s="94"/>
      <c r="AK294" s="158">
        <f t="shared" ref="AK294" si="67">P294-R294-U294-Z294</f>
        <v>1192171801</v>
      </c>
      <c r="AL294" s="158">
        <v>877</v>
      </c>
      <c r="AM294" s="158">
        <v>10</v>
      </c>
      <c r="AN294" s="158"/>
      <c r="AO294" s="158">
        <v>30</v>
      </c>
      <c r="AP294" s="158"/>
      <c r="AQ294" s="158"/>
      <c r="AR294" s="158"/>
      <c r="AS294" s="158"/>
      <c r="AT294" s="2">
        <v>0.95</v>
      </c>
      <c r="AU294" s="58" t="s">
        <v>38</v>
      </c>
      <c r="AV294" s="104"/>
      <c r="AW294" s="158"/>
      <c r="AX294" s="158"/>
      <c r="AY294" s="158"/>
      <c r="AZ294" s="158"/>
      <c r="BA294" s="158"/>
      <c r="BB294" s="158"/>
      <c r="BC294" s="69"/>
      <c r="BD294" s="69"/>
      <c r="BE294" s="69"/>
      <c r="BF294" s="271"/>
      <c r="BG294" s="271">
        <v>2019</v>
      </c>
      <c r="BH294" s="430">
        <v>2020</v>
      </c>
      <c r="BI294" s="271" t="s">
        <v>2375</v>
      </c>
    </row>
    <row r="295" spans="1:61" s="204" customFormat="1" ht="22.5" customHeight="1">
      <c r="A295" s="160" t="s">
        <v>505</v>
      </c>
      <c r="B295" s="58" t="s">
        <v>123</v>
      </c>
      <c r="C295" s="55" t="s">
        <v>1145</v>
      </c>
      <c r="D295" s="58" t="s">
        <v>1021</v>
      </c>
      <c r="E295" s="58"/>
      <c r="F295" s="58"/>
      <c r="G295" s="58"/>
      <c r="H295" s="30" t="s">
        <v>1113</v>
      </c>
      <c r="I295" s="82">
        <v>737</v>
      </c>
      <c r="J295" s="212">
        <v>43453</v>
      </c>
      <c r="K295" s="158">
        <v>11</v>
      </c>
      <c r="L295" s="158">
        <v>11</v>
      </c>
      <c r="M295" s="158"/>
      <c r="N295" s="158"/>
      <c r="O295" s="158"/>
      <c r="P295" s="158">
        <v>823564500</v>
      </c>
      <c r="Q295" s="158"/>
      <c r="R295" s="158"/>
      <c r="S295" s="158"/>
      <c r="T295" s="158"/>
      <c r="U295" s="158">
        <v>425313460</v>
      </c>
      <c r="V295" s="158">
        <v>10</v>
      </c>
      <c r="W295" s="311">
        <v>43435</v>
      </c>
      <c r="X295" s="158"/>
      <c r="Y295" s="158"/>
      <c r="Z295" s="94">
        <v>398251040</v>
      </c>
      <c r="AA295" s="158">
        <v>10</v>
      </c>
      <c r="AB295" s="311">
        <v>43586</v>
      </c>
      <c r="AC295" s="311"/>
      <c r="AD295" s="158"/>
      <c r="AE295" s="158"/>
      <c r="AF295" s="158">
        <f t="shared" si="65"/>
        <v>0</v>
      </c>
      <c r="AG295" s="158"/>
      <c r="AH295" s="94">
        <v>0</v>
      </c>
      <c r="AI295" s="94">
        <v>0</v>
      </c>
      <c r="AJ295" s="94"/>
      <c r="AK295" s="158">
        <f t="shared" si="66"/>
        <v>0</v>
      </c>
      <c r="AL295" s="158">
        <v>877</v>
      </c>
      <c r="AM295" s="158">
        <v>10</v>
      </c>
      <c r="AN295" s="158"/>
      <c r="AO295" s="158"/>
      <c r="AP295" s="158"/>
      <c r="AQ295" s="158"/>
      <c r="AR295" s="158"/>
      <c r="AS295" s="158"/>
      <c r="AT295" s="2">
        <v>1</v>
      </c>
      <c r="AU295" s="58" t="s">
        <v>646</v>
      </c>
      <c r="AV295" s="104"/>
      <c r="AW295" s="158"/>
      <c r="AX295" s="158"/>
      <c r="AY295" s="158"/>
      <c r="AZ295" s="158">
        <v>11</v>
      </c>
      <c r="BA295" s="158"/>
      <c r="BB295" s="158"/>
      <c r="BC295" s="69"/>
      <c r="BD295" s="69">
        <v>11</v>
      </c>
      <c r="BE295" s="69"/>
      <c r="BF295" s="271">
        <v>2019</v>
      </c>
      <c r="BG295" s="271">
        <v>2019</v>
      </c>
      <c r="BH295" s="271"/>
      <c r="BI295" s="271" t="s">
        <v>2375</v>
      </c>
    </row>
    <row r="296" spans="1:61" s="204" customFormat="1" ht="18" customHeight="1">
      <c r="A296" s="230" t="s">
        <v>505</v>
      </c>
      <c r="B296" s="58" t="s">
        <v>1146</v>
      </c>
      <c r="C296" s="148" t="s">
        <v>1156</v>
      </c>
      <c r="D296" s="28" t="s">
        <v>13</v>
      </c>
      <c r="E296" s="28"/>
      <c r="F296" s="28"/>
      <c r="G296" s="28"/>
      <c r="H296" s="30" t="s">
        <v>1113</v>
      </c>
      <c r="I296" s="82">
        <v>768</v>
      </c>
      <c r="J296" s="212">
        <v>43455</v>
      </c>
      <c r="K296" s="158">
        <f>41-3</f>
        <v>38</v>
      </c>
      <c r="L296" s="158">
        <v>38</v>
      </c>
      <c r="M296" s="158"/>
      <c r="N296" s="158"/>
      <c r="O296" s="158"/>
      <c r="P296" s="158">
        <f>2697368572-197368433</f>
        <v>2500000139</v>
      </c>
      <c r="Q296" s="158"/>
      <c r="R296" s="158"/>
      <c r="S296" s="158"/>
      <c r="T296" s="158"/>
      <c r="U296" s="158">
        <v>1361659735</v>
      </c>
      <c r="V296" s="158">
        <v>10</v>
      </c>
      <c r="W296" s="311">
        <v>43497</v>
      </c>
      <c r="X296" s="311"/>
      <c r="Y296" s="311"/>
      <c r="Z296" s="94">
        <v>1138340404</v>
      </c>
      <c r="AA296" s="158">
        <v>10</v>
      </c>
      <c r="AB296" s="311">
        <v>43617</v>
      </c>
      <c r="AC296" s="329"/>
      <c r="AD296" s="5"/>
      <c r="AE296" s="158"/>
      <c r="AF296" s="158">
        <f t="shared" si="65"/>
        <v>0</v>
      </c>
      <c r="AG296" s="158"/>
      <c r="AH296" s="94">
        <v>0</v>
      </c>
      <c r="AI296" s="94">
        <v>0</v>
      </c>
      <c r="AJ296" s="94"/>
      <c r="AK296" s="158">
        <f t="shared" si="66"/>
        <v>0</v>
      </c>
      <c r="AL296" s="158">
        <v>877</v>
      </c>
      <c r="AM296" s="158">
        <v>10</v>
      </c>
      <c r="AN296" s="158"/>
      <c r="AO296" s="158"/>
      <c r="AP296" s="158"/>
      <c r="AQ296" s="158"/>
      <c r="AR296" s="158"/>
      <c r="AS296" s="158"/>
      <c r="AT296" s="2">
        <v>1</v>
      </c>
      <c r="AU296" s="58" t="s">
        <v>646</v>
      </c>
      <c r="AV296" s="104" t="s">
        <v>1709</v>
      </c>
      <c r="AW296" s="158"/>
      <c r="AX296" s="158"/>
      <c r="AY296" s="158"/>
      <c r="AZ296" s="158">
        <v>38</v>
      </c>
      <c r="BA296" s="158"/>
      <c r="BB296" s="158"/>
      <c r="BC296" s="69"/>
      <c r="BD296" s="69">
        <v>38</v>
      </c>
      <c r="BE296" s="69"/>
      <c r="BF296" s="271">
        <v>2019</v>
      </c>
      <c r="BG296" s="271">
        <v>2019</v>
      </c>
      <c r="BH296" s="271"/>
      <c r="BI296" s="271" t="s">
        <v>2375</v>
      </c>
    </row>
    <row r="297" spans="1:61" s="204" customFormat="1" ht="24.75" customHeight="1">
      <c r="A297" s="160" t="s">
        <v>505</v>
      </c>
      <c r="B297" s="88" t="s">
        <v>1146</v>
      </c>
      <c r="C297" s="148" t="s">
        <v>1156</v>
      </c>
      <c r="D297" s="58" t="s">
        <v>13</v>
      </c>
      <c r="E297" s="58"/>
      <c r="F297" s="58"/>
      <c r="G297" s="58"/>
      <c r="H297" s="30" t="s">
        <v>1113</v>
      </c>
      <c r="I297" s="272">
        <v>768</v>
      </c>
      <c r="J297" s="212">
        <v>43455</v>
      </c>
      <c r="K297" s="158">
        <v>3</v>
      </c>
      <c r="L297" s="158">
        <v>3</v>
      </c>
      <c r="M297" s="158"/>
      <c r="N297" s="158"/>
      <c r="O297" s="158">
        <v>3</v>
      </c>
      <c r="P297" s="158">
        <v>197368433</v>
      </c>
      <c r="Q297" s="158"/>
      <c r="R297" s="158"/>
      <c r="S297" s="158"/>
      <c r="T297" s="158"/>
      <c r="U297" s="158"/>
      <c r="V297" s="158"/>
      <c r="W297" s="158"/>
      <c r="X297" s="158"/>
      <c r="Y297" s="158"/>
      <c r="Z297" s="94"/>
      <c r="AA297" s="69"/>
      <c r="AB297" s="69"/>
      <c r="AC297" s="69"/>
      <c r="AD297" s="69"/>
      <c r="AE297" s="158"/>
      <c r="AF297" s="158">
        <f t="shared" si="65"/>
        <v>197368433</v>
      </c>
      <c r="AG297" s="158"/>
      <c r="AH297" s="94">
        <v>0</v>
      </c>
      <c r="AI297" s="94">
        <v>197368433</v>
      </c>
      <c r="AJ297" s="94"/>
      <c r="AK297" s="158">
        <f t="shared" ref="AK297" si="68">P297-R297-U297-Z297</f>
        <v>197368433</v>
      </c>
      <c r="AL297" s="158">
        <v>877</v>
      </c>
      <c r="AM297" s="158">
        <v>10</v>
      </c>
      <c r="AN297" s="158">
        <v>3</v>
      </c>
      <c r="AO297" s="158"/>
      <c r="AP297" s="158"/>
      <c r="AQ297" s="158"/>
      <c r="AR297" s="158"/>
      <c r="AS297" s="158"/>
      <c r="AT297" s="2">
        <v>0</v>
      </c>
      <c r="AU297" s="58" t="s">
        <v>521</v>
      </c>
      <c r="AV297" s="104" t="s">
        <v>1297</v>
      </c>
      <c r="AW297" s="158"/>
      <c r="AX297" s="158"/>
      <c r="AY297" s="158"/>
      <c r="AZ297" s="158"/>
      <c r="BA297" s="158"/>
      <c r="BB297" s="158"/>
      <c r="BC297" s="69"/>
      <c r="BD297" s="69"/>
      <c r="BE297" s="69"/>
      <c r="BF297" s="271"/>
      <c r="BG297" s="271">
        <v>2019</v>
      </c>
      <c r="BH297" s="271">
        <v>2020</v>
      </c>
      <c r="BI297" s="271" t="s">
        <v>2375</v>
      </c>
    </row>
    <row r="298" spans="1:61" s="204" customFormat="1" ht="18" customHeight="1">
      <c r="A298" s="248" t="s">
        <v>505</v>
      </c>
      <c r="B298" s="58" t="s">
        <v>139</v>
      </c>
      <c r="C298" s="148" t="s">
        <v>1340</v>
      </c>
      <c r="D298" s="251" t="s">
        <v>105</v>
      </c>
      <c r="E298" s="251"/>
      <c r="F298" s="251"/>
      <c r="G298" s="251"/>
      <c r="H298" s="30" t="s">
        <v>1113</v>
      </c>
      <c r="I298" s="82">
        <v>865</v>
      </c>
      <c r="J298" s="212">
        <v>43462</v>
      </c>
      <c r="K298" s="158">
        <v>22</v>
      </c>
      <c r="L298" s="158">
        <v>22</v>
      </c>
      <c r="M298" s="158"/>
      <c r="N298" s="158"/>
      <c r="O298" s="158"/>
      <c r="P298" s="158">
        <v>3328293730</v>
      </c>
      <c r="Q298" s="158"/>
      <c r="R298" s="158"/>
      <c r="S298" s="158"/>
      <c r="T298" s="158"/>
      <c r="U298" s="158"/>
      <c r="V298" s="158"/>
      <c r="W298" s="158"/>
      <c r="X298" s="158"/>
      <c r="Y298" s="158"/>
      <c r="Z298" s="94"/>
      <c r="AA298" s="158"/>
      <c r="AB298" s="92"/>
      <c r="AC298" s="92"/>
      <c r="AD298" s="92">
        <v>3328293730</v>
      </c>
      <c r="AE298" s="158"/>
      <c r="AF298" s="158">
        <f>P298-U298-Z298-AD298</f>
        <v>0</v>
      </c>
      <c r="AG298" s="158"/>
      <c r="AH298" s="94">
        <v>0</v>
      </c>
      <c r="AI298" s="94">
        <v>0</v>
      </c>
      <c r="AJ298" s="94"/>
      <c r="AK298" s="158">
        <f t="shared" ref="AK298" si="69">AF298+AH298</f>
        <v>0</v>
      </c>
      <c r="AL298" s="158">
        <v>877</v>
      </c>
      <c r="AM298" s="158">
        <v>20</v>
      </c>
      <c r="AN298" s="158"/>
      <c r="AO298" s="158"/>
      <c r="AP298" s="158"/>
      <c r="AQ298" s="158"/>
      <c r="AR298" s="11"/>
      <c r="AS298" s="158"/>
      <c r="AT298" s="2">
        <v>0</v>
      </c>
      <c r="AU298" s="58" t="s">
        <v>687</v>
      </c>
      <c r="AV298" s="104" t="s">
        <v>1700</v>
      </c>
      <c r="AW298" s="158"/>
      <c r="AX298" s="158"/>
      <c r="AY298" s="158"/>
      <c r="AZ298" s="158"/>
      <c r="BA298" s="158"/>
      <c r="BB298" s="158"/>
      <c r="BC298" s="69"/>
      <c r="BD298" s="69"/>
      <c r="BE298" s="69">
        <v>22</v>
      </c>
      <c r="BF298" s="271" t="s">
        <v>1706</v>
      </c>
      <c r="BG298" s="271">
        <v>2019</v>
      </c>
      <c r="BH298" s="271"/>
      <c r="BI298" s="271" t="s">
        <v>2375</v>
      </c>
    </row>
    <row r="299" spans="1:61" s="204" customFormat="1" ht="18" customHeight="1">
      <c r="A299" s="160" t="s">
        <v>505</v>
      </c>
      <c r="B299" s="58" t="s">
        <v>139</v>
      </c>
      <c r="C299" s="148" t="s">
        <v>1340</v>
      </c>
      <c r="D299" s="58" t="s">
        <v>105</v>
      </c>
      <c r="E299" s="58"/>
      <c r="F299" s="58"/>
      <c r="G299" s="58"/>
      <c r="H299" s="30" t="s">
        <v>1113</v>
      </c>
      <c r="I299" s="82">
        <v>865</v>
      </c>
      <c r="J299" s="212">
        <v>43462</v>
      </c>
      <c r="K299" s="158">
        <f>79-22</f>
        <v>57</v>
      </c>
      <c r="L299" s="158">
        <v>57</v>
      </c>
      <c r="M299" s="158"/>
      <c r="N299" s="158">
        <v>57</v>
      </c>
      <c r="O299" s="158"/>
      <c r="P299" s="158">
        <v>4274481870</v>
      </c>
      <c r="Q299" s="158"/>
      <c r="R299" s="158"/>
      <c r="S299" s="158"/>
      <c r="T299" s="158"/>
      <c r="U299" s="158">
        <v>2304491789</v>
      </c>
      <c r="V299" s="158">
        <v>20</v>
      </c>
      <c r="W299" s="311">
        <v>43617</v>
      </c>
      <c r="X299" s="311"/>
      <c r="Y299" s="311"/>
      <c r="Z299" s="94">
        <v>1969990081</v>
      </c>
      <c r="AA299" s="158">
        <v>20</v>
      </c>
      <c r="AB299" s="311">
        <v>43739</v>
      </c>
      <c r="AC299" s="311"/>
      <c r="AD299" s="158"/>
      <c r="AE299" s="158"/>
      <c r="AF299" s="158">
        <f t="shared" si="65"/>
        <v>0</v>
      </c>
      <c r="AG299" s="158"/>
      <c r="AH299" s="94">
        <v>0</v>
      </c>
      <c r="AI299" s="94">
        <v>0</v>
      </c>
      <c r="AJ299" s="94"/>
      <c r="AK299" s="158">
        <f t="shared" ref="AK299:AK306" si="70">P299-R299-U299-Z299</f>
        <v>0</v>
      </c>
      <c r="AL299" s="158">
        <v>877</v>
      </c>
      <c r="AM299" s="158">
        <v>20</v>
      </c>
      <c r="AN299" s="158"/>
      <c r="AO299" s="158"/>
      <c r="AP299" s="158">
        <v>57</v>
      </c>
      <c r="AQ299" s="158"/>
      <c r="AR299" s="158"/>
      <c r="AS299" s="158"/>
      <c r="AT299" s="2">
        <v>1</v>
      </c>
      <c r="AU299" s="58" t="s">
        <v>646</v>
      </c>
      <c r="AV299" s="386"/>
      <c r="AW299" s="158"/>
      <c r="AX299" s="158"/>
      <c r="AY299" s="158"/>
      <c r="AZ299" s="158"/>
      <c r="BA299" s="158">
        <v>57</v>
      </c>
      <c r="BB299" s="158"/>
      <c r="BC299" s="69"/>
      <c r="BD299" s="69">
        <v>57</v>
      </c>
      <c r="BE299" s="69"/>
      <c r="BF299" s="271">
        <v>2020</v>
      </c>
      <c r="BG299" s="271">
        <v>2019</v>
      </c>
      <c r="BH299" s="430">
        <v>2020</v>
      </c>
      <c r="BI299" s="271" t="s">
        <v>2375</v>
      </c>
    </row>
    <row r="300" spans="1:61" s="204" customFormat="1" ht="21.75" customHeight="1">
      <c r="A300" s="160" t="s">
        <v>505</v>
      </c>
      <c r="B300" s="88" t="s">
        <v>1614</v>
      </c>
      <c r="C300" s="148" t="s">
        <v>1613</v>
      </c>
      <c r="D300" s="58" t="s">
        <v>1609</v>
      </c>
      <c r="E300" s="58"/>
      <c r="F300" s="58"/>
      <c r="G300" s="58"/>
      <c r="H300" s="30" t="s">
        <v>1605</v>
      </c>
      <c r="I300" s="82">
        <v>1383</v>
      </c>
      <c r="J300" s="212">
        <v>43685</v>
      </c>
      <c r="K300" s="158"/>
      <c r="L300" s="158"/>
      <c r="M300" s="158">
        <f>45-1</f>
        <v>44</v>
      </c>
      <c r="N300" s="158">
        <v>44</v>
      </c>
      <c r="O300" s="158"/>
      <c r="P300" s="158">
        <f>3749754703-83327883</f>
        <v>3666426820</v>
      </c>
      <c r="Q300" s="158"/>
      <c r="R300" s="158"/>
      <c r="S300" s="158"/>
      <c r="T300" s="158"/>
      <c r="U300" s="158">
        <v>1976136736</v>
      </c>
      <c r="V300" s="158">
        <v>20</v>
      </c>
      <c r="W300" s="311">
        <v>43709</v>
      </c>
      <c r="X300" s="311"/>
      <c r="Y300" s="311"/>
      <c r="Z300" s="94">
        <v>1690290084</v>
      </c>
      <c r="AA300" s="158">
        <v>20</v>
      </c>
      <c r="AB300" s="311">
        <v>43800</v>
      </c>
      <c r="AC300" s="311"/>
      <c r="AD300" s="158"/>
      <c r="AE300" s="158"/>
      <c r="AF300" s="158">
        <f>P300-U300-Z300</f>
        <v>0</v>
      </c>
      <c r="AG300" s="158"/>
      <c r="AH300" s="94">
        <v>0</v>
      </c>
      <c r="AI300" s="94">
        <v>0</v>
      </c>
      <c r="AJ300" s="94"/>
      <c r="AK300" s="158">
        <f t="shared" si="70"/>
        <v>0</v>
      </c>
      <c r="AL300" s="158">
        <v>877</v>
      </c>
      <c r="AM300" s="158">
        <v>20</v>
      </c>
      <c r="AN300" s="158"/>
      <c r="AO300" s="158"/>
      <c r="AP300" s="158">
        <v>44</v>
      </c>
      <c r="AQ300" s="158"/>
      <c r="AR300" s="158"/>
      <c r="AS300" s="158"/>
      <c r="AT300" s="2">
        <v>1</v>
      </c>
      <c r="AU300" s="58" t="s">
        <v>646</v>
      </c>
      <c r="AV300" s="104"/>
      <c r="AW300" s="158"/>
      <c r="AX300" s="158"/>
      <c r="AY300" s="158"/>
      <c r="AZ300" s="158"/>
      <c r="BA300" s="158">
        <v>44</v>
      </c>
      <c r="BB300" s="158"/>
      <c r="BC300" s="69"/>
      <c r="BD300" s="69">
        <v>44</v>
      </c>
      <c r="BE300" s="69"/>
      <c r="BF300" s="271">
        <v>2020</v>
      </c>
      <c r="BG300" s="271">
        <v>2019</v>
      </c>
      <c r="BH300" s="430">
        <v>2020</v>
      </c>
      <c r="BI300" s="271" t="s">
        <v>2375</v>
      </c>
    </row>
    <row r="301" spans="1:61" s="204" customFormat="1" ht="24.75" customHeight="1">
      <c r="A301" s="160" t="s">
        <v>505</v>
      </c>
      <c r="B301" s="88" t="s">
        <v>1614</v>
      </c>
      <c r="C301" s="148" t="s">
        <v>1613</v>
      </c>
      <c r="D301" s="58" t="s">
        <v>1609</v>
      </c>
      <c r="E301" s="58"/>
      <c r="F301" s="58"/>
      <c r="G301" s="58"/>
      <c r="H301" s="30" t="s">
        <v>1605</v>
      </c>
      <c r="I301" s="82">
        <v>1383</v>
      </c>
      <c r="J301" s="212">
        <v>43685</v>
      </c>
      <c r="K301" s="158"/>
      <c r="L301" s="158"/>
      <c r="M301" s="158">
        <v>1</v>
      </c>
      <c r="N301" s="158">
        <v>1</v>
      </c>
      <c r="O301" s="158"/>
      <c r="P301" s="158">
        <v>83327883</v>
      </c>
      <c r="Q301" s="158"/>
      <c r="R301" s="158"/>
      <c r="S301" s="158"/>
      <c r="T301" s="158"/>
      <c r="U301" s="158">
        <v>44126595</v>
      </c>
      <c r="V301" s="158">
        <v>20</v>
      </c>
      <c r="W301" s="311">
        <v>43800</v>
      </c>
      <c r="X301" s="311"/>
      <c r="Y301" s="311"/>
      <c r="Z301" s="94">
        <v>39201287</v>
      </c>
      <c r="AA301" s="158">
        <v>20</v>
      </c>
      <c r="AB301" s="311">
        <v>43920</v>
      </c>
      <c r="AC301" s="311"/>
      <c r="AD301" s="158"/>
      <c r="AE301" s="158"/>
      <c r="AF301" s="94">
        <f>P301-U301</f>
        <v>39201288</v>
      </c>
      <c r="AG301" s="158"/>
      <c r="AH301" s="94">
        <v>0</v>
      </c>
      <c r="AI301" s="94">
        <v>39201288</v>
      </c>
      <c r="AJ301" s="94"/>
      <c r="AK301" s="158">
        <f t="shared" si="70"/>
        <v>1</v>
      </c>
      <c r="AL301" s="158">
        <v>877</v>
      </c>
      <c r="AM301" s="158">
        <v>20</v>
      </c>
      <c r="AN301" s="158"/>
      <c r="AO301" s="158"/>
      <c r="AP301" s="158">
        <v>1</v>
      </c>
      <c r="AQ301" s="158"/>
      <c r="AR301" s="158"/>
      <c r="AS301" s="158"/>
      <c r="AT301" s="2">
        <v>1</v>
      </c>
      <c r="AU301" s="58" t="s">
        <v>646</v>
      </c>
      <c r="AV301" s="104"/>
      <c r="AW301" s="158"/>
      <c r="AX301" s="158"/>
      <c r="AY301" s="158"/>
      <c r="AZ301" s="158"/>
      <c r="BA301" s="158">
        <v>1</v>
      </c>
      <c r="BB301" s="158"/>
      <c r="BC301" s="69"/>
      <c r="BD301" s="69">
        <v>1</v>
      </c>
      <c r="BE301" s="69"/>
      <c r="BF301" s="271">
        <v>2020</v>
      </c>
      <c r="BG301" s="271">
        <v>2019</v>
      </c>
      <c r="BH301" s="430">
        <v>2020</v>
      </c>
      <c r="BI301" s="271" t="s">
        <v>2375</v>
      </c>
    </row>
    <row r="302" spans="1:61" s="204" customFormat="1" ht="28.5" customHeight="1">
      <c r="A302" s="160" t="s">
        <v>505</v>
      </c>
      <c r="B302" s="58" t="s">
        <v>126</v>
      </c>
      <c r="C302" s="55" t="s">
        <v>2416</v>
      </c>
      <c r="D302" s="58" t="s">
        <v>119</v>
      </c>
      <c r="E302" s="58"/>
      <c r="F302" s="58"/>
      <c r="G302" s="58"/>
      <c r="H302" s="30" t="s">
        <v>1553</v>
      </c>
      <c r="I302" s="82">
        <v>1655</v>
      </c>
      <c r="J302" s="212">
        <v>43728</v>
      </c>
      <c r="K302" s="158"/>
      <c r="L302" s="158"/>
      <c r="M302" s="158">
        <v>34</v>
      </c>
      <c r="N302" s="158">
        <v>34</v>
      </c>
      <c r="O302" s="158"/>
      <c r="P302" s="158">
        <v>2478871575</v>
      </c>
      <c r="Q302" s="158"/>
      <c r="R302" s="158"/>
      <c r="S302" s="158"/>
      <c r="T302" s="158"/>
      <c r="U302" s="158">
        <v>1350146367</v>
      </c>
      <c r="V302" s="158">
        <v>20</v>
      </c>
      <c r="W302" s="311">
        <v>43770</v>
      </c>
      <c r="X302" s="311"/>
      <c r="Y302" s="311"/>
      <c r="Z302" s="94"/>
      <c r="AA302" s="158"/>
      <c r="AB302" s="158"/>
      <c r="AC302" s="158"/>
      <c r="AD302" s="158"/>
      <c r="AE302" s="158"/>
      <c r="AF302" s="158">
        <f>P302-U302-Z302-AH302</f>
        <v>0</v>
      </c>
      <c r="AG302" s="158"/>
      <c r="AH302" s="158">
        <f>P302-U302-Z302</f>
        <v>1128725208</v>
      </c>
      <c r="AI302" s="158">
        <v>1128725208</v>
      </c>
      <c r="AJ302" s="158"/>
      <c r="AK302" s="158">
        <f t="shared" si="70"/>
        <v>1128725208</v>
      </c>
      <c r="AL302" s="158">
        <v>877</v>
      </c>
      <c r="AM302" s="158">
        <v>20</v>
      </c>
      <c r="AN302" s="158"/>
      <c r="AO302" s="158">
        <v>34</v>
      </c>
      <c r="AP302" s="158"/>
      <c r="AQ302" s="158"/>
      <c r="AR302" s="158"/>
      <c r="AS302" s="158"/>
      <c r="AT302" s="2">
        <v>1.5900000000000001E-2</v>
      </c>
      <c r="AU302" s="58" t="s">
        <v>38</v>
      </c>
      <c r="AV302" s="104" t="s">
        <v>1565</v>
      </c>
      <c r="AW302" s="158"/>
      <c r="AX302" s="158"/>
      <c r="AY302" s="158"/>
      <c r="AZ302" s="158"/>
      <c r="BA302" s="158"/>
      <c r="BB302" s="158"/>
      <c r="BC302" s="69"/>
      <c r="BD302" s="69"/>
      <c r="BE302" s="69"/>
      <c r="BF302" s="271"/>
      <c r="BG302" s="271">
        <v>2019</v>
      </c>
      <c r="BH302" s="430">
        <v>2020</v>
      </c>
      <c r="BI302" s="271" t="s">
        <v>2375</v>
      </c>
    </row>
    <row r="303" spans="1:61" s="204" customFormat="1" ht="18" customHeight="1">
      <c r="A303" s="160" t="s">
        <v>505</v>
      </c>
      <c r="B303" s="58" t="s">
        <v>139</v>
      </c>
      <c r="C303" s="148" t="s">
        <v>1570</v>
      </c>
      <c r="D303" s="58" t="s">
        <v>105</v>
      </c>
      <c r="E303" s="58"/>
      <c r="F303" s="58"/>
      <c r="G303" s="58"/>
      <c r="H303" s="30" t="s">
        <v>1553</v>
      </c>
      <c r="I303" s="82">
        <v>1669</v>
      </c>
      <c r="J303" s="212">
        <v>43731</v>
      </c>
      <c r="K303" s="158"/>
      <c r="L303" s="158"/>
      <c r="M303" s="158">
        <v>41</v>
      </c>
      <c r="N303" s="158">
        <v>41</v>
      </c>
      <c r="O303" s="158"/>
      <c r="P303" s="158">
        <v>3407928664</v>
      </c>
      <c r="Q303" s="158"/>
      <c r="R303" s="158"/>
      <c r="S303" s="158"/>
      <c r="T303" s="158"/>
      <c r="U303" s="158">
        <v>1864377992</v>
      </c>
      <c r="V303" s="158">
        <v>20</v>
      </c>
      <c r="W303" s="311">
        <v>43739</v>
      </c>
      <c r="X303" s="311"/>
      <c r="Y303" s="311"/>
      <c r="Z303" s="94">
        <v>1543550672</v>
      </c>
      <c r="AA303" s="158">
        <v>20</v>
      </c>
      <c r="AB303" s="311">
        <v>43951</v>
      </c>
      <c r="AC303" s="311"/>
      <c r="AD303" s="158"/>
      <c r="AE303" s="158"/>
      <c r="AF303" s="158">
        <f>P303-U303</f>
        <v>1543550672</v>
      </c>
      <c r="AG303" s="158"/>
      <c r="AH303" s="158">
        <f>P303-U303-Z303</f>
        <v>0</v>
      </c>
      <c r="AI303" s="158">
        <v>1543550672</v>
      </c>
      <c r="AJ303" s="158"/>
      <c r="AK303" s="158">
        <f t="shared" si="70"/>
        <v>0</v>
      </c>
      <c r="AL303" s="158">
        <v>877</v>
      </c>
      <c r="AM303" s="158">
        <v>20</v>
      </c>
      <c r="AN303" s="158"/>
      <c r="AO303" s="158">
        <v>41</v>
      </c>
      <c r="AP303" s="158"/>
      <c r="AQ303" s="158"/>
      <c r="AR303" s="158"/>
      <c r="AS303" s="158"/>
      <c r="AT303" s="2">
        <v>0.54179999999999995</v>
      </c>
      <c r="AU303" s="58" t="s">
        <v>38</v>
      </c>
      <c r="AV303" s="104" t="s">
        <v>1565</v>
      </c>
      <c r="AW303" s="158"/>
      <c r="AX303" s="158"/>
      <c r="AY303" s="158"/>
      <c r="AZ303" s="158"/>
      <c r="BA303" s="158"/>
      <c r="BB303" s="158"/>
      <c r="BC303" s="69"/>
      <c r="BD303" s="69"/>
      <c r="BE303" s="69"/>
      <c r="BF303" s="271"/>
      <c r="BG303" s="271">
        <v>2019</v>
      </c>
      <c r="BH303" s="430">
        <v>2020</v>
      </c>
      <c r="BI303" s="271" t="s">
        <v>2375</v>
      </c>
    </row>
    <row r="304" spans="1:61" s="204" customFormat="1" ht="25.5" customHeight="1">
      <c r="A304" s="160" t="s">
        <v>505</v>
      </c>
      <c r="B304" s="58" t="s">
        <v>123</v>
      </c>
      <c r="C304" s="55" t="s">
        <v>1571</v>
      </c>
      <c r="D304" s="58" t="s">
        <v>1572</v>
      </c>
      <c r="E304" s="58"/>
      <c r="F304" s="58"/>
      <c r="G304" s="58"/>
      <c r="H304" s="30" t="s">
        <v>1553</v>
      </c>
      <c r="I304" s="238">
        <v>1668</v>
      </c>
      <c r="J304" s="212">
        <v>43731</v>
      </c>
      <c r="K304" s="158"/>
      <c r="L304" s="158"/>
      <c r="M304" s="158">
        <v>34</v>
      </c>
      <c r="N304" s="158">
        <v>34</v>
      </c>
      <c r="O304" s="158"/>
      <c r="P304" s="158">
        <v>2820807302</v>
      </c>
      <c r="Q304" s="158"/>
      <c r="R304" s="158"/>
      <c r="S304" s="158"/>
      <c r="T304" s="5"/>
      <c r="U304" s="158">
        <v>1550642778</v>
      </c>
      <c r="V304" s="5">
        <v>20</v>
      </c>
      <c r="W304" s="329">
        <v>43739</v>
      </c>
      <c r="X304" s="329"/>
      <c r="Y304" s="329"/>
      <c r="Z304" s="233">
        <v>1270164524</v>
      </c>
      <c r="AA304" s="5">
        <v>20</v>
      </c>
      <c r="AB304" s="311">
        <v>43900</v>
      </c>
      <c r="AC304" s="311"/>
      <c r="AD304" s="158"/>
      <c r="AE304" s="158"/>
      <c r="AF304" s="158">
        <f t="shared" ref="AF304" si="71">P304-U304</f>
        <v>1270164524</v>
      </c>
      <c r="AG304" s="158"/>
      <c r="AH304" s="158">
        <f>P304-U304-Z304</f>
        <v>0</v>
      </c>
      <c r="AI304" s="158">
        <v>1270164524</v>
      </c>
      <c r="AJ304" s="158"/>
      <c r="AK304" s="158">
        <f t="shared" si="70"/>
        <v>0</v>
      </c>
      <c r="AL304" s="158">
        <v>877</v>
      </c>
      <c r="AM304" s="158">
        <v>20</v>
      </c>
      <c r="AN304" s="158"/>
      <c r="AO304" s="158">
        <v>34</v>
      </c>
      <c r="AP304" s="158"/>
      <c r="AQ304" s="158"/>
      <c r="AR304" s="158"/>
      <c r="AS304" s="158"/>
      <c r="AT304" s="2">
        <v>0.54420000000000002</v>
      </c>
      <c r="AU304" s="58" t="s">
        <v>38</v>
      </c>
      <c r="AV304" s="104" t="s">
        <v>1565</v>
      </c>
      <c r="AW304" s="5"/>
      <c r="AX304" s="5"/>
      <c r="AY304" s="5"/>
      <c r="AZ304" s="5"/>
      <c r="BA304" s="5"/>
      <c r="BB304" s="5"/>
      <c r="BC304" s="276"/>
      <c r="BD304" s="276"/>
      <c r="BE304" s="276"/>
      <c r="BF304" s="470"/>
      <c r="BG304" s="271">
        <v>2019</v>
      </c>
      <c r="BH304" s="430">
        <v>2020</v>
      </c>
      <c r="BI304" s="271" t="s">
        <v>2375</v>
      </c>
    </row>
    <row r="305" spans="1:61 16137:16286" s="204" customFormat="1" ht="21" customHeight="1">
      <c r="A305" s="160" t="s">
        <v>505</v>
      </c>
      <c r="B305" s="58" t="s">
        <v>1948</v>
      </c>
      <c r="C305" s="148" t="s">
        <v>2414</v>
      </c>
      <c r="D305" s="33" t="s">
        <v>1947</v>
      </c>
      <c r="E305" s="33"/>
      <c r="F305" s="33"/>
      <c r="G305" s="33"/>
      <c r="H305" s="30" t="s">
        <v>1920</v>
      </c>
      <c r="I305" s="238">
        <v>2044</v>
      </c>
      <c r="J305" s="212">
        <v>43797</v>
      </c>
      <c r="K305" s="268"/>
      <c r="L305" s="471"/>
      <c r="M305" s="158">
        <v>41</v>
      </c>
      <c r="N305" s="158">
        <v>41</v>
      </c>
      <c r="O305" s="158"/>
      <c r="P305" s="158">
        <v>3287294785</v>
      </c>
      <c r="Q305" s="158"/>
      <c r="R305" s="158"/>
      <c r="S305" s="158"/>
      <c r="T305" s="268"/>
      <c r="U305" s="158">
        <v>1793008244</v>
      </c>
      <c r="V305" s="5">
        <v>10</v>
      </c>
      <c r="W305" s="329">
        <v>43889</v>
      </c>
      <c r="X305" s="329"/>
      <c r="Y305" s="329"/>
      <c r="Z305" s="446"/>
      <c r="AA305" s="446"/>
      <c r="AB305" s="446"/>
      <c r="AC305" s="446"/>
      <c r="AD305" s="268"/>
      <c r="AE305" s="158">
        <v>10</v>
      </c>
      <c r="AF305" s="158">
        <f>P305</f>
        <v>3287294785</v>
      </c>
      <c r="AG305" s="158"/>
      <c r="AH305" s="158"/>
      <c r="AI305" s="158">
        <v>3287294785</v>
      </c>
      <c r="AJ305" s="158"/>
      <c r="AK305" s="158">
        <f t="shared" si="70"/>
        <v>1494286541</v>
      </c>
      <c r="AL305" s="158">
        <v>877</v>
      </c>
      <c r="AM305" s="158">
        <v>10</v>
      </c>
      <c r="AN305" s="158"/>
      <c r="AO305" s="158">
        <v>41</v>
      </c>
      <c r="AP305" s="471"/>
      <c r="AQ305" s="471"/>
      <c r="AR305" s="471"/>
      <c r="AS305" s="471"/>
      <c r="AT305" s="2">
        <v>0</v>
      </c>
      <c r="AU305" s="58" t="s">
        <v>38</v>
      </c>
      <c r="AV305" s="104" t="s">
        <v>1565</v>
      </c>
      <c r="AW305" s="268"/>
      <c r="AX305" s="268"/>
      <c r="AY305" s="268"/>
      <c r="AZ305" s="268"/>
      <c r="BA305" s="268"/>
      <c r="BB305" s="268"/>
      <c r="BC305" s="268"/>
      <c r="BD305" s="268"/>
      <c r="BE305" s="268"/>
      <c r="BF305" s="268"/>
      <c r="BG305" s="271">
        <v>2019</v>
      </c>
      <c r="BH305" s="271">
        <v>2020</v>
      </c>
      <c r="BI305" s="271" t="s">
        <v>2375</v>
      </c>
    </row>
    <row r="306" spans="1:61 16137:16286" s="204" customFormat="1" ht="25.5" customHeight="1">
      <c r="A306" s="160" t="s">
        <v>505</v>
      </c>
      <c r="B306" s="58" t="s">
        <v>1948</v>
      </c>
      <c r="C306" s="148" t="s">
        <v>2268</v>
      </c>
      <c r="D306" s="696" t="s">
        <v>569</v>
      </c>
      <c r="E306" s="660"/>
      <c r="F306" s="661">
        <v>4</v>
      </c>
      <c r="G306" s="661"/>
      <c r="H306" s="533" t="s">
        <v>2236</v>
      </c>
      <c r="I306" s="559" t="s">
        <v>2269</v>
      </c>
      <c r="J306" s="549" t="s">
        <v>2270</v>
      </c>
      <c r="K306" s="531"/>
      <c r="L306" s="532"/>
      <c r="M306" s="61"/>
      <c r="N306" s="61">
        <v>59</v>
      </c>
      <c r="O306" s="61"/>
      <c r="P306" s="61">
        <f>(2360630184+1941171684)</f>
        <v>4301801868</v>
      </c>
      <c r="Q306" s="61"/>
      <c r="R306" s="158"/>
      <c r="S306" s="61"/>
      <c r="T306" s="531"/>
      <c r="U306" s="158">
        <v>2360630184</v>
      </c>
      <c r="V306" s="707">
        <v>20</v>
      </c>
      <c r="W306" s="563">
        <v>43951</v>
      </c>
      <c r="X306" s="563"/>
      <c r="Y306" s="563"/>
      <c r="Z306" s="706"/>
      <c r="AA306" s="521">
        <v>20</v>
      </c>
      <c r="AB306" s="446"/>
      <c r="AC306" s="446"/>
      <c r="AD306" s="268"/>
      <c r="AE306" s="158">
        <v>20</v>
      </c>
      <c r="AF306" s="158">
        <f>P306</f>
        <v>4301801868</v>
      </c>
      <c r="AG306" s="61"/>
      <c r="AH306" s="61"/>
      <c r="AI306" s="61">
        <v>4301801868</v>
      </c>
      <c r="AJ306" s="61"/>
      <c r="AK306" s="158">
        <f t="shared" si="70"/>
        <v>1941171684</v>
      </c>
      <c r="AL306" s="61">
        <v>877</v>
      </c>
      <c r="AM306" s="61">
        <v>20</v>
      </c>
      <c r="AN306" s="61"/>
      <c r="AO306" s="61">
        <v>59</v>
      </c>
      <c r="AP306" s="532"/>
      <c r="AQ306" s="532"/>
      <c r="AR306" s="532"/>
      <c r="AS306" s="532"/>
      <c r="AT306" s="2">
        <v>0</v>
      </c>
      <c r="AU306" s="58" t="s">
        <v>38</v>
      </c>
      <c r="AV306" s="462" t="s">
        <v>2260</v>
      </c>
      <c r="AW306" s="531"/>
      <c r="AX306" s="531"/>
      <c r="AY306" s="531"/>
      <c r="AZ306" s="531"/>
      <c r="BA306" s="531"/>
      <c r="BB306" s="531"/>
      <c r="BC306" s="531"/>
      <c r="BD306" s="531"/>
      <c r="BE306" s="531"/>
      <c r="BF306" s="531"/>
      <c r="BG306" s="464"/>
      <c r="BH306" s="712">
        <v>2020</v>
      </c>
      <c r="BI306" s="464" t="s">
        <v>2375</v>
      </c>
    </row>
    <row r="307" spans="1:61 16137:16286" ht="15" customHeight="1">
      <c r="A307" s="371" t="s">
        <v>506</v>
      </c>
      <c r="B307" s="371"/>
      <c r="C307" s="371"/>
      <c r="D307" s="371"/>
      <c r="E307" s="371"/>
      <c r="F307" s="371"/>
      <c r="G307" s="371"/>
      <c r="H307" s="371"/>
      <c r="I307" s="371"/>
      <c r="J307" s="371"/>
      <c r="K307" s="371">
        <f>SUM(K308:K339)</f>
        <v>352</v>
      </c>
      <c r="L307" s="370">
        <f>SUM(L308:L339)</f>
        <v>504</v>
      </c>
      <c r="M307" s="370">
        <f>SUM(M308:M339)</f>
        <v>196</v>
      </c>
      <c r="N307" s="424">
        <f>SUM(N308:N340)</f>
        <v>324</v>
      </c>
      <c r="O307" s="424">
        <f>SUM(O308:O340)</f>
        <v>0</v>
      </c>
      <c r="P307" s="371"/>
      <c r="Q307" s="371"/>
      <c r="R307" s="371"/>
      <c r="S307" s="371"/>
      <c r="T307" s="371"/>
      <c r="U307" s="371"/>
      <c r="V307" s="371"/>
      <c r="W307" s="371"/>
      <c r="X307" s="371"/>
      <c r="Y307" s="371"/>
      <c r="Z307" s="371"/>
      <c r="AA307" s="371"/>
      <c r="AB307" s="371"/>
      <c r="AC307" s="371"/>
      <c r="AD307" s="371"/>
      <c r="AE307" s="371"/>
      <c r="AF307" s="371"/>
      <c r="AG307" s="371"/>
      <c r="AH307" s="371"/>
      <c r="AI307" s="371"/>
      <c r="AJ307" s="371"/>
      <c r="AK307" s="371"/>
      <c r="AL307" s="371"/>
      <c r="AM307" s="371"/>
      <c r="AN307" s="424">
        <f>SUM(AN308:AN340)</f>
        <v>87</v>
      </c>
      <c r="AO307" s="424">
        <f t="shared" ref="AO307:AS307" si="72">SUM(AO308:AO340)</f>
        <v>153</v>
      </c>
      <c r="AP307" s="424">
        <f t="shared" si="72"/>
        <v>84</v>
      </c>
      <c r="AQ307" s="424">
        <f t="shared" si="72"/>
        <v>0</v>
      </c>
      <c r="AR307" s="424">
        <f t="shared" si="72"/>
        <v>0</v>
      </c>
      <c r="AS307" s="424">
        <f t="shared" si="72"/>
        <v>0</v>
      </c>
      <c r="AT307" s="371"/>
      <c r="AU307" s="371"/>
      <c r="AV307" s="385"/>
      <c r="AW307" s="370">
        <f>SUM(AW308:AW339)</f>
        <v>230</v>
      </c>
      <c r="AX307" s="370">
        <f>SUM(AX308:AX339)</f>
        <v>0</v>
      </c>
      <c r="AY307" s="370">
        <f>SUM(AY308:AY339)</f>
        <v>59</v>
      </c>
      <c r="AZ307" s="370">
        <f>SUM(AZ308:AZ339)</f>
        <v>428</v>
      </c>
      <c r="BA307" s="424">
        <f>SUM(BA308:BA340)</f>
        <v>84</v>
      </c>
      <c r="BB307" s="424">
        <f>SUM(BB308:BB340)</f>
        <v>0</v>
      </c>
      <c r="BC307" s="424">
        <f>SUM(BC308:BC340)</f>
        <v>59</v>
      </c>
      <c r="BD307" s="424">
        <f>SUM(BD308:BD340)</f>
        <v>571</v>
      </c>
      <c r="BE307" s="424">
        <f>SUM(BE308:BE340)</f>
        <v>3</v>
      </c>
      <c r="BF307" s="371"/>
      <c r="BG307" s="370">
        <v>2019</v>
      </c>
      <c r="BH307" s="370">
        <v>2020</v>
      </c>
      <c r="BI307" s="434" t="s">
        <v>2419</v>
      </c>
      <c r="WVQ307" s="371"/>
      <c r="WVR307" s="371"/>
      <c r="WVS307" s="371"/>
      <c r="WVT307" s="371"/>
      <c r="WVU307" s="371"/>
      <c r="WVV307" s="370"/>
      <c r="WVW307" s="370"/>
      <c r="WVX307" s="370"/>
      <c r="WVY307" s="370"/>
      <c r="WVZ307" s="370"/>
      <c r="WWA307" s="370"/>
      <c r="WWB307" s="370"/>
      <c r="WWC307" s="370"/>
      <c r="WWD307" s="370"/>
      <c r="WWE307" s="370"/>
      <c r="WWT307" s="371"/>
      <c r="WWU307" s="371"/>
      <c r="WWV307" s="371"/>
      <c r="WWW307" s="371"/>
      <c r="WWX307" s="371"/>
      <c r="WWY307" s="370"/>
      <c r="WWZ307" s="370"/>
      <c r="WXW307" s="371"/>
      <c r="WXX307" s="371"/>
      <c r="WXY307" s="371"/>
      <c r="WXZ307" s="371"/>
      <c r="WYA307" s="371"/>
      <c r="WYZ307" s="371"/>
      <c r="WZA307" s="371"/>
      <c r="WZB307" s="371"/>
      <c r="WZC307" s="371"/>
      <c r="WZD307" s="371"/>
      <c r="XAC307" s="371"/>
      <c r="XAD307" s="371"/>
      <c r="XAE307" s="371"/>
      <c r="XAF307" s="371"/>
      <c r="XAG307" s="371"/>
      <c r="XBF307" s="371"/>
      <c r="XBG307" s="371"/>
      <c r="XBH307" s="371"/>
      <c r="XBI307" s="371"/>
      <c r="XBJ307" s="371"/>
    </row>
    <row r="308" spans="1:61 16137:16286" s="204" customFormat="1" ht="15" customHeight="1">
      <c r="A308" s="160" t="s">
        <v>506</v>
      </c>
      <c r="B308" s="58" t="s">
        <v>141</v>
      </c>
      <c r="C308" s="148" t="s">
        <v>140</v>
      </c>
      <c r="D308" s="33" t="s">
        <v>97</v>
      </c>
      <c r="E308" s="33"/>
      <c r="F308" s="33"/>
      <c r="G308" s="33"/>
      <c r="H308" s="30"/>
      <c r="I308" s="58"/>
      <c r="J308" s="212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649"/>
      <c r="V308" s="158"/>
      <c r="W308" s="158"/>
      <c r="X308" s="158"/>
      <c r="Y308" s="158"/>
      <c r="Z308" s="94"/>
      <c r="AA308" s="158"/>
      <c r="AB308" s="158"/>
      <c r="AC308" s="158"/>
      <c r="AD308" s="158"/>
      <c r="AE308" s="158"/>
      <c r="AF308" s="158"/>
      <c r="AG308" s="158"/>
      <c r="AH308" s="158"/>
      <c r="AI308" s="158"/>
      <c r="AJ308" s="158"/>
      <c r="AK308" s="158"/>
      <c r="AL308" s="158"/>
      <c r="AM308" s="158"/>
      <c r="AN308" s="158"/>
      <c r="AO308" s="158"/>
      <c r="AP308" s="158"/>
      <c r="AQ308" s="158"/>
      <c r="AR308" s="158"/>
      <c r="AS308" s="158"/>
      <c r="AT308" s="2"/>
      <c r="AU308" s="58"/>
      <c r="AV308" s="102"/>
      <c r="AW308" s="158">
        <v>71</v>
      </c>
      <c r="AX308" s="158"/>
      <c r="AY308" s="158"/>
      <c r="AZ308" s="158"/>
      <c r="BA308" s="158"/>
      <c r="BB308" s="158"/>
      <c r="BC308" s="69"/>
      <c r="BD308" s="69"/>
      <c r="BE308" s="69"/>
      <c r="BF308" s="271">
        <v>2016</v>
      </c>
      <c r="BG308" s="271"/>
      <c r="BH308" s="271"/>
      <c r="BI308" s="271" t="s">
        <v>2376</v>
      </c>
    </row>
    <row r="309" spans="1:61 16137:16286" s="204" customFormat="1" ht="15" customHeight="1">
      <c r="A309" s="160" t="s">
        <v>506</v>
      </c>
      <c r="B309" s="58" t="s">
        <v>143</v>
      </c>
      <c r="C309" s="148" t="s">
        <v>142</v>
      </c>
      <c r="D309" s="33" t="s">
        <v>16</v>
      </c>
      <c r="E309" s="33"/>
      <c r="F309" s="33"/>
      <c r="G309" s="33"/>
      <c r="H309" s="30"/>
      <c r="I309" s="58"/>
      <c r="J309" s="212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649"/>
      <c r="V309" s="158"/>
      <c r="W309" s="158"/>
      <c r="X309" s="158"/>
      <c r="Y309" s="158"/>
      <c r="Z309" s="94"/>
      <c r="AA309" s="158"/>
      <c r="AB309" s="158"/>
      <c r="AC309" s="158"/>
      <c r="AD309" s="158"/>
      <c r="AE309" s="158"/>
      <c r="AF309" s="158"/>
      <c r="AG309" s="158"/>
      <c r="AH309" s="158"/>
      <c r="AI309" s="158"/>
      <c r="AJ309" s="158"/>
      <c r="AK309" s="158"/>
      <c r="AL309" s="158"/>
      <c r="AM309" s="158"/>
      <c r="AN309" s="158"/>
      <c r="AO309" s="158"/>
      <c r="AP309" s="158"/>
      <c r="AQ309" s="158"/>
      <c r="AR309" s="158"/>
      <c r="AS309" s="158"/>
      <c r="AT309" s="2"/>
      <c r="AU309" s="58"/>
      <c r="AV309" s="106"/>
      <c r="AW309" s="158">
        <v>40</v>
      </c>
      <c r="AX309" s="158"/>
      <c r="AY309" s="158"/>
      <c r="AZ309" s="158"/>
      <c r="BA309" s="158"/>
      <c r="BB309" s="158"/>
      <c r="BC309" s="69"/>
      <c r="BD309" s="69"/>
      <c r="BE309" s="69"/>
      <c r="BF309" s="271">
        <v>2016</v>
      </c>
      <c r="BG309" s="271"/>
      <c r="BH309" s="271"/>
      <c r="BI309" s="271" t="s">
        <v>2376</v>
      </c>
    </row>
    <row r="310" spans="1:61 16137:16286" s="204" customFormat="1" ht="15" customHeight="1">
      <c r="A310" s="160" t="s">
        <v>506</v>
      </c>
      <c r="B310" s="58" t="s">
        <v>143</v>
      </c>
      <c r="C310" s="148" t="s">
        <v>144</v>
      </c>
      <c r="D310" s="33" t="s">
        <v>16</v>
      </c>
      <c r="E310" s="33"/>
      <c r="F310" s="33"/>
      <c r="G310" s="33"/>
      <c r="H310" s="30"/>
      <c r="I310" s="58"/>
      <c r="J310" s="212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649"/>
      <c r="V310" s="158"/>
      <c r="W310" s="158"/>
      <c r="X310" s="158"/>
      <c r="Y310" s="158"/>
      <c r="Z310" s="94"/>
      <c r="AA310" s="158"/>
      <c r="AB310" s="158"/>
      <c r="AC310" s="158"/>
      <c r="AD310" s="158"/>
      <c r="AE310" s="158"/>
      <c r="AF310" s="158"/>
      <c r="AG310" s="158"/>
      <c r="AH310" s="158"/>
      <c r="AI310" s="158"/>
      <c r="AJ310" s="158"/>
      <c r="AK310" s="158"/>
      <c r="AL310" s="158"/>
      <c r="AM310" s="158"/>
      <c r="AN310" s="158"/>
      <c r="AO310" s="158"/>
      <c r="AP310" s="158"/>
      <c r="AQ310" s="158"/>
      <c r="AR310" s="158"/>
      <c r="AS310" s="158"/>
      <c r="AT310" s="2"/>
      <c r="AU310" s="58"/>
      <c r="AV310" s="106"/>
      <c r="AW310" s="158">
        <v>36</v>
      </c>
      <c r="AX310" s="158"/>
      <c r="AY310" s="158"/>
      <c r="AZ310" s="158"/>
      <c r="BA310" s="158"/>
      <c r="BB310" s="158"/>
      <c r="BC310" s="69"/>
      <c r="BD310" s="69"/>
      <c r="BE310" s="69"/>
      <c r="BF310" s="271">
        <v>2016</v>
      </c>
      <c r="BG310" s="271"/>
      <c r="BH310" s="271"/>
      <c r="BI310" s="271" t="s">
        <v>2376</v>
      </c>
    </row>
    <row r="311" spans="1:61 16137:16286" s="204" customFormat="1" ht="24.75" customHeight="1">
      <c r="A311" s="160" t="s">
        <v>506</v>
      </c>
      <c r="B311" s="58" t="s">
        <v>141</v>
      </c>
      <c r="C311" s="55" t="s">
        <v>145</v>
      </c>
      <c r="D311" s="33" t="s">
        <v>146</v>
      </c>
      <c r="E311" s="33"/>
      <c r="F311" s="33"/>
      <c r="G311" s="33"/>
      <c r="H311" s="30" t="s">
        <v>653</v>
      </c>
      <c r="I311" s="30">
        <v>2949</v>
      </c>
      <c r="J311" s="212">
        <v>42344</v>
      </c>
      <c r="K311" s="158"/>
      <c r="L311" s="158"/>
      <c r="M311" s="158">
        <v>25</v>
      </c>
      <c r="N311" s="158">
        <v>25</v>
      </c>
      <c r="O311" s="158"/>
      <c r="P311" s="94">
        <v>1386180886</v>
      </c>
      <c r="Q311" s="94"/>
      <c r="R311" s="158">
        <v>242970000</v>
      </c>
      <c r="S311" s="158"/>
      <c r="T311" s="158"/>
      <c r="U311" s="649"/>
      <c r="V311" s="158"/>
      <c r="W311" s="158"/>
      <c r="X311" s="158"/>
      <c r="Y311" s="158"/>
      <c r="Z311" s="94"/>
      <c r="AA311" s="158"/>
      <c r="AB311" s="158"/>
      <c r="AC311" s="158"/>
      <c r="AD311" s="298"/>
      <c r="AE311" s="158"/>
      <c r="AF311" s="158">
        <f>P311-R311-U311-Z311-1143210886</f>
        <v>0</v>
      </c>
      <c r="AG311" s="158"/>
      <c r="AH311" s="158">
        <v>1143210886</v>
      </c>
      <c r="AI311" s="158">
        <v>1143210886</v>
      </c>
      <c r="AJ311" s="158"/>
      <c r="AK311" s="602">
        <f t="shared" ref="AK311" si="73">P311-R311-U311-Z311</f>
        <v>1143210886</v>
      </c>
      <c r="AL311" s="72">
        <v>877</v>
      </c>
      <c r="AM311" s="72">
        <v>10</v>
      </c>
      <c r="AN311" s="158">
        <v>25</v>
      </c>
      <c r="AO311" s="158"/>
      <c r="AP311" s="158"/>
      <c r="AQ311" s="158"/>
      <c r="AR311" s="158"/>
      <c r="AS311" s="158"/>
      <c r="AT311" s="2">
        <v>0</v>
      </c>
      <c r="AU311" s="58" t="s">
        <v>521</v>
      </c>
      <c r="AV311" s="104"/>
      <c r="AW311" s="158" t="s">
        <v>0</v>
      </c>
      <c r="AX311" s="158"/>
      <c r="AY311" s="158"/>
      <c r="AZ311" s="158"/>
      <c r="BA311" s="158"/>
      <c r="BB311" s="158"/>
      <c r="BC311" s="69"/>
      <c r="BD311" s="69"/>
      <c r="BE311" s="69"/>
      <c r="BF311" s="271"/>
      <c r="BG311" s="271">
        <v>2019</v>
      </c>
      <c r="BH311" s="271">
        <v>2020</v>
      </c>
      <c r="BI311" s="271" t="s">
        <v>2375</v>
      </c>
    </row>
    <row r="312" spans="1:61 16137:16286" s="204" customFormat="1" ht="15" customHeight="1">
      <c r="A312" s="160" t="s">
        <v>506</v>
      </c>
      <c r="B312" s="58" t="s">
        <v>147</v>
      </c>
      <c r="C312" s="148" t="s">
        <v>562</v>
      </c>
      <c r="D312" s="33" t="s">
        <v>7</v>
      </c>
      <c r="E312" s="33"/>
      <c r="F312" s="33"/>
      <c r="G312" s="33"/>
      <c r="H312" s="30" t="s">
        <v>658</v>
      </c>
      <c r="I312" s="30"/>
      <c r="J312" s="212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649"/>
      <c r="V312" s="158"/>
      <c r="W312" s="158"/>
      <c r="X312" s="158"/>
      <c r="Y312" s="158"/>
      <c r="Z312" s="94"/>
      <c r="AA312" s="158"/>
      <c r="AB312" s="158"/>
      <c r="AC312" s="158"/>
      <c r="AD312" s="158"/>
      <c r="AE312" s="158"/>
      <c r="AF312" s="158"/>
      <c r="AG312" s="158"/>
      <c r="AH312" s="158"/>
      <c r="AI312" s="158"/>
      <c r="AJ312" s="158"/>
      <c r="AK312" s="158"/>
      <c r="AL312" s="158"/>
      <c r="AM312" s="158"/>
      <c r="AN312" s="158"/>
      <c r="AO312" s="158"/>
      <c r="AP312" s="158"/>
      <c r="AQ312" s="158"/>
      <c r="AR312" s="158"/>
      <c r="AS312" s="158"/>
      <c r="AT312" s="2"/>
      <c r="AU312" s="58"/>
      <c r="AV312" s="106"/>
      <c r="AW312" s="158">
        <v>43</v>
      </c>
      <c r="AX312" s="158"/>
      <c r="AY312" s="158"/>
      <c r="AZ312" s="158"/>
      <c r="BA312" s="158"/>
      <c r="BB312" s="158"/>
      <c r="BC312" s="69"/>
      <c r="BD312" s="69"/>
      <c r="BE312" s="69"/>
      <c r="BF312" s="271">
        <v>2016</v>
      </c>
      <c r="BG312" s="271"/>
      <c r="BH312" s="271"/>
      <c r="BI312" s="271" t="s">
        <v>2376</v>
      </c>
    </row>
    <row r="313" spans="1:61 16137:16286" s="204" customFormat="1" ht="15" customHeight="1">
      <c r="A313" s="160" t="s">
        <v>506</v>
      </c>
      <c r="B313" s="58" t="s">
        <v>147</v>
      </c>
      <c r="C313" s="148" t="s">
        <v>562</v>
      </c>
      <c r="D313" s="33" t="s">
        <v>7</v>
      </c>
      <c r="E313" s="33"/>
      <c r="F313" s="33"/>
      <c r="G313" s="33"/>
      <c r="H313" s="30" t="s">
        <v>664</v>
      </c>
      <c r="I313" s="30"/>
      <c r="J313" s="212"/>
      <c r="K313" s="11"/>
      <c r="L313" s="11"/>
      <c r="M313" s="11"/>
      <c r="N313" s="11"/>
      <c r="O313" s="11"/>
      <c r="P313" s="11"/>
      <c r="Q313" s="11"/>
      <c r="R313" s="158"/>
      <c r="S313" s="158"/>
      <c r="T313" s="11"/>
      <c r="U313" s="649"/>
      <c r="V313" s="11"/>
      <c r="W313" s="11"/>
      <c r="X313" s="11"/>
      <c r="Y313" s="11"/>
      <c r="Z313" s="94"/>
      <c r="AA313" s="11"/>
      <c r="AB313" s="11"/>
      <c r="AC313" s="11"/>
      <c r="AD313" s="11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98">
        <v>0</v>
      </c>
      <c r="AU313" s="58" t="s">
        <v>687</v>
      </c>
      <c r="AV313" s="162" t="s">
        <v>1371</v>
      </c>
      <c r="AW313" s="158"/>
      <c r="AX313" s="158"/>
      <c r="AY313" s="158"/>
      <c r="AZ313" s="158"/>
      <c r="BA313" s="158"/>
      <c r="BB313" s="158"/>
      <c r="BC313" s="69"/>
      <c r="BD313" s="69"/>
      <c r="BE313" s="69">
        <v>1</v>
      </c>
      <c r="BF313" s="271" t="s">
        <v>1703</v>
      </c>
      <c r="BG313" s="271"/>
      <c r="BH313" s="271"/>
      <c r="BI313" s="271" t="s">
        <v>2376</v>
      </c>
    </row>
    <row r="314" spans="1:61 16137:16286" s="204" customFormat="1" ht="15" customHeight="1">
      <c r="A314" s="160" t="s">
        <v>506</v>
      </c>
      <c r="B314" s="58" t="s">
        <v>143</v>
      </c>
      <c r="C314" s="148" t="s">
        <v>148</v>
      </c>
      <c r="D314" s="33" t="s">
        <v>16</v>
      </c>
      <c r="E314" s="33"/>
      <c r="F314" s="33"/>
      <c r="G314" s="33"/>
      <c r="H314" s="30"/>
      <c r="I314" s="58"/>
      <c r="J314" s="212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649"/>
      <c r="V314" s="158"/>
      <c r="W314" s="158"/>
      <c r="X314" s="158"/>
      <c r="Y314" s="158"/>
      <c r="Z314" s="94"/>
      <c r="AA314" s="158"/>
      <c r="AB314" s="158"/>
      <c r="AC314" s="158"/>
      <c r="AD314" s="158"/>
      <c r="AE314" s="158"/>
      <c r="AF314" s="158"/>
      <c r="AG314" s="158"/>
      <c r="AH314" s="158"/>
      <c r="AI314" s="158"/>
      <c r="AJ314" s="158"/>
      <c r="AK314" s="158"/>
      <c r="AL314" s="158"/>
      <c r="AM314" s="158"/>
      <c r="AN314" s="158"/>
      <c r="AO314" s="158"/>
      <c r="AP314" s="158"/>
      <c r="AQ314" s="158"/>
      <c r="AR314" s="158"/>
      <c r="AS314" s="158"/>
      <c r="AT314" s="2"/>
      <c r="AU314" s="58"/>
      <c r="AV314" s="106"/>
      <c r="AW314" s="158">
        <v>39</v>
      </c>
      <c r="AX314" s="158"/>
      <c r="AY314" s="158"/>
      <c r="AZ314" s="158"/>
      <c r="BA314" s="158"/>
      <c r="BB314" s="158"/>
      <c r="BC314" s="69"/>
      <c r="BD314" s="69"/>
      <c r="BE314" s="69"/>
      <c r="BF314" s="271">
        <v>2016</v>
      </c>
      <c r="BG314" s="271"/>
      <c r="BH314" s="271"/>
      <c r="BI314" s="271" t="s">
        <v>2376</v>
      </c>
    </row>
    <row r="315" spans="1:61 16137:16286" s="204" customFormat="1" ht="15" customHeight="1">
      <c r="A315" s="160" t="s">
        <v>506</v>
      </c>
      <c r="B315" s="58" t="s">
        <v>143</v>
      </c>
      <c r="C315" s="148" t="s">
        <v>148</v>
      </c>
      <c r="D315" s="33" t="s">
        <v>16</v>
      </c>
      <c r="E315" s="33"/>
      <c r="F315" s="33"/>
      <c r="G315" s="33"/>
      <c r="H315" s="30"/>
      <c r="I315" s="58"/>
      <c r="J315" s="212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649"/>
      <c r="V315" s="158"/>
      <c r="W315" s="158"/>
      <c r="X315" s="158"/>
      <c r="Y315" s="158"/>
      <c r="Z315" s="94">
        <v>69298714</v>
      </c>
      <c r="AA315" s="158">
        <v>20</v>
      </c>
      <c r="AB315" s="311">
        <v>43313</v>
      </c>
      <c r="AC315" s="158"/>
      <c r="AD315" s="158"/>
      <c r="AE315" s="158"/>
      <c r="AF315" s="158"/>
      <c r="AG315" s="158"/>
      <c r="AH315" s="158"/>
      <c r="AI315" s="158"/>
      <c r="AJ315" s="158"/>
      <c r="AK315" s="158"/>
      <c r="AL315" s="158">
        <v>877</v>
      </c>
      <c r="AM315" s="158">
        <v>20</v>
      </c>
      <c r="AN315" s="158"/>
      <c r="AO315" s="158"/>
      <c r="AP315" s="158"/>
      <c r="AQ315" s="158"/>
      <c r="AR315" s="158"/>
      <c r="AS315" s="158"/>
      <c r="AT315" s="2"/>
      <c r="AU315" s="58"/>
      <c r="AV315" s="106"/>
      <c r="AW315" s="158">
        <v>1</v>
      </c>
      <c r="AX315" s="158"/>
      <c r="AY315" s="158"/>
      <c r="AZ315" s="158"/>
      <c r="BA315" s="158"/>
      <c r="BB315" s="158"/>
      <c r="BC315" s="69"/>
      <c r="BD315" s="69"/>
      <c r="BE315" s="69"/>
      <c r="BF315" s="271">
        <v>2016</v>
      </c>
      <c r="BG315" s="271"/>
      <c r="BH315" s="271"/>
      <c r="BI315" s="271" t="s">
        <v>2376</v>
      </c>
    </row>
    <row r="316" spans="1:61 16137:16286" s="204" customFormat="1" ht="18" customHeight="1">
      <c r="A316" s="160" t="s">
        <v>506</v>
      </c>
      <c r="B316" s="58" t="s">
        <v>924</v>
      </c>
      <c r="C316" s="148" t="s">
        <v>762</v>
      </c>
      <c r="D316" s="33" t="s">
        <v>758</v>
      </c>
      <c r="E316" s="33"/>
      <c r="F316" s="33"/>
      <c r="G316" s="33"/>
      <c r="H316" s="30" t="s">
        <v>715</v>
      </c>
      <c r="I316" s="30">
        <v>2561</v>
      </c>
      <c r="J316" s="212">
        <v>43049</v>
      </c>
      <c r="K316" s="51"/>
      <c r="L316" s="51">
        <v>42</v>
      </c>
      <c r="M316" s="51"/>
      <c r="N316" s="51"/>
      <c r="O316" s="51"/>
      <c r="P316" s="51"/>
      <c r="Q316" s="51"/>
      <c r="R316" s="158"/>
      <c r="S316" s="158"/>
      <c r="T316" s="51"/>
      <c r="U316" s="649"/>
      <c r="V316" s="51"/>
      <c r="W316" s="51"/>
      <c r="X316" s="51"/>
      <c r="Y316" s="51"/>
      <c r="Z316" s="94"/>
      <c r="AA316" s="81"/>
      <c r="AB316" s="81"/>
      <c r="AC316" s="81"/>
      <c r="AD316" s="81"/>
      <c r="AE316" s="158"/>
      <c r="AF316" s="158">
        <f>P316-U316-Z316</f>
        <v>0</v>
      </c>
      <c r="AG316" s="158"/>
      <c r="AH316" s="94">
        <v>0</v>
      </c>
      <c r="AI316" s="94">
        <v>0</v>
      </c>
      <c r="AJ316" s="94"/>
      <c r="AK316" s="158">
        <f t="shared" ref="AK316:AK318" si="74">AF316+AH316</f>
        <v>0</v>
      </c>
      <c r="AL316" s="158"/>
      <c r="AM316" s="158"/>
      <c r="AN316" s="158"/>
      <c r="AO316" s="158"/>
      <c r="AP316" s="81"/>
      <c r="AQ316" s="81"/>
      <c r="AR316" s="81"/>
      <c r="AS316" s="81"/>
      <c r="AT316" s="2">
        <v>1</v>
      </c>
      <c r="AU316" s="58" t="s">
        <v>646</v>
      </c>
      <c r="AV316" s="104"/>
      <c r="AW316" s="51"/>
      <c r="AX316" s="51"/>
      <c r="AY316" s="51"/>
      <c r="AZ316" s="81">
        <v>42</v>
      </c>
      <c r="BA316" s="81"/>
      <c r="BB316" s="81"/>
      <c r="BC316" s="220"/>
      <c r="BD316" s="220">
        <v>42</v>
      </c>
      <c r="BE316" s="220"/>
      <c r="BF316" s="271">
        <v>2019</v>
      </c>
      <c r="BG316" s="271">
        <v>2019</v>
      </c>
      <c r="BH316" s="271"/>
      <c r="BI316" s="271" t="s">
        <v>2375</v>
      </c>
    </row>
    <row r="317" spans="1:61 16137:16286" s="204" customFormat="1" ht="18" customHeight="1">
      <c r="A317" s="160" t="s">
        <v>506</v>
      </c>
      <c r="B317" s="58" t="s">
        <v>924</v>
      </c>
      <c r="C317" s="148" t="s">
        <v>762</v>
      </c>
      <c r="D317" s="33" t="s">
        <v>758</v>
      </c>
      <c r="E317" s="33"/>
      <c r="F317" s="33"/>
      <c r="G317" s="33"/>
      <c r="H317" s="30" t="s">
        <v>715</v>
      </c>
      <c r="I317" s="30">
        <v>2561</v>
      </c>
      <c r="J317" s="212">
        <v>43049</v>
      </c>
      <c r="K317" s="51"/>
      <c r="L317" s="51">
        <v>1</v>
      </c>
      <c r="M317" s="51"/>
      <c r="N317" s="51"/>
      <c r="O317" s="51"/>
      <c r="P317" s="51"/>
      <c r="Q317" s="51"/>
      <c r="R317" s="158"/>
      <c r="S317" s="158"/>
      <c r="T317" s="51"/>
      <c r="U317" s="649"/>
      <c r="V317" s="51"/>
      <c r="W317" s="51"/>
      <c r="X317" s="51"/>
      <c r="Y317" s="51"/>
      <c r="Z317" s="94"/>
      <c r="AA317" s="81"/>
      <c r="AB317" s="81"/>
      <c r="AC317" s="81"/>
      <c r="AD317" s="81"/>
      <c r="AE317" s="158"/>
      <c r="AF317" s="158">
        <f>P317-U317-Z317</f>
        <v>0</v>
      </c>
      <c r="AG317" s="158"/>
      <c r="AH317" s="94">
        <v>0</v>
      </c>
      <c r="AI317" s="94">
        <v>0</v>
      </c>
      <c r="AJ317" s="94"/>
      <c r="AK317" s="158">
        <f t="shared" si="74"/>
        <v>0</v>
      </c>
      <c r="AL317" s="158"/>
      <c r="AM317" s="158"/>
      <c r="AN317" s="158"/>
      <c r="AO317" s="158"/>
      <c r="AP317" s="81"/>
      <c r="AQ317" s="81"/>
      <c r="AR317" s="81"/>
      <c r="AS317" s="81"/>
      <c r="AT317" s="2">
        <v>1</v>
      </c>
      <c r="AU317" s="58" t="s">
        <v>646</v>
      </c>
      <c r="AV317" s="104"/>
      <c r="AW317" s="51"/>
      <c r="AX317" s="51"/>
      <c r="AY317" s="51"/>
      <c r="AZ317" s="81">
        <v>1</v>
      </c>
      <c r="BA317" s="81"/>
      <c r="BB317" s="81"/>
      <c r="BC317" s="220"/>
      <c r="BD317" s="220">
        <v>1</v>
      </c>
      <c r="BE317" s="220"/>
      <c r="BF317" s="271">
        <v>2019</v>
      </c>
      <c r="BG317" s="271">
        <v>2019</v>
      </c>
      <c r="BH317" s="271"/>
      <c r="BI317" s="271" t="s">
        <v>2375</v>
      </c>
    </row>
    <row r="318" spans="1:61 16137:16286" s="204" customFormat="1" ht="18" customHeight="1">
      <c r="A318" s="160" t="s">
        <v>506</v>
      </c>
      <c r="B318" s="58" t="s">
        <v>924</v>
      </c>
      <c r="C318" s="148" t="s">
        <v>763</v>
      </c>
      <c r="D318" s="33" t="s">
        <v>758</v>
      </c>
      <c r="E318" s="33"/>
      <c r="F318" s="33"/>
      <c r="G318" s="33"/>
      <c r="H318" s="30" t="s">
        <v>715</v>
      </c>
      <c r="I318" s="30">
        <v>2807</v>
      </c>
      <c r="J318" s="212">
        <v>43074</v>
      </c>
      <c r="K318" s="51"/>
      <c r="L318" s="51">
        <v>87</v>
      </c>
      <c r="M318" s="51"/>
      <c r="N318" s="51"/>
      <c r="O318" s="51"/>
      <c r="P318" s="51"/>
      <c r="Q318" s="51"/>
      <c r="R318" s="158"/>
      <c r="S318" s="158"/>
      <c r="T318" s="51"/>
      <c r="U318" s="649"/>
      <c r="V318" s="51"/>
      <c r="W318" s="51"/>
      <c r="X318" s="51"/>
      <c r="Y318" s="51"/>
      <c r="Z318" s="94">
        <f>-3559595462+3559595462</f>
        <v>0</v>
      </c>
      <c r="AA318" s="81" t="s">
        <v>1822</v>
      </c>
      <c r="AB318" s="311">
        <v>43313</v>
      </c>
      <c r="AC318" s="81"/>
      <c r="AD318" s="81"/>
      <c r="AE318" s="158"/>
      <c r="AF318" s="158">
        <f>P318-U318-Z318</f>
        <v>0</v>
      </c>
      <c r="AG318" s="158"/>
      <c r="AH318" s="94">
        <v>0</v>
      </c>
      <c r="AI318" s="94">
        <v>0</v>
      </c>
      <c r="AJ318" s="94"/>
      <c r="AK318" s="158">
        <f t="shared" si="74"/>
        <v>0</v>
      </c>
      <c r="AL318" s="158">
        <v>877</v>
      </c>
      <c r="AM318" s="158">
        <v>20</v>
      </c>
      <c r="AN318" s="158"/>
      <c r="AO318" s="158"/>
      <c r="AP318" s="81"/>
      <c r="AQ318" s="81"/>
      <c r="AR318" s="81"/>
      <c r="AS318" s="81"/>
      <c r="AT318" s="2">
        <v>1</v>
      </c>
      <c r="AU318" s="58" t="s">
        <v>646</v>
      </c>
      <c r="AV318" s="104"/>
      <c r="AW318" s="51"/>
      <c r="AX318" s="51"/>
      <c r="AY318" s="51"/>
      <c r="AZ318" s="81">
        <v>87</v>
      </c>
      <c r="BA318" s="81"/>
      <c r="BB318" s="81"/>
      <c r="BC318" s="220"/>
      <c r="BD318" s="220">
        <v>87</v>
      </c>
      <c r="BE318" s="220"/>
      <c r="BF318" s="271">
        <v>2019</v>
      </c>
      <c r="BG318" s="271">
        <v>2019</v>
      </c>
      <c r="BH318" s="271"/>
      <c r="BI318" s="271" t="s">
        <v>2375</v>
      </c>
    </row>
    <row r="319" spans="1:61 16137:16286" s="204" customFormat="1" ht="15" customHeight="1">
      <c r="A319" s="160" t="s">
        <v>506</v>
      </c>
      <c r="B319" s="58" t="s">
        <v>836</v>
      </c>
      <c r="C319" s="148" t="s">
        <v>764</v>
      </c>
      <c r="D319" s="33" t="s">
        <v>759</v>
      </c>
      <c r="E319" s="33"/>
      <c r="F319" s="33"/>
      <c r="G319" s="33"/>
      <c r="H319" s="30" t="s">
        <v>715</v>
      </c>
      <c r="I319" s="30"/>
      <c r="J319" s="212"/>
      <c r="K319" s="51"/>
      <c r="L319" s="51"/>
      <c r="M319" s="51"/>
      <c r="N319" s="51"/>
      <c r="O319" s="51"/>
      <c r="P319" s="51"/>
      <c r="Q319" s="51"/>
      <c r="R319" s="158"/>
      <c r="S319" s="158"/>
      <c r="T319" s="51"/>
      <c r="U319" s="649"/>
      <c r="V319" s="51"/>
      <c r="W319" s="51"/>
      <c r="X319" s="51"/>
      <c r="Y319" s="51"/>
      <c r="Z319" s="94"/>
      <c r="AA319" s="51"/>
      <c r="AB319" s="51"/>
      <c r="AC319" s="51"/>
      <c r="AD319" s="51"/>
      <c r="AE319" s="158"/>
      <c r="AF319" s="158"/>
      <c r="AG319" s="158"/>
      <c r="AH319" s="158"/>
      <c r="AI319" s="158"/>
      <c r="AJ319" s="158"/>
      <c r="AK319" s="158"/>
      <c r="AL319" s="158"/>
      <c r="AM319" s="158"/>
      <c r="AN319" s="158"/>
      <c r="AO319" s="158"/>
      <c r="AP319" s="81"/>
      <c r="AQ319" s="81"/>
      <c r="AR319" s="81"/>
      <c r="AS319" s="81"/>
      <c r="AT319" s="2">
        <v>1</v>
      </c>
      <c r="AU319" s="58" t="s">
        <v>646</v>
      </c>
      <c r="AV319" s="106"/>
      <c r="AW319" s="51"/>
      <c r="AX319" s="51"/>
      <c r="AY319" s="51">
        <v>59</v>
      </c>
      <c r="AZ319" s="51"/>
      <c r="BA319" s="51"/>
      <c r="BB319" s="158"/>
      <c r="BC319" s="69">
        <v>59</v>
      </c>
      <c r="BD319" s="69">
        <f>+AY319</f>
        <v>59</v>
      </c>
      <c r="BE319" s="69"/>
      <c r="BF319" s="271">
        <v>2018</v>
      </c>
      <c r="BG319" s="271"/>
      <c r="BH319" s="271"/>
      <c r="BI319" s="271" t="s">
        <v>2375</v>
      </c>
    </row>
    <row r="320" spans="1:61 16137:16286" s="204" customFormat="1" ht="18" customHeight="1">
      <c r="A320" s="230" t="s">
        <v>506</v>
      </c>
      <c r="B320" s="58" t="s">
        <v>838</v>
      </c>
      <c r="C320" s="148" t="s">
        <v>837</v>
      </c>
      <c r="D320" s="33" t="s">
        <v>760</v>
      </c>
      <c r="E320" s="33"/>
      <c r="F320" s="33"/>
      <c r="G320" s="33"/>
      <c r="H320" s="30" t="s">
        <v>715</v>
      </c>
      <c r="I320" s="30">
        <v>2601</v>
      </c>
      <c r="J320" s="212">
        <v>43054</v>
      </c>
      <c r="K320" s="51"/>
      <c r="L320" s="51">
        <v>22</v>
      </c>
      <c r="M320" s="51"/>
      <c r="N320" s="51"/>
      <c r="O320" s="51"/>
      <c r="P320" s="51"/>
      <c r="Q320" s="51"/>
      <c r="R320" s="158"/>
      <c r="S320" s="158"/>
      <c r="T320" s="51"/>
      <c r="U320" s="649"/>
      <c r="V320" s="51"/>
      <c r="W320" s="51"/>
      <c r="X320" s="51"/>
      <c r="Y320" s="51"/>
      <c r="Z320" s="94"/>
      <c r="AA320" s="81"/>
      <c r="AB320" s="277"/>
      <c r="AC320" s="277"/>
      <c r="AD320" s="277"/>
      <c r="AE320" s="158"/>
      <c r="AF320" s="158">
        <f t="shared" ref="AF320:AF336" si="75">P320-U320-Z320</f>
        <v>0</v>
      </c>
      <c r="AG320" s="158"/>
      <c r="AH320" s="94">
        <v>0</v>
      </c>
      <c r="AI320" s="94">
        <v>0</v>
      </c>
      <c r="AJ320" s="94"/>
      <c r="AK320" s="158">
        <f t="shared" ref="AK320:AK330" si="76">AF320+AH320</f>
        <v>0</v>
      </c>
      <c r="AL320" s="158"/>
      <c r="AM320" s="158"/>
      <c r="AN320" s="158"/>
      <c r="AO320" s="158"/>
      <c r="AP320" s="81"/>
      <c r="AQ320" s="81"/>
      <c r="AR320" s="81"/>
      <c r="AS320" s="81"/>
      <c r="AT320" s="2">
        <v>1</v>
      </c>
      <c r="AU320" s="58" t="s">
        <v>646</v>
      </c>
      <c r="AV320" s="104"/>
      <c r="AW320" s="51"/>
      <c r="AX320" s="51"/>
      <c r="AY320" s="51"/>
      <c r="AZ320" s="81">
        <v>22</v>
      </c>
      <c r="BA320" s="81"/>
      <c r="BB320" s="81"/>
      <c r="BC320" s="220"/>
      <c r="BD320" s="220">
        <v>22</v>
      </c>
      <c r="BE320" s="220"/>
      <c r="BF320" s="271">
        <v>2019</v>
      </c>
      <c r="BG320" s="271">
        <v>2019</v>
      </c>
      <c r="BH320" s="271"/>
      <c r="BI320" s="271" t="s">
        <v>2375</v>
      </c>
    </row>
    <row r="321" spans="1:61" s="204" customFormat="1" ht="18" customHeight="1">
      <c r="A321" s="160" t="s">
        <v>506</v>
      </c>
      <c r="B321" s="58" t="s">
        <v>838</v>
      </c>
      <c r="C321" s="148" t="s">
        <v>837</v>
      </c>
      <c r="D321" s="33" t="s">
        <v>760</v>
      </c>
      <c r="E321" s="33"/>
      <c r="F321" s="33"/>
      <c r="G321" s="33"/>
      <c r="H321" s="30" t="s">
        <v>715</v>
      </c>
      <c r="I321" s="272" t="s">
        <v>1495</v>
      </c>
      <c r="J321" s="215" t="s">
        <v>1496</v>
      </c>
      <c r="K321" s="51"/>
      <c r="L321" s="51"/>
      <c r="M321" s="51">
        <v>4</v>
      </c>
      <c r="N321" s="51">
        <v>4</v>
      </c>
      <c r="O321" s="51"/>
      <c r="P321" s="158">
        <v>284691481</v>
      </c>
      <c r="Q321" s="158"/>
      <c r="R321" s="158"/>
      <c r="S321" s="158"/>
      <c r="T321" s="94"/>
      <c r="U321" s="649"/>
      <c r="V321" s="51"/>
      <c r="W321" s="51"/>
      <c r="X321" s="51"/>
      <c r="Y321" s="51"/>
      <c r="Z321" s="94"/>
      <c r="AA321" s="220"/>
      <c r="AB321" s="220"/>
      <c r="AC321" s="220"/>
      <c r="AD321" s="220"/>
      <c r="AE321" s="158"/>
      <c r="AF321" s="158">
        <f t="shared" si="75"/>
        <v>284691481</v>
      </c>
      <c r="AG321" s="158"/>
      <c r="AH321" s="94">
        <v>0</v>
      </c>
      <c r="AI321" s="94">
        <v>284691481</v>
      </c>
      <c r="AJ321" s="94"/>
      <c r="AK321" s="158">
        <f t="shared" ref="AK321:AK323" si="77">P321-R321-U321-Z321</f>
        <v>284691481</v>
      </c>
      <c r="AL321" s="158">
        <v>877</v>
      </c>
      <c r="AM321" s="158">
        <v>20</v>
      </c>
      <c r="AN321" s="158">
        <v>4</v>
      </c>
      <c r="AO321" s="158"/>
      <c r="AP321" s="81"/>
      <c r="AQ321" s="51"/>
      <c r="AR321" s="51"/>
      <c r="AS321" s="51"/>
      <c r="AT321" s="56">
        <v>0</v>
      </c>
      <c r="AU321" s="58" t="s">
        <v>521</v>
      </c>
      <c r="AV321" s="308" t="s">
        <v>1257</v>
      </c>
      <c r="AW321" s="51"/>
      <c r="AX321" s="51"/>
      <c r="AY321" s="51"/>
      <c r="AZ321" s="81"/>
      <c r="BA321" s="81"/>
      <c r="BB321" s="81"/>
      <c r="BC321" s="220"/>
      <c r="BD321" s="220"/>
      <c r="BE321" s="220"/>
      <c r="BF321" s="271"/>
      <c r="BG321" s="271">
        <v>2019</v>
      </c>
      <c r="BH321" s="271">
        <v>2020</v>
      </c>
      <c r="BI321" s="271" t="s">
        <v>2375</v>
      </c>
    </row>
    <row r="322" spans="1:61" s="204" customFormat="1" ht="18" customHeight="1">
      <c r="A322" s="248" t="s">
        <v>506</v>
      </c>
      <c r="B322" s="58" t="s">
        <v>836</v>
      </c>
      <c r="C322" s="148" t="s">
        <v>839</v>
      </c>
      <c r="D322" s="33" t="s">
        <v>761</v>
      </c>
      <c r="E322" s="33"/>
      <c r="F322" s="33"/>
      <c r="G322" s="33"/>
      <c r="H322" s="30" t="s">
        <v>731</v>
      </c>
      <c r="I322" s="115" t="s">
        <v>1474</v>
      </c>
      <c r="J322" s="215" t="s">
        <v>1473</v>
      </c>
      <c r="K322" s="51"/>
      <c r="L322" s="51"/>
      <c r="M322" s="51">
        <f>49-3</f>
        <v>46</v>
      </c>
      <c r="N322" s="51">
        <v>46</v>
      </c>
      <c r="O322" s="51"/>
      <c r="P322" s="158">
        <f>3401464105-208252904</f>
        <v>3193211201</v>
      </c>
      <c r="Q322" s="158"/>
      <c r="R322" s="158"/>
      <c r="S322" s="158"/>
      <c r="T322" s="51"/>
      <c r="U322" s="649">
        <v>1416394870</v>
      </c>
      <c r="V322" s="51">
        <v>10</v>
      </c>
      <c r="W322" s="51"/>
      <c r="X322" s="51"/>
      <c r="Y322" s="51"/>
      <c r="Z322" s="94">
        <v>1776816331</v>
      </c>
      <c r="AA322" s="81">
        <v>10</v>
      </c>
      <c r="AB322" s="311">
        <v>43586</v>
      </c>
      <c r="AC322" s="583"/>
      <c r="AD322" s="97"/>
      <c r="AE322" s="158"/>
      <c r="AF322" s="158">
        <f t="shared" si="75"/>
        <v>0</v>
      </c>
      <c r="AG322" s="158"/>
      <c r="AH322" s="94">
        <v>0</v>
      </c>
      <c r="AI322" s="94">
        <v>0</v>
      </c>
      <c r="AJ322" s="94"/>
      <c r="AK322" s="158">
        <f t="shared" si="77"/>
        <v>0</v>
      </c>
      <c r="AL322" s="158">
        <v>877</v>
      </c>
      <c r="AM322" s="158">
        <v>10</v>
      </c>
      <c r="AN322" s="158"/>
      <c r="AO322" s="158"/>
      <c r="AP322" s="158">
        <f>49-3</f>
        <v>46</v>
      </c>
      <c r="AQ322" s="51"/>
      <c r="AR322" s="51"/>
      <c r="AS322" s="51"/>
      <c r="AT322" s="56">
        <v>1</v>
      </c>
      <c r="AU322" s="58" t="s">
        <v>646</v>
      </c>
      <c r="AV322" s="308" t="s">
        <v>1227</v>
      </c>
      <c r="AW322" s="51"/>
      <c r="AX322" s="51"/>
      <c r="AY322" s="51"/>
      <c r="AZ322" s="81"/>
      <c r="BA322" s="158">
        <f>49-3</f>
        <v>46</v>
      </c>
      <c r="BB322" s="81"/>
      <c r="BC322" s="81"/>
      <c r="BD322" s="158">
        <f>49-3</f>
        <v>46</v>
      </c>
      <c r="BE322" s="220"/>
      <c r="BF322" s="271">
        <v>2020</v>
      </c>
      <c r="BG322" s="271">
        <v>2019</v>
      </c>
      <c r="BH322" s="430">
        <v>2020</v>
      </c>
      <c r="BI322" s="271" t="s">
        <v>2375</v>
      </c>
    </row>
    <row r="323" spans="1:61" s="204" customFormat="1" ht="28.5" customHeight="1">
      <c r="A323" s="160" t="s">
        <v>506</v>
      </c>
      <c r="B323" s="58" t="s">
        <v>836</v>
      </c>
      <c r="C323" s="148" t="s">
        <v>839</v>
      </c>
      <c r="D323" s="33" t="s">
        <v>761</v>
      </c>
      <c r="E323" s="33"/>
      <c r="F323" s="33"/>
      <c r="G323" s="33"/>
      <c r="H323" s="30" t="s">
        <v>731</v>
      </c>
      <c r="I323" s="115">
        <v>3136</v>
      </c>
      <c r="J323" s="212">
        <v>43098</v>
      </c>
      <c r="K323" s="51"/>
      <c r="L323" s="51"/>
      <c r="M323" s="51">
        <v>3</v>
      </c>
      <c r="N323" s="51">
        <v>3</v>
      </c>
      <c r="O323" s="51"/>
      <c r="P323" s="158">
        <v>208252904</v>
      </c>
      <c r="Q323" s="158"/>
      <c r="R323" s="158"/>
      <c r="S323" s="158"/>
      <c r="T323" s="51"/>
      <c r="U323" s="649">
        <f>92373581-92373581</f>
        <v>0</v>
      </c>
      <c r="V323" s="51">
        <v>10</v>
      </c>
      <c r="W323" s="51"/>
      <c r="X323" s="51"/>
      <c r="Y323" s="51"/>
      <c r="Z323" s="94"/>
      <c r="AA323" s="81"/>
      <c r="AB323" s="81"/>
      <c r="AC323" s="81"/>
      <c r="AD323" s="81"/>
      <c r="AE323" s="158"/>
      <c r="AF323" s="158">
        <f>P323-U323-Z323-115879323</f>
        <v>92373581</v>
      </c>
      <c r="AG323" s="158"/>
      <c r="AH323" s="158">
        <v>115879323</v>
      </c>
      <c r="AI323" s="158">
        <v>208252904</v>
      </c>
      <c r="AJ323" s="158"/>
      <c r="AK323" s="158">
        <f t="shared" si="77"/>
        <v>208252904</v>
      </c>
      <c r="AL323" s="158">
        <v>877</v>
      </c>
      <c r="AM323" s="158">
        <v>10</v>
      </c>
      <c r="AN323" s="158">
        <v>3</v>
      </c>
      <c r="AO323" s="158"/>
      <c r="AP323" s="81"/>
      <c r="AQ323" s="51"/>
      <c r="AR323" s="51"/>
      <c r="AS323" s="51"/>
      <c r="AT323" s="56">
        <v>0</v>
      </c>
      <c r="AU323" s="58" t="s">
        <v>521</v>
      </c>
      <c r="AV323" s="308" t="s">
        <v>2161</v>
      </c>
      <c r="AW323" s="51"/>
      <c r="AX323" s="51"/>
      <c r="AY323" s="51"/>
      <c r="AZ323" s="81"/>
      <c r="BA323" s="81"/>
      <c r="BB323" s="81"/>
      <c r="BC323" s="220"/>
      <c r="BD323" s="220"/>
      <c r="BE323" s="220"/>
      <c r="BF323" s="271"/>
      <c r="BG323" s="271">
        <v>2019</v>
      </c>
      <c r="BH323" s="271">
        <v>2020</v>
      </c>
      <c r="BI323" s="271" t="s">
        <v>2375</v>
      </c>
    </row>
    <row r="324" spans="1:61" s="204" customFormat="1" ht="29.25" customHeight="1">
      <c r="A324" s="160" t="s">
        <v>506</v>
      </c>
      <c r="B324" s="58" t="s">
        <v>990</v>
      </c>
      <c r="C324" s="55" t="s">
        <v>944</v>
      </c>
      <c r="D324" s="33" t="s">
        <v>45</v>
      </c>
      <c r="E324" s="33"/>
      <c r="F324" s="33"/>
      <c r="G324" s="33"/>
      <c r="H324" s="30" t="s">
        <v>968</v>
      </c>
      <c r="I324" s="30">
        <v>594</v>
      </c>
      <c r="J324" s="212">
        <v>43180</v>
      </c>
      <c r="K324" s="81">
        <v>45</v>
      </c>
      <c r="L324" s="81">
        <v>45</v>
      </c>
      <c r="M324" s="81"/>
      <c r="N324" s="81"/>
      <c r="O324" s="81"/>
      <c r="P324" s="158"/>
      <c r="Q324" s="158"/>
      <c r="R324" s="158"/>
      <c r="S324" s="158"/>
      <c r="T324" s="81"/>
      <c r="U324" s="649"/>
      <c r="V324" s="81"/>
      <c r="W324" s="81"/>
      <c r="X324" s="81"/>
      <c r="Y324" s="81"/>
      <c r="Z324" s="94">
        <v>1845357076</v>
      </c>
      <c r="AA324" s="81">
        <v>10</v>
      </c>
      <c r="AB324" s="311">
        <v>43435</v>
      </c>
      <c r="AC324" s="81"/>
      <c r="AD324" s="81"/>
      <c r="AE324" s="158"/>
      <c r="AF324" s="158">
        <f t="shared" si="75"/>
        <v>-1845357076</v>
      </c>
      <c r="AG324" s="158"/>
      <c r="AH324" s="94">
        <v>0</v>
      </c>
      <c r="AI324" s="94">
        <v>0</v>
      </c>
      <c r="AJ324" s="94"/>
      <c r="AK324" s="158">
        <f t="shared" si="76"/>
        <v>-1845357076</v>
      </c>
      <c r="AL324" s="158"/>
      <c r="AM324" s="158"/>
      <c r="AN324" s="158"/>
      <c r="AO324" s="158"/>
      <c r="AP324" s="81"/>
      <c r="AQ324" s="51"/>
      <c r="AR324" s="51"/>
      <c r="AS324" s="51"/>
      <c r="AT324" s="2">
        <v>1</v>
      </c>
      <c r="AU324" s="58" t="s">
        <v>646</v>
      </c>
      <c r="AV324" s="104"/>
      <c r="AW324" s="51"/>
      <c r="AX324" s="51"/>
      <c r="AY324" s="51"/>
      <c r="AZ324" s="81">
        <v>45</v>
      </c>
      <c r="BA324" s="81"/>
      <c r="BB324" s="81"/>
      <c r="BC324" s="220"/>
      <c r="BD324" s="220">
        <v>45</v>
      </c>
      <c r="BE324" s="220"/>
      <c r="BF324" s="271">
        <v>2019</v>
      </c>
      <c r="BG324" s="271">
        <v>2019</v>
      </c>
      <c r="BH324" s="271"/>
      <c r="BI324" s="271" t="s">
        <v>2375</v>
      </c>
    </row>
    <row r="325" spans="1:61" s="204" customFormat="1" ht="18" customHeight="1">
      <c r="A325" s="160" t="s">
        <v>506</v>
      </c>
      <c r="B325" s="58" t="s">
        <v>1003</v>
      </c>
      <c r="C325" s="148" t="s">
        <v>950</v>
      </c>
      <c r="D325" s="33" t="s">
        <v>991</v>
      </c>
      <c r="E325" s="33"/>
      <c r="F325" s="33"/>
      <c r="G325" s="33"/>
      <c r="H325" s="30" t="s">
        <v>968</v>
      </c>
      <c r="I325" s="30">
        <v>1364</v>
      </c>
      <c r="J325" s="212">
        <v>43271</v>
      </c>
      <c r="K325" s="81">
        <v>34</v>
      </c>
      <c r="L325" s="81">
        <v>34</v>
      </c>
      <c r="M325" s="43"/>
      <c r="N325" s="43"/>
      <c r="O325" s="43"/>
      <c r="P325" s="158">
        <v>2136321556</v>
      </c>
      <c r="Q325" s="158"/>
      <c r="R325" s="158"/>
      <c r="S325" s="158"/>
      <c r="T325" s="214"/>
      <c r="U325" s="649">
        <v>887724955</v>
      </c>
      <c r="V325" s="81">
        <v>20</v>
      </c>
      <c r="W325" s="81"/>
      <c r="X325" s="81"/>
      <c r="Y325" s="81"/>
      <c r="Z325" s="94">
        <v>1248596601</v>
      </c>
      <c r="AA325" s="81">
        <v>10</v>
      </c>
      <c r="AB325" s="311">
        <v>43497</v>
      </c>
      <c r="AC325" s="311"/>
      <c r="AD325" s="81"/>
      <c r="AE325" s="158"/>
      <c r="AF325" s="158">
        <f t="shared" si="75"/>
        <v>0</v>
      </c>
      <c r="AG325" s="158"/>
      <c r="AH325" s="94">
        <v>0</v>
      </c>
      <c r="AI325" s="94">
        <v>0</v>
      </c>
      <c r="AJ325" s="94"/>
      <c r="AK325" s="158">
        <f t="shared" si="76"/>
        <v>0</v>
      </c>
      <c r="AL325" s="158">
        <v>877</v>
      </c>
      <c r="AM325" s="158">
        <v>10</v>
      </c>
      <c r="AN325" s="158"/>
      <c r="AO325" s="158"/>
      <c r="AP325" s="81"/>
      <c r="AQ325" s="51"/>
      <c r="AR325" s="51"/>
      <c r="AS325" s="51"/>
      <c r="AT325" s="2">
        <v>1</v>
      </c>
      <c r="AU325" s="58" t="s">
        <v>646</v>
      </c>
      <c r="AV325" s="104"/>
      <c r="AW325" s="51"/>
      <c r="AX325" s="51"/>
      <c r="AY325" s="51"/>
      <c r="AZ325" s="81">
        <v>34</v>
      </c>
      <c r="BA325" s="81"/>
      <c r="BB325" s="81"/>
      <c r="BC325" s="220"/>
      <c r="BD325" s="220">
        <v>34</v>
      </c>
      <c r="BE325" s="220"/>
      <c r="BF325" s="271">
        <v>2019</v>
      </c>
      <c r="BG325" s="271">
        <v>2019</v>
      </c>
      <c r="BH325" s="271"/>
      <c r="BI325" s="271" t="s">
        <v>2375</v>
      </c>
    </row>
    <row r="326" spans="1:61" s="204" customFormat="1" ht="18" customHeight="1">
      <c r="A326" s="160" t="s">
        <v>506</v>
      </c>
      <c r="B326" s="58" t="s">
        <v>1044</v>
      </c>
      <c r="C326" s="148" t="s">
        <v>1051</v>
      </c>
      <c r="D326" s="33" t="s">
        <v>1021</v>
      </c>
      <c r="E326" s="33"/>
      <c r="F326" s="33"/>
      <c r="G326" s="33"/>
      <c r="H326" s="30" t="s">
        <v>968</v>
      </c>
      <c r="I326" s="30">
        <v>1410</v>
      </c>
      <c r="J326" s="212">
        <v>43273</v>
      </c>
      <c r="K326" s="81">
        <v>45</v>
      </c>
      <c r="L326" s="81">
        <v>45</v>
      </c>
      <c r="M326" s="81"/>
      <c r="N326" s="81"/>
      <c r="O326" s="81"/>
      <c r="P326" s="158">
        <v>2836287546</v>
      </c>
      <c r="Q326" s="158"/>
      <c r="R326" s="158"/>
      <c r="S326" s="158"/>
      <c r="T326" s="214"/>
      <c r="U326" s="649">
        <v>1258165215</v>
      </c>
      <c r="V326" s="81">
        <v>20</v>
      </c>
      <c r="W326" s="81"/>
      <c r="X326" s="81"/>
      <c r="Y326" s="81"/>
      <c r="Z326" s="94">
        <v>1578122331</v>
      </c>
      <c r="AA326" s="81">
        <v>10</v>
      </c>
      <c r="AB326" s="311">
        <v>43497</v>
      </c>
      <c r="AC326" s="311"/>
      <c r="AD326" s="81"/>
      <c r="AE326" s="158"/>
      <c r="AF326" s="158">
        <f t="shared" si="75"/>
        <v>0</v>
      </c>
      <c r="AG326" s="158"/>
      <c r="AH326" s="94">
        <v>0</v>
      </c>
      <c r="AI326" s="94">
        <v>0</v>
      </c>
      <c r="AJ326" s="94"/>
      <c r="AK326" s="158">
        <f t="shared" si="76"/>
        <v>0</v>
      </c>
      <c r="AL326" s="158">
        <v>877</v>
      </c>
      <c r="AM326" s="158">
        <v>10</v>
      </c>
      <c r="AN326" s="158"/>
      <c r="AO326" s="158"/>
      <c r="AP326" s="81"/>
      <c r="AQ326" s="51"/>
      <c r="AR326" s="51"/>
      <c r="AS326" s="51"/>
      <c r="AT326" s="2">
        <v>1</v>
      </c>
      <c r="AU326" s="58" t="s">
        <v>646</v>
      </c>
      <c r="AV326" s="104"/>
      <c r="AW326" s="51"/>
      <c r="AX326" s="51"/>
      <c r="AY326" s="51"/>
      <c r="AZ326" s="81">
        <v>45</v>
      </c>
      <c r="BA326" s="81"/>
      <c r="BB326" s="81"/>
      <c r="BC326" s="220"/>
      <c r="BD326" s="220">
        <v>45</v>
      </c>
      <c r="BE326" s="220"/>
      <c r="BF326" s="271">
        <v>2019</v>
      </c>
      <c r="BG326" s="271">
        <v>2019</v>
      </c>
      <c r="BH326" s="271"/>
      <c r="BI326" s="271" t="s">
        <v>2375</v>
      </c>
    </row>
    <row r="327" spans="1:61" s="204" customFormat="1" ht="18" customHeight="1">
      <c r="A327" s="230" t="s">
        <v>506</v>
      </c>
      <c r="B327" s="58" t="s">
        <v>836</v>
      </c>
      <c r="C327" s="148" t="s">
        <v>1377</v>
      </c>
      <c r="D327" s="33" t="s">
        <v>998</v>
      </c>
      <c r="E327" s="33"/>
      <c r="F327" s="33"/>
      <c r="G327" s="33"/>
      <c r="H327" s="30" t="s">
        <v>1116</v>
      </c>
      <c r="I327" s="30">
        <v>293</v>
      </c>
      <c r="J327" s="212">
        <v>43403</v>
      </c>
      <c r="K327" s="81">
        <v>11</v>
      </c>
      <c r="L327" s="81">
        <v>11</v>
      </c>
      <c r="M327" s="81"/>
      <c r="N327" s="81"/>
      <c r="O327" s="81"/>
      <c r="P327" s="158">
        <v>843307867</v>
      </c>
      <c r="Q327" s="158"/>
      <c r="R327" s="158"/>
      <c r="S327" s="158"/>
      <c r="T327" s="94"/>
      <c r="U327" s="94">
        <v>345765701</v>
      </c>
      <c r="V327" s="214">
        <v>10</v>
      </c>
      <c r="W327" s="311">
        <v>43405</v>
      </c>
      <c r="X327" s="214"/>
      <c r="Y327" s="214"/>
      <c r="Z327" s="94">
        <v>497542166</v>
      </c>
      <c r="AA327" s="94">
        <v>10</v>
      </c>
      <c r="AB327" s="311">
        <v>43617</v>
      </c>
      <c r="AC327" s="329"/>
      <c r="AD327" s="233"/>
      <c r="AE327" s="158"/>
      <c r="AF327" s="158">
        <f t="shared" si="75"/>
        <v>0</v>
      </c>
      <c r="AG327" s="158"/>
      <c r="AH327" s="94">
        <v>0</v>
      </c>
      <c r="AI327" s="94">
        <v>0</v>
      </c>
      <c r="AJ327" s="94"/>
      <c r="AK327" s="158">
        <f t="shared" si="76"/>
        <v>0</v>
      </c>
      <c r="AL327" s="158">
        <v>877</v>
      </c>
      <c r="AM327" s="158">
        <v>10</v>
      </c>
      <c r="AN327" s="158"/>
      <c r="AO327" s="158"/>
      <c r="AP327" s="81"/>
      <c r="AQ327" s="51"/>
      <c r="AR327" s="51"/>
      <c r="AS327" s="51"/>
      <c r="AT327" s="2">
        <v>1</v>
      </c>
      <c r="AU327" s="58" t="s">
        <v>646</v>
      </c>
      <c r="AV327" s="104" t="s">
        <v>1709</v>
      </c>
      <c r="AW327" s="51"/>
      <c r="AX327" s="51"/>
      <c r="AY327" s="51"/>
      <c r="AZ327" s="81">
        <v>11</v>
      </c>
      <c r="BA327" s="81"/>
      <c r="BB327" s="81"/>
      <c r="BC327" s="220"/>
      <c r="BD327" s="220">
        <v>11</v>
      </c>
      <c r="BE327" s="220"/>
      <c r="BF327" s="271">
        <v>2019</v>
      </c>
      <c r="BG327" s="271">
        <v>2019</v>
      </c>
      <c r="BH327" s="271"/>
      <c r="BI327" s="271" t="s">
        <v>2375</v>
      </c>
    </row>
    <row r="328" spans="1:61" s="204" customFormat="1" ht="18" customHeight="1">
      <c r="A328" s="160" t="s">
        <v>506</v>
      </c>
      <c r="B328" s="58" t="s">
        <v>836</v>
      </c>
      <c r="C328" s="148" t="s">
        <v>1120</v>
      </c>
      <c r="D328" s="33" t="s">
        <v>998</v>
      </c>
      <c r="E328" s="33"/>
      <c r="F328" s="33"/>
      <c r="G328" s="33"/>
      <c r="H328" s="30" t="s">
        <v>1116</v>
      </c>
      <c r="I328" s="78">
        <v>325</v>
      </c>
      <c r="J328" s="212">
        <v>43405</v>
      </c>
      <c r="K328" s="81">
        <f>35-1</f>
        <v>34</v>
      </c>
      <c r="L328" s="81">
        <v>34</v>
      </c>
      <c r="M328" s="81"/>
      <c r="N328" s="81"/>
      <c r="O328" s="81"/>
      <c r="P328" s="158">
        <f>2683252305-76664419</f>
        <v>2606587886</v>
      </c>
      <c r="Q328" s="158"/>
      <c r="R328" s="158"/>
      <c r="S328" s="158"/>
      <c r="T328" s="94"/>
      <c r="U328" s="94">
        <v>1073742177</v>
      </c>
      <c r="V328" s="214">
        <v>10</v>
      </c>
      <c r="W328" s="311">
        <v>43405</v>
      </c>
      <c r="X328" s="214"/>
      <c r="Y328" s="214"/>
      <c r="Z328" s="94">
        <v>1532845709</v>
      </c>
      <c r="AA328" s="218">
        <v>10</v>
      </c>
      <c r="AB328" s="311">
        <v>43647</v>
      </c>
      <c r="AC328" s="577"/>
      <c r="AD328" s="218"/>
      <c r="AE328" s="158"/>
      <c r="AF328" s="158">
        <f t="shared" si="75"/>
        <v>0</v>
      </c>
      <c r="AG328" s="158"/>
      <c r="AH328" s="94">
        <v>0</v>
      </c>
      <c r="AI328" s="94">
        <v>0</v>
      </c>
      <c r="AJ328" s="94"/>
      <c r="AK328" s="158">
        <f t="shared" si="76"/>
        <v>0</v>
      </c>
      <c r="AL328" s="158">
        <v>877</v>
      </c>
      <c r="AM328" s="158">
        <v>10</v>
      </c>
      <c r="AN328" s="158"/>
      <c r="AO328" s="158"/>
      <c r="AP328" s="51"/>
      <c r="AQ328" s="51"/>
      <c r="AR328" s="51"/>
      <c r="AS328" s="51"/>
      <c r="AT328" s="56">
        <v>1</v>
      </c>
      <c r="AU328" s="58" t="s">
        <v>646</v>
      </c>
      <c r="AV328" s="104"/>
      <c r="AW328" s="51"/>
      <c r="AX328" s="51"/>
      <c r="AY328" s="51"/>
      <c r="AZ328" s="51">
        <v>34</v>
      </c>
      <c r="BA328" s="51"/>
      <c r="BB328" s="51"/>
      <c r="BC328" s="71"/>
      <c r="BD328" s="71">
        <v>34</v>
      </c>
      <c r="BE328" s="71"/>
      <c r="BF328" s="271">
        <v>2019</v>
      </c>
      <c r="BG328" s="271">
        <v>2019</v>
      </c>
      <c r="BH328" s="271"/>
      <c r="BI328" s="271" t="s">
        <v>2375</v>
      </c>
    </row>
    <row r="329" spans="1:61" s="204" customFormat="1" ht="18" customHeight="1">
      <c r="A329" s="160" t="s">
        <v>506</v>
      </c>
      <c r="B329" s="58" t="s">
        <v>836</v>
      </c>
      <c r="C329" s="148" t="s">
        <v>1120</v>
      </c>
      <c r="D329" s="33" t="s">
        <v>998</v>
      </c>
      <c r="E329" s="33"/>
      <c r="F329" s="33"/>
      <c r="G329" s="33"/>
      <c r="H329" s="30" t="s">
        <v>1116</v>
      </c>
      <c r="I329" s="78">
        <v>325</v>
      </c>
      <c r="J329" s="212">
        <v>43405</v>
      </c>
      <c r="K329" s="81">
        <v>1</v>
      </c>
      <c r="L329" s="81">
        <v>1</v>
      </c>
      <c r="M329" s="81"/>
      <c r="N329" s="81">
        <v>1</v>
      </c>
      <c r="O329" s="81"/>
      <c r="P329" s="158">
        <v>76664419</v>
      </c>
      <c r="Q329" s="158"/>
      <c r="R329" s="158"/>
      <c r="S329" s="158"/>
      <c r="T329" s="94"/>
      <c r="U329" s="94"/>
      <c r="V329" s="81"/>
      <c r="W329" s="81"/>
      <c r="X329" s="81"/>
      <c r="Y329" s="81"/>
      <c r="Z329" s="94"/>
      <c r="AA329" s="221"/>
      <c r="AB329" s="221"/>
      <c r="AC329" s="221"/>
      <c r="AD329" s="221"/>
      <c r="AE329" s="158"/>
      <c r="AF329" s="158">
        <f t="shared" si="75"/>
        <v>76664419</v>
      </c>
      <c r="AG329" s="158"/>
      <c r="AH329" s="94">
        <v>0</v>
      </c>
      <c r="AI329" s="94">
        <v>76664419</v>
      </c>
      <c r="AJ329" s="94"/>
      <c r="AK329" s="158">
        <f t="shared" ref="AK329" si="78">P329-R329-U329-Z329</f>
        <v>76664419</v>
      </c>
      <c r="AL329" s="158">
        <v>877</v>
      </c>
      <c r="AM329" s="158">
        <v>20</v>
      </c>
      <c r="AN329" s="158">
        <v>1</v>
      </c>
      <c r="AO329" s="158"/>
      <c r="AP329" s="51"/>
      <c r="AQ329" s="51"/>
      <c r="AR329" s="51"/>
      <c r="AS329" s="51"/>
      <c r="AT329" s="56">
        <v>0</v>
      </c>
      <c r="AU329" s="58" t="s">
        <v>521</v>
      </c>
      <c r="AV329" s="104"/>
      <c r="AW329" s="51"/>
      <c r="AX329" s="51"/>
      <c r="AY329" s="51"/>
      <c r="AZ329" s="51"/>
      <c r="BA329" s="51"/>
      <c r="BB329" s="51"/>
      <c r="BC329" s="71"/>
      <c r="BD329" s="71"/>
      <c r="BE329" s="71"/>
      <c r="BF329" s="271"/>
      <c r="BG329" s="271">
        <v>2019</v>
      </c>
      <c r="BH329" s="271">
        <v>2020</v>
      </c>
      <c r="BI329" s="271" t="s">
        <v>2375</v>
      </c>
    </row>
    <row r="330" spans="1:61" s="204" customFormat="1" ht="18" customHeight="1">
      <c r="A330" s="243" t="s">
        <v>506</v>
      </c>
      <c r="B330" s="58" t="s">
        <v>141</v>
      </c>
      <c r="C330" s="148" t="s">
        <v>1341</v>
      </c>
      <c r="D330" s="33" t="s">
        <v>1021</v>
      </c>
      <c r="E330" s="33"/>
      <c r="F330" s="33"/>
      <c r="G330" s="33"/>
      <c r="H330" s="30" t="s">
        <v>1116</v>
      </c>
      <c r="I330" s="30">
        <v>294</v>
      </c>
      <c r="J330" s="212">
        <v>43403</v>
      </c>
      <c r="K330" s="81">
        <v>45</v>
      </c>
      <c r="L330" s="81">
        <v>45</v>
      </c>
      <c r="M330" s="81"/>
      <c r="N330" s="81"/>
      <c r="O330" s="81"/>
      <c r="P330" s="158">
        <v>3610429875</v>
      </c>
      <c r="Q330" s="158"/>
      <c r="R330" s="158"/>
      <c r="S330" s="158"/>
      <c r="T330" s="94"/>
      <c r="U330" s="94">
        <v>1579803750</v>
      </c>
      <c r="V330" s="158">
        <v>10</v>
      </c>
      <c r="W330" s="311">
        <v>43405</v>
      </c>
      <c r="X330" s="158"/>
      <c r="Y330" s="158"/>
      <c r="Z330" s="94">
        <v>2030626125</v>
      </c>
      <c r="AA330" s="214">
        <v>10</v>
      </c>
      <c r="AB330" s="311">
        <v>43586</v>
      </c>
      <c r="AC330" s="584"/>
      <c r="AD330" s="278"/>
      <c r="AE330" s="158"/>
      <c r="AF330" s="158">
        <f t="shared" si="75"/>
        <v>0</v>
      </c>
      <c r="AG330" s="158"/>
      <c r="AH330" s="94">
        <v>0</v>
      </c>
      <c r="AI330" s="94">
        <v>0</v>
      </c>
      <c r="AJ330" s="94"/>
      <c r="AK330" s="158">
        <f t="shared" si="76"/>
        <v>0</v>
      </c>
      <c r="AL330" s="158">
        <v>877</v>
      </c>
      <c r="AM330" s="158">
        <v>10</v>
      </c>
      <c r="AN330" s="158"/>
      <c r="AO330" s="158"/>
      <c r="AP330" s="81"/>
      <c r="AQ330" s="51"/>
      <c r="AR330" s="51"/>
      <c r="AS330" s="51"/>
      <c r="AT330" s="2">
        <v>1</v>
      </c>
      <c r="AU330" s="58" t="s">
        <v>646</v>
      </c>
      <c r="AV330" s="104" t="s">
        <v>1709</v>
      </c>
      <c r="AW330" s="51"/>
      <c r="AX330" s="51"/>
      <c r="AY330" s="51"/>
      <c r="AZ330" s="51">
        <v>45</v>
      </c>
      <c r="BA330" s="51"/>
      <c r="BB330" s="51"/>
      <c r="BC330" s="71"/>
      <c r="BD330" s="71">
        <v>45</v>
      </c>
      <c r="BE330" s="71"/>
      <c r="BF330" s="271">
        <v>2019</v>
      </c>
      <c r="BG330" s="271">
        <v>2019</v>
      </c>
      <c r="BH330" s="271"/>
      <c r="BI330" s="271" t="s">
        <v>2375</v>
      </c>
    </row>
    <row r="331" spans="1:61" s="204" customFormat="1" ht="63" customHeight="1">
      <c r="A331" s="160" t="s">
        <v>506</v>
      </c>
      <c r="B331" s="58" t="s">
        <v>1383</v>
      </c>
      <c r="C331" s="148" t="s">
        <v>1147</v>
      </c>
      <c r="D331" s="33" t="s">
        <v>998</v>
      </c>
      <c r="E331" s="33"/>
      <c r="F331" s="33"/>
      <c r="G331" s="33"/>
      <c r="H331" s="30" t="s">
        <v>1113</v>
      </c>
      <c r="I331" s="226">
        <v>708</v>
      </c>
      <c r="J331" s="212">
        <v>43452</v>
      </c>
      <c r="K331" s="81">
        <f>13+3</f>
        <v>16</v>
      </c>
      <c r="L331" s="81">
        <f>13+3</f>
        <v>16</v>
      </c>
      <c r="M331" s="81"/>
      <c r="N331" s="81">
        <v>16</v>
      </c>
      <c r="O331" s="81"/>
      <c r="P331" s="158">
        <v>1202917443</v>
      </c>
      <c r="Q331" s="158"/>
      <c r="R331" s="158"/>
      <c r="S331" s="158"/>
      <c r="T331" s="158"/>
      <c r="U331" s="94">
        <v>638770922</v>
      </c>
      <c r="V331" s="81">
        <v>10</v>
      </c>
      <c r="W331" s="311">
        <v>43497</v>
      </c>
      <c r="X331" s="311"/>
      <c r="Y331" s="311"/>
      <c r="Z331" s="94">
        <v>564146521</v>
      </c>
      <c r="AA331" s="220">
        <v>20</v>
      </c>
      <c r="AB331" s="311">
        <v>43709</v>
      </c>
      <c r="AC331" s="577"/>
      <c r="AD331" s="220"/>
      <c r="AE331" s="158"/>
      <c r="AF331" s="158">
        <f t="shared" si="75"/>
        <v>0</v>
      </c>
      <c r="AG331" s="158"/>
      <c r="AH331" s="94">
        <v>0</v>
      </c>
      <c r="AI331" s="94">
        <v>0</v>
      </c>
      <c r="AJ331" s="94"/>
      <c r="AK331" s="158">
        <f t="shared" ref="AK331:AK332" si="79">P331-R331-U331-Z331</f>
        <v>0</v>
      </c>
      <c r="AL331" s="158">
        <v>877</v>
      </c>
      <c r="AM331" s="158">
        <v>20</v>
      </c>
      <c r="AN331" s="158"/>
      <c r="AO331" s="158">
        <v>16</v>
      </c>
      <c r="AP331" s="51"/>
      <c r="AQ331" s="51"/>
      <c r="AR331" s="51"/>
      <c r="AS331" s="51"/>
      <c r="AT331" s="56">
        <v>0.72</v>
      </c>
      <c r="AU331" s="58" t="s">
        <v>38</v>
      </c>
      <c r="AV331" s="717" t="s">
        <v>2180</v>
      </c>
      <c r="AW331" s="51"/>
      <c r="AX331" s="51"/>
      <c r="AY331" s="51"/>
      <c r="AZ331" s="51"/>
      <c r="BA331" s="51"/>
      <c r="BB331" s="51"/>
      <c r="BC331" s="71"/>
      <c r="BD331" s="71"/>
      <c r="BE331" s="71"/>
      <c r="BF331" s="271"/>
      <c r="BG331" s="271">
        <v>2019</v>
      </c>
      <c r="BH331" s="430">
        <v>2020</v>
      </c>
      <c r="BI331" s="271" t="s">
        <v>2375</v>
      </c>
    </row>
    <row r="332" spans="1:61" s="204" customFormat="1" ht="36" customHeight="1">
      <c r="A332" s="160" t="s">
        <v>506</v>
      </c>
      <c r="B332" s="58" t="s">
        <v>1333</v>
      </c>
      <c r="C332" s="148" t="s">
        <v>1147</v>
      </c>
      <c r="D332" s="33" t="s">
        <v>998</v>
      </c>
      <c r="E332" s="33"/>
      <c r="F332" s="33"/>
      <c r="G332" s="33"/>
      <c r="H332" s="30" t="s">
        <v>1113</v>
      </c>
      <c r="I332" s="82">
        <v>708</v>
      </c>
      <c r="J332" s="212">
        <v>43452</v>
      </c>
      <c r="K332" s="81"/>
      <c r="L332" s="81"/>
      <c r="M332" s="81">
        <v>2</v>
      </c>
      <c r="N332" s="81">
        <v>2</v>
      </c>
      <c r="O332" s="81"/>
      <c r="P332" s="158">
        <f>75182340+75182340</f>
        <v>150364680</v>
      </c>
      <c r="Q332" s="158"/>
      <c r="R332" s="158"/>
      <c r="S332" s="158"/>
      <c r="T332" s="158"/>
      <c r="U332" s="94">
        <v>80904549</v>
      </c>
      <c r="V332" s="81">
        <v>20</v>
      </c>
      <c r="W332" s="311">
        <v>43889</v>
      </c>
      <c r="X332" s="311"/>
      <c r="Y332" s="311"/>
      <c r="Z332" s="94"/>
      <c r="AA332" s="81"/>
      <c r="AB332" s="81"/>
      <c r="AC332" s="81"/>
      <c r="AD332" s="81"/>
      <c r="AE332" s="158"/>
      <c r="AF332" s="158">
        <f>P332</f>
        <v>150364680</v>
      </c>
      <c r="AG332" s="158"/>
      <c r="AH332" s="94">
        <v>0</v>
      </c>
      <c r="AI332" s="94">
        <v>150364680</v>
      </c>
      <c r="AJ332" s="94"/>
      <c r="AK332" s="158">
        <f t="shared" si="79"/>
        <v>69460131</v>
      </c>
      <c r="AL332" s="158">
        <v>877</v>
      </c>
      <c r="AM332" s="158">
        <v>20</v>
      </c>
      <c r="AN332" s="158"/>
      <c r="AO332" s="158">
        <v>2</v>
      </c>
      <c r="AP332" s="51"/>
      <c r="AQ332" s="51"/>
      <c r="AR332" s="51"/>
      <c r="AS332" s="51"/>
      <c r="AT332" s="56">
        <v>0</v>
      </c>
      <c r="AU332" s="58" t="s">
        <v>38</v>
      </c>
      <c r="AV332" s="475" t="s">
        <v>1334</v>
      </c>
      <c r="AW332" s="51"/>
      <c r="AX332" s="51"/>
      <c r="AY332" s="51"/>
      <c r="AZ332" s="51"/>
      <c r="BA332" s="51"/>
      <c r="BB332" s="51"/>
      <c r="BC332" s="71"/>
      <c r="BD332" s="71"/>
      <c r="BE332" s="71"/>
      <c r="BF332" s="271"/>
      <c r="BG332" s="271">
        <v>2019</v>
      </c>
      <c r="BH332" s="430">
        <v>2020</v>
      </c>
      <c r="BI332" s="271" t="s">
        <v>2375</v>
      </c>
    </row>
    <row r="333" spans="1:61" s="204" customFormat="1" ht="18" customHeight="1">
      <c r="A333" s="160" t="s">
        <v>506</v>
      </c>
      <c r="B333" s="58" t="s">
        <v>1152</v>
      </c>
      <c r="C333" s="148" t="s">
        <v>1148</v>
      </c>
      <c r="D333" s="33" t="s">
        <v>77</v>
      </c>
      <c r="E333" s="33"/>
      <c r="F333" s="33"/>
      <c r="G333" s="33"/>
      <c r="H333" s="30" t="s">
        <v>1113</v>
      </c>
      <c r="I333" s="82">
        <v>770</v>
      </c>
      <c r="J333" s="212">
        <v>43455</v>
      </c>
      <c r="K333" s="81">
        <v>17</v>
      </c>
      <c r="L333" s="81">
        <v>17</v>
      </c>
      <c r="M333" s="81"/>
      <c r="N333" s="81"/>
      <c r="O333" s="81"/>
      <c r="P333" s="158">
        <v>1119065138</v>
      </c>
      <c r="Q333" s="158"/>
      <c r="R333" s="158"/>
      <c r="S333" s="158"/>
      <c r="T333" s="158"/>
      <c r="U333" s="94">
        <v>606947617</v>
      </c>
      <c r="V333" s="158">
        <v>10</v>
      </c>
      <c r="W333" s="311">
        <v>43497</v>
      </c>
      <c r="X333" s="311"/>
      <c r="Y333" s="311"/>
      <c r="Z333" s="94">
        <v>512117521</v>
      </c>
      <c r="AA333" s="158">
        <v>10</v>
      </c>
      <c r="AB333" s="311">
        <v>43617</v>
      </c>
      <c r="AC333" s="329"/>
      <c r="AD333" s="5"/>
      <c r="AE333" s="158"/>
      <c r="AF333" s="158">
        <f t="shared" si="75"/>
        <v>0</v>
      </c>
      <c r="AG333" s="158"/>
      <c r="AH333" s="94">
        <v>0</v>
      </c>
      <c r="AI333" s="94">
        <v>0</v>
      </c>
      <c r="AJ333" s="94"/>
      <c r="AK333" s="158">
        <f t="shared" ref="AK333:AK338" si="80">AF333+AH333</f>
        <v>0</v>
      </c>
      <c r="AL333" s="158">
        <v>877</v>
      </c>
      <c r="AM333" s="158">
        <v>10</v>
      </c>
      <c r="AN333" s="158"/>
      <c r="AO333" s="158"/>
      <c r="AP333" s="81"/>
      <c r="AQ333" s="51"/>
      <c r="AR333" s="51"/>
      <c r="AS333" s="51"/>
      <c r="AT333" s="56">
        <v>1</v>
      </c>
      <c r="AU333" s="58" t="s">
        <v>646</v>
      </c>
      <c r="AV333" s="104"/>
      <c r="AW333" s="51"/>
      <c r="AX333" s="51"/>
      <c r="AY333" s="51"/>
      <c r="AZ333" s="51">
        <v>17</v>
      </c>
      <c r="BA333" s="51"/>
      <c r="BB333" s="51"/>
      <c r="BC333" s="71"/>
      <c r="BD333" s="71">
        <v>17</v>
      </c>
      <c r="BE333" s="71"/>
      <c r="BF333" s="271">
        <v>2019</v>
      </c>
      <c r="BG333" s="271">
        <v>2019</v>
      </c>
      <c r="BH333" s="271"/>
      <c r="BI333" s="271" t="s">
        <v>2375</v>
      </c>
    </row>
    <row r="334" spans="1:61" s="204" customFormat="1" ht="21.75" customHeight="1">
      <c r="A334" s="160" t="s">
        <v>506</v>
      </c>
      <c r="B334" s="58" t="s">
        <v>70</v>
      </c>
      <c r="C334" s="55" t="s">
        <v>1342</v>
      </c>
      <c r="D334" s="33" t="s">
        <v>1153</v>
      </c>
      <c r="E334" s="33"/>
      <c r="F334" s="33"/>
      <c r="G334" s="33"/>
      <c r="H334" s="30" t="s">
        <v>1113</v>
      </c>
      <c r="I334" s="226">
        <v>771</v>
      </c>
      <c r="J334" s="212">
        <v>43455</v>
      </c>
      <c r="K334" s="81">
        <v>59</v>
      </c>
      <c r="L334" s="81">
        <v>59</v>
      </c>
      <c r="M334" s="81"/>
      <c r="N334" s="81">
        <v>59</v>
      </c>
      <c r="O334" s="81"/>
      <c r="P334" s="158">
        <v>4583159036</v>
      </c>
      <c r="Q334" s="158"/>
      <c r="R334" s="158"/>
      <c r="S334" s="158"/>
      <c r="T334" s="158"/>
      <c r="U334" s="94">
        <v>2471141074</v>
      </c>
      <c r="V334" s="158">
        <v>10</v>
      </c>
      <c r="W334" s="311">
        <v>43497</v>
      </c>
      <c r="X334" s="311"/>
      <c r="Y334" s="311"/>
      <c r="Z334" s="94">
        <v>2112017962</v>
      </c>
      <c r="AA334" s="220">
        <v>10</v>
      </c>
      <c r="AB334" s="311">
        <v>43678</v>
      </c>
      <c r="AC334" s="577"/>
      <c r="AD334" s="220"/>
      <c r="AE334" s="158"/>
      <c r="AF334" s="158">
        <f t="shared" si="75"/>
        <v>0</v>
      </c>
      <c r="AG334" s="158"/>
      <c r="AH334" s="94">
        <v>0</v>
      </c>
      <c r="AI334" s="94">
        <v>0</v>
      </c>
      <c r="AJ334" s="94"/>
      <c r="AK334" s="158">
        <f t="shared" ref="AK334" si="81">P334-R334-U334-Z334</f>
        <v>0</v>
      </c>
      <c r="AL334" s="158">
        <v>877</v>
      </c>
      <c r="AM334" s="158">
        <v>10</v>
      </c>
      <c r="AN334" s="158"/>
      <c r="AO334" s="158">
        <v>59</v>
      </c>
      <c r="AP334" s="51"/>
      <c r="AQ334" s="51"/>
      <c r="AR334" s="51"/>
      <c r="AS334" s="51"/>
      <c r="AT334" s="56">
        <v>0.79769999999999996</v>
      </c>
      <c r="AU334" s="58" t="s">
        <v>38</v>
      </c>
      <c r="AV334" s="104"/>
      <c r="AW334" s="51"/>
      <c r="AX334" s="51"/>
      <c r="AY334" s="51"/>
      <c r="AZ334" s="51"/>
      <c r="BA334" s="51"/>
      <c r="BB334" s="51"/>
      <c r="BC334" s="71"/>
      <c r="BD334" s="71"/>
      <c r="BE334" s="71"/>
      <c r="BF334" s="271"/>
      <c r="BG334" s="271">
        <v>2019</v>
      </c>
      <c r="BH334" s="430">
        <v>2020</v>
      </c>
      <c r="BI334" s="271" t="s">
        <v>2375</v>
      </c>
    </row>
    <row r="335" spans="1:61" s="204" customFormat="1" ht="18" customHeight="1">
      <c r="A335" s="160" t="s">
        <v>506</v>
      </c>
      <c r="B335" s="58" t="s">
        <v>1155</v>
      </c>
      <c r="C335" s="148" t="s">
        <v>1150</v>
      </c>
      <c r="D335" s="33" t="s">
        <v>1143</v>
      </c>
      <c r="E335" s="33"/>
      <c r="F335" s="33"/>
      <c r="G335" s="33"/>
      <c r="H335" s="30" t="s">
        <v>1113</v>
      </c>
      <c r="I335" s="226">
        <v>729</v>
      </c>
      <c r="J335" s="212">
        <v>43453</v>
      </c>
      <c r="K335" s="81">
        <v>45</v>
      </c>
      <c r="L335" s="81">
        <v>45</v>
      </c>
      <c r="M335" s="81"/>
      <c r="N335" s="81"/>
      <c r="O335" s="81"/>
      <c r="P335" s="158">
        <v>2962222366</v>
      </c>
      <c r="Q335" s="158"/>
      <c r="R335" s="158"/>
      <c r="S335" s="158"/>
      <c r="T335" s="158"/>
      <c r="U335" s="94">
        <v>1541323724</v>
      </c>
      <c r="V335" s="158">
        <v>10</v>
      </c>
      <c r="W335" s="311">
        <v>43497</v>
      </c>
      <c r="X335" s="311"/>
      <c r="Y335" s="311"/>
      <c r="Z335" s="94">
        <v>1420898642</v>
      </c>
      <c r="AA335" s="220">
        <v>10</v>
      </c>
      <c r="AB335" s="311">
        <v>43647</v>
      </c>
      <c r="AC335" s="577"/>
      <c r="AD335" s="220"/>
      <c r="AE335" s="158"/>
      <c r="AF335" s="158">
        <f t="shared" si="75"/>
        <v>0</v>
      </c>
      <c r="AG335" s="158"/>
      <c r="AH335" s="94">
        <v>0</v>
      </c>
      <c r="AI335" s="94">
        <v>0</v>
      </c>
      <c r="AJ335" s="94"/>
      <c r="AK335" s="158">
        <f t="shared" si="80"/>
        <v>0</v>
      </c>
      <c r="AL335" s="158">
        <v>877</v>
      </c>
      <c r="AM335" s="158">
        <v>10</v>
      </c>
      <c r="AN335" s="158"/>
      <c r="AO335" s="158"/>
      <c r="AP335" s="81"/>
      <c r="AQ335" s="51"/>
      <c r="AR335" s="51"/>
      <c r="AS335" s="51"/>
      <c r="AT335" s="56">
        <v>1</v>
      </c>
      <c r="AU335" s="58" t="s">
        <v>646</v>
      </c>
      <c r="AV335" s="104"/>
      <c r="AW335" s="51"/>
      <c r="AX335" s="51"/>
      <c r="AY335" s="51"/>
      <c r="AZ335" s="51">
        <v>45</v>
      </c>
      <c r="BA335" s="51"/>
      <c r="BB335" s="51"/>
      <c r="BC335" s="71"/>
      <c r="BD335" s="71">
        <v>45</v>
      </c>
      <c r="BE335" s="71"/>
      <c r="BF335" s="271">
        <v>2019</v>
      </c>
      <c r="BG335" s="271">
        <v>2019</v>
      </c>
      <c r="BH335" s="271"/>
      <c r="BI335" s="271" t="s">
        <v>2375</v>
      </c>
    </row>
    <row r="336" spans="1:61" s="204" customFormat="1" ht="25.5" customHeight="1">
      <c r="A336" s="160" t="s">
        <v>506</v>
      </c>
      <c r="B336" s="88" t="s">
        <v>2422</v>
      </c>
      <c r="C336" s="148" t="s">
        <v>1621</v>
      </c>
      <c r="D336" s="33" t="s">
        <v>1623</v>
      </c>
      <c r="E336" s="33"/>
      <c r="F336" s="33"/>
      <c r="G336" s="33"/>
      <c r="H336" s="30" t="s">
        <v>1605</v>
      </c>
      <c r="I336" s="226">
        <v>1364</v>
      </c>
      <c r="J336" s="212">
        <v>43685</v>
      </c>
      <c r="K336" s="81"/>
      <c r="L336" s="81"/>
      <c r="M336" s="81">
        <f>38</f>
        <v>38</v>
      </c>
      <c r="N336" s="81">
        <v>38</v>
      </c>
      <c r="O336" s="81"/>
      <c r="P336" s="158">
        <v>2770644058</v>
      </c>
      <c r="Q336" s="158"/>
      <c r="R336" s="158"/>
      <c r="S336" s="158"/>
      <c r="T336" s="158"/>
      <c r="U336" s="94">
        <v>1498271382</v>
      </c>
      <c r="V336" s="158">
        <v>20</v>
      </c>
      <c r="W336" s="311">
        <v>43678</v>
      </c>
      <c r="X336" s="311"/>
      <c r="Y336" s="311"/>
      <c r="Z336" s="94">
        <v>1272372676</v>
      </c>
      <c r="AA336" s="220">
        <v>20</v>
      </c>
      <c r="AB336" s="311">
        <v>43800</v>
      </c>
      <c r="AC336" s="311"/>
      <c r="AD336" s="81"/>
      <c r="AE336" s="158"/>
      <c r="AF336" s="158">
        <f t="shared" si="75"/>
        <v>0</v>
      </c>
      <c r="AG336" s="158"/>
      <c r="AH336" s="94">
        <v>0</v>
      </c>
      <c r="AI336" s="94">
        <v>0</v>
      </c>
      <c r="AJ336" s="94"/>
      <c r="AK336" s="158">
        <f t="shared" ref="AK336:AK337" si="82">P336-R336-U336-Z336</f>
        <v>0</v>
      </c>
      <c r="AL336" s="158">
        <v>877</v>
      </c>
      <c r="AM336" s="158">
        <v>20</v>
      </c>
      <c r="AN336" s="158"/>
      <c r="AO336" s="158"/>
      <c r="AP336" s="81">
        <v>38</v>
      </c>
      <c r="AQ336" s="51"/>
      <c r="AR336" s="51"/>
      <c r="AS336" s="51"/>
      <c r="AT336" s="56">
        <v>1</v>
      </c>
      <c r="AU336" s="58" t="s">
        <v>38</v>
      </c>
      <c r="AV336" s="104"/>
      <c r="AW336" s="51"/>
      <c r="AX336" s="51"/>
      <c r="AY336" s="51"/>
      <c r="AZ336" s="51"/>
      <c r="BA336" s="51">
        <v>38</v>
      </c>
      <c r="BB336" s="51"/>
      <c r="BC336" s="71"/>
      <c r="BD336" s="71">
        <v>38</v>
      </c>
      <c r="BE336" s="71"/>
      <c r="BF336" s="271">
        <v>2020</v>
      </c>
      <c r="BG336" s="271">
        <v>2019</v>
      </c>
      <c r="BH336" s="430">
        <v>2020</v>
      </c>
      <c r="BI336" s="271" t="s">
        <v>2375</v>
      </c>
    </row>
    <row r="337" spans="1:61 16108:16286" s="204" customFormat="1" ht="26.25" customHeight="1">
      <c r="A337" s="160" t="s">
        <v>506</v>
      </c>
      <c r="B337" s="58" t="s">
        <v>141</v>
      </c>
      <c r="C337" s="55" t="s">
        <v>1622</v>
      </c>
      <c r="D337" s="33" t="s">
        <v>1624</v>
      </c>
      <c r="E337" s="33"/>
      <c r="F337" s="33"/>
      <c r="G337" s="33"/>
      <c r="H337" s="30" t="s">
        <v>1605</v>
      </c>
      <c r="I337" s="226">
        <v>1381</v>
      </c>
      <c r="J337" s="212">
        <v>43685</v>
      </c>
      <c r="K337" s="81"/>
      <c r="L337" s="81"/>
      <c r="M337" s="81">
        <f>21-2</f>
        <v>19</v>
      </c>
      <c r="N337" s="81">
        <v>19</v>
      </c>
      <c r="O337" s="81"/>
      <c r="P337" s="158">
        <f>1749885529-166655771</f>
        <v>1583229758</v>
      </c>
      <c r="Q337" s="158"/>
      <c r="R337" s="158"/>
      <c r="S337" s="158"/>
      <c r="T337" s="158"/>
      <c r="U337" s="94">
        <v>842332018</v>
      </c>
      <c r="V337" s="158">
        <v>20</v>
      </c>
      <c r="W337" s="311">
        <v>43770</v>
      </c>
      <c r="X337" s="311"/>
      <c r="Y337" s="311"/>
      <c r="Z337" s="94">
        <v>740897740</v>
      </c>
      <c r="AA337" s="220">
        <v>20</v>
      </c>
      <c r="AB337" s="311">
        <v>43921</v>
      </c>
      <c r="AC337" s="311"/>
      <c r="AD337" s="214"/>
      <c r="AE337" s="158"/>
      <c r="AF337" s="94">
        <f>P337-U337</f>
        <v>740897740</v>
      </c>
      <c r="AG337" s="158"/>
      <c r="AH337" s="94">
        <v>0</v>
      </c>
      <c r="AI337" s="94">
        <v>740897740</v>
      </c>
      <c r="AJ337" s="94"/>
      <c r="AK337" s="158">
        <f t="shared" si="82"/>
        <v>0</v>
      </c>
      <c r="AL337" s="158">
        <v>877</v>
      </c>
      <c r="AM337" s="158">
        <v>10</v>
      </c>
      <c r="AN337" s="268"/>
      <c r="AO337" s="158">
        <v>19</v>
      </c>
      <c r="AP337" s="51"/>
      <c r="AQ337" s="51"/>
      <c r="AR337" s="51"/>
      <c r="AS337" s="51"/>
      <c r="AT337" s="56">
        <v>0.58799999999999997</v>
      </c>
      <c r="AU337" s="58" t="s">
        <v>38</v>
      </c>
      <c r="AV337" s="104" t="s">
        <v>2179</v>
      </c>
      <c r="AW337" s="51"/>
      <c r="AX337" s="51"/>
      <c r="AY337" s="51"/>
      <c r="AZ337" s="51"/>
      <c r="BA337" s="51"/>
      <c r="BB337" s="51"/>
      <c r="BC337" s="71"/>
      <c r="BD337" s="71"/>
      <c r="BE337" s="71"/>
      <c r="BF337" s="271"/>
      <c r="BG337" s="271">
        <v>2019</v>
      </c>
      <c r="BH337" s="430">
        <v>2020</v>
      </c>
      <c r="BI337" s="271" t="s">
        <v>2375</v>
      </c>
    </row>
    <row r="338" spans="1:61 16108:16286" s="204" customFormat="1" ht="27.75" customHeight="1">
      <c r="A338" s="160" t="s">
        <v>506</v>
      </c>
      <c r="B338" s="58" t="s">
        <v>141</v>
      </c>
      <c r="C338" s="55" t="s">
        <v>1622</v>
      </c>
      <c r="D338" s="33" t="s">
        <v>1624</v>
      </c>
      <c r="E338" s="33"/>
      <c r="F338" s="33"/>
      <c r="G338" s="33"/>
      <c r="H338" s="30" t="s">
        <v>1605</v>
      </c>
      <c r="I338" s="226">
        <v>1381</v>
      </c>
      <c r="J338" s="212">
        <v>43685</v>
      </c>
      <c r="K338" s="81"/>
      <c r="L338" s="81"/>
      <c r="M338" s="81">
        <v>2</v>
      </c>
      <c r="N338" s="81"/>
      <c r="O338" s="81"/>
      <c r="P338" s="158">
        <v>166655771</v>
      </c>
      <c r="Q338" s="158"/>
      <c r="R338" s="158"/>
      <c r="S338" s="158"/>
      <c r="T338" s="158"/>
      <c r="U338" s="94"/>
      <c r="V338" s="158"/>
      <c r="W338" s="158"/>
      <c r="X338" s="158"/>
      <c r="Y338" s="158"/>
      <c r="Z338" s="94"/>
      <c r="AA338" s="220"/>
      <c r="AB338" s="220"/>
      <c r="AC338" s="220"/>
      <c r="AD338" s="158">
        <f>119250787+47404978+6</f>
        <v>166655771</v>
      </c>
      <c r="AE338" s="158"/>
      <c r="AF338" s="158">
        <f>P338-U338-Z338-AD338</f>
        <v>0</v>
      </c>
      <c r="AG338" s="158"/>
      <c r="AH338" s="94">
        <v>0</v>
      </c>
      <c r="AI338" s="94">
        <v>0</v>
      </c>
      <c r="AJ338" s="94"/>
      <c r="AK338" s="158">
        <f t="shared" si="80"/>
        <v>0</v>
      </c>
      <c r="AL338" s="158">
        <v>877</v>
      </c>
      <c r="AM338" s="158">
        <v>10</v>
      </c>
      <c r="AN338" s="158"/>
      <c r="AO338" s="158"/>
      <c r="AP338" s="51"/>
      <c r="AQ338" s="51"/>
      <c r="AR338" s="51"/>
      <c r="AS338" s="51"/>
      <c r="AT338" s="56">
        <v>0</v>
      </c>
      <c r="AU338" s="58" t="s">
        <v>687</v>
      </c>
      <c r="AV338" s="104" t="s">
        <v>2162</v>
      </c>
      <c r="AW338" s="51"/>
      <c r="AX338" s="51"/>
      <c r="AY338" s="51"/>
      <c r="AZ338" s="51"/>
      <c r="BA338" s="51"/>
      <c r="BB338" s="51"/>
      <c r="BC338" s="71"/>
      <c r="BD338" s="71"/>
      <c r="BE338" s="51">
        <v>2</v>
      </c>
      <c r="BF338" s="271" t="s">
        <v>1706</v>
      </c>
      <c r="BG338" s="271">
        <v>2019</v>
      </c>
      <c r="BH338" s="271"/>
      <c r="BI338" s="271" t="s">
        <v>2375</v>
      </c>
    </row>
    <row r="339" spans="1:61 16108:16286" s="204" customFormat="1" ht="28.5" customHeight="1">
      <c r="A339" s="160" t="s">
        <v>506</v>
      </c>
      <c r="B339" s="58" t="s">
        <v>924</v>
      </c>
      <c r="C339" s="148" t="s">
        <v>1774</v>
      </c>
      <c r="D339" s="33" t="s">
        <v>1775</v>
      </c>
      <c r="E339" s="33"/>
      <c r="F339" s="33"/>
      <c r="G339" s="33"/>
      <c r="H339" s="30" t="s">
        <v>1763</v>
      </c>
      <c r="I339" s="226">
        <v>1863</v>
      </c>
      <c r="J339" s="212">
        <v>43766</v>
      </c>
      <c r="K339" s="81"/>
      <c r="L339" s="81"/>
      <c r="M339" s="81">
        <v>57</v>
      </c>
      <c r="N339" s="81">
        <v>57</v>
      </c>
      <c r="O339" s="81"/>
      <c r="P339" s="158">
        <v>4748808537</v>
      </c>
      <c r="Q339" s="158"/>
      <c r="R339" s="158"/>
      <c r="S339" s="158"/>
      <c r="T339" s="158"/>
      <c r="U339" s="94">
        <v>2610338144</v>
      </c>
      <c r="V339" s="158">
        <v>20</v>
      </c>
      <c r="W339" s="311">
        <v>43770</v>
      </c>
      <c r="X339" s="311"/>
      <c r="Y339" s="311"/>
      <c r="Z339" s="94">
        <v>2138470393</v>
      </c>
      <c r="AA339" s="220">
        <v>20</v>
      </c>
      <c r="AB339" s="311">
        <v>43920</v>
      </c>
      <c r="AC339" s="311"/>
      <c r="AD339" s="81"/>
      <c r="AE339" s="158"/>
      <c r="AF339" s="94">
        <f>P339-U339</f>
        <v>2138470393</v>
      </c>
      <c r="AG339" s="158"/>
      <c r="AH339" s="94">
        <v>0</v>
      </c>
      <c r="AI339" s="94">
        <v>2138470393</v>
      </c>
      <c r="AJ339" s="94"/>
      <c r="AK339" s="158">
        <f t="shared" ref="AK339:AK340" si="83">P339-R339-U339-Z339</f>
        <v>0</v>
      </c>
      <c r="AL339" s="158">
        <v>877</v>
      </c>
      <c r="AM339" s="158">
        <v>20</v>
      </c>
      <c r="AN339" s="158"/>
      <c r="AO339" s="158">
        <v>57</v>
      </c>
      <c r="AP339" s="51"/>
      <c r="AQ339" s="51"/>
      <c r="AR339" s="51"/>
      <c r="AS339" s="51"/>
      <c r="AT339" s="56">
        <v>0.63</v>
      </c>
      <c r="AU339" s="58" t="s">
        <v>38</v>
      </c>
      <c r="AV339" s="104" t="s">
        <v>1565</v>
      </c>
      <c r="AW339" s="51"/>
      <c r="AX339" s="51"/>
      <c r="AY339" s="51"/>
      <c r="AZ339" s="51"/>
      <c r="BA339" s="51"/>
      <c r="BB339" s="51"/>
      <c r="BC339" s="71"/>
      <c r="BD339" s="71"/>
      <c r="BE339" s="71"/>
      <c r="BF339" s="271"/>
      <c r="BG339" s="271">
        <v>2019</v>
      </c>
      <c r="BH339" s="430">
        <v>2020</v>
      </c>
      <c r="BI339" s="271" t="s">
        <v>2375</v>
      </c>
    </row>
    <row r="340" spans="1:61 16108:16286" s="204" customFormat="1" ht="28.5" customHeight="1">
      <c r="A340" s="160" t="s">
        <v>506</v>
      </c>
      <c r="B340" s="58" t="s">
        <v>924</v>
      </c>
      <c r="C340" s="95" t="s">
        <v>1774</v>
      </c>
      <c r="D340" s="95" t="s">
        <v>2283</v>
      </c>
      <c r="E340" s="660"/>
      <c r="F340" s="661">
        <v>4</v>
      </c>
      <c r="G340" s="661"/>
      <c r="H340" s="533" t="s">
        <v>2236</v>
      </c>
      <c r="I340" s="226">
        <v>342</v>
      </c>
      <c r="J340" s="459">
        <v>43920</v>
      </c>
      <c r="K340" s="227"/>
      <c r="L340" s="227"/>
      <c r="M340" s="227"/>
      <c r="N340" s="227">
        <v>54</v>
      </c>
      <c r="O340" s="227"/>
      <c r="P340" s="61">
        <f>(2464276286+2034594959)</f>
        <v>4498871245</v>
      </c>
      <c r="Q340" s="61"/>
      <c r="R340" s="158"/>
      <c r="S340" s="61"/>
      <c r="T340" s="61"/>
      <c r="U340" s="94">
        <v>2464276286</v>
      </c>
      <c r="V340" s="61">
        <v>20</v>
      </c>
      <c r="W340" s="460">
        <v>43951</v>
      </c>
      <c r="X340" s="460"/>
      <c r="Y340" s="460"/>
      <c r="Z340" s="225"/>
      <c r="AA340" s="521">
        <v>20</v>
      </c>
      <c r="AB340" s="311"/>
      <c r="AC340" s="311"/>
      <c r="AD340" s="81"/>
      <c r="AE340" s="158"/>
      <c r="AF340" s="158">
        <f>P340</f>
        <v>4498871245</v>
      </c>
      <c r="AG340" s="61"/>
      <c r="AH340" s="225"/>
      <c r="AI340" s="225">
        <v>4498871245</v>
      </c>
      <c r="AJ340" s="225"/>
      <c r="AK340" s="158">
        <f t="shared" si="83"/>
        <v>2034594959</v>
      </c>
      <c r="AL340" s="61">
        <v>877</v>
      </c>
      <c r="AM340" s="61">
        <v>20</v>
      </c>
      <c r="AN340" s="61">
        <v>54</v>
      </c>
      <c r="AO340" s="61"/>
      <c r="AP340" s="60"/>
      <c r="AQ340" s="60"/>
      <c r="AR340" s="60"/>
      <c r="AS340" s="60"/>
      <c r="AT340" s="56">
        <v>0</v>
      </c>
      <c r="AU340" s="58" t="s">
        <v>521</v>
      </c>
      <c r="AV340" s="462"/>
      <c r="AW340" s="60"/>
      <c r="AX340" s="60"/>
      <c r="AY340" s="60"/>
      <c r="AZ340" s="60"/>
      <c r="BA340" s="60"/>
      <c r="BB340" s="60"/>
      <c r="BC340" s="51"/>
      <c r="BD340" s="51"/>
      <c r="BE340" s="51"/>
      <c r="BF340" s="271"/>
      <c r="BG340" s="464"/>
      <c r="BH340" s="712">
        <v>2020</v>
      </c>
      <c r="BI340" s="464" t="s">
        <v>2375</v>
      </c>
    </row>
    <row r="341" spans="1:61 16108:16286" ht="15" customHeight="1">
      <c r="A341" s="371" t="s">
        <v>507</v>
      </c>
      <c r="B341" s="371"/>
      <c r="C341" s="371"/>
      <c r="D341" s="371"/>
      <c r="E341" s="371"/>
      <c r="F341" s="371"/>
      <c r="G341" s="371"/>
      <c r="H341" s="371"/>
      <c r="I341" s="371"/>
      <c r="J341" s="371"/>
      <c r="K341" s="371">
        <f>SUM(K342:K353)</f>
        <v>35</v>
      </c>
      <c r="L341" s="370">
        <f t="shared" ref="L341:M341" si="84">SUM(L342:L353)</f>
        <v>35</v>
      </c>
      <c r="M341" s="370">
        <f t="shared" si="84"/>
        <v>122</v>
      </c>
      <c r="N341" s="424">
        <f>SUM(N342:N353)</f>
        <v>122</v>
      </c>
      <c r="O341" s="424">
        <f>SUM(O342:O353)</f>
        <v>0</v>
      </c>
      <c r="P341" s="371"/>
      <c r="Q341" s="371"/>
      <c r="R341" s="371"/>
      <c r="S341" s="371"/>
      <c r="T341" s="371"/>
      <c r="U341" s="371"/>
      <c r="V341" s="371"/>
      <c r="W341" s="371"/>
      <c r="X341" s="371"/>
      <c r="Y341" s="371"/>
      <c r="Z341" s="371"/>
      <c r="AA341" s="371"/>
      <c r="AB341" s="371"/>
      <c r="AC341" s="371"/>
      <c r="AD341" s="371"/>
      <c r="AE341" s="371"/>
      <c r="AF341" s="371"/>
      <c r="AG341" s="371"/>
      <c r="AH341" s="371"/>
      <c r="AI341" s="371"/>
      <c r="AJ341" s="371"/>
      <c r="AK341" s="371"/>
      <c r="AL341" s="371"/>
      <c r="AM341" s="371"/>
      <c r="AN341" s="424">
        <f t="shared" ref="AN341:AS341" si="85">SUM(AN342:AN353)</f>
        <v>1</v>
      </c>
      <c r="AO341" s="424">
        <f t="shared" si="85"/>
        <v>30</v>
      </c>
      <c r="AP341" s="424">
        <f t="shared" si="85"/>
        <v>91</v>
      </c>
      <c r="AQ341" s="424">
        <f t="shared" si="85"/>
        <v>0</v>
      </c>
      <c r="AR341" s="424">
        <f t="shared" si="85"/>
        <v>0</v>
      </c>
      <c r="AS341" s="424">
        <f t="shared" si="85"/>
        <v>0</v>
      </c>
      <c r="AT341" s="371"/>
      <c r="AU341" s="371"/>
      <c r="AV341" s="385"/>
      <c r="AW341" s="370">
        <f t="shared" ref="AW341:BE341" si="86">SUM(AW342:AW353)</f>
        <v>131</v>
      </c>
      <c r="AX341" s="370">
        <f t="shared" si="86"/>
        <v>96</v>
      </c>
      <c r="AY341" s="370">
        <f t="shared" si="86"/>
        <v>1</v>
      </c>
      <c r="AZ341" s="370">
        <f t="shared" si="86"/>
        <v>35</v>
      </c>
      <c r="BA341" s="424">
        <f t="shared" si="86"/>
        <v>91</v>
      </c>
      <c r="BB341" s="424">
        <f t="shared" si="86"/>
        <v>1</v>
      </c>
      <c r="BC341" s="424">
        <f t="shared" si="86"/>
        <v>0</v>
      </c>
      <c r="BD341" s="424">
        <f t="shared" si="86"/>
        <v>126</v>
      </c>
      <c r="BE341" s="424">
        <f t="shared" si="86"/>
        <v>0</v>
      </c>
      <c r="BF341" s="371"/>
      <c r="BG341" s="371">
        <v>2019</v>
      </c>
      <c r="BH341" s="371">
        <v>2020</v>
      </c>
      <c r="BI341" s="434" t="s">
        <v>2419</v>
      </c>
      <c r="WUN341" s="371"/>
      <c r="WUO341" s="371"/>
      <c r="WUP341" s="371"/>
      <c r="WUQ341" s="371"/>
      <c r="WUR341" s="371"/>
      <c r="WUS341" s="370"/>
      <c r="WUT341" s="370"/>
      <c r="WUU341" s="370"/>
      <c r="WUV341" s="370"/>
      <c r="WUW341" s="370"/>
      <c r="WUX341" s="370"/>
      <c r="WUY341" s="370"/>
      <c r="WUZ341" s="370"/>
      <c r="WVA341" s="370"/>
      <c r="WVB341" s="370"/>
      <c r="WVQ341" s="371"/>
      <c r="WVR341" s="371"/>
      <c r="WVS341" s="371"/>
      <c r="WVT341" s="371"/>
      <c r="WVU341" s="371"/>
      <c r="WVV341" s="370"/>
      <c r="WVW341" s="370"/>
      <c r="WWT341" s="371"/>
      <c r="WWU341" s="371"/>
      <c r="WWV341" s="371"/>
      <c r="WWW341" s="371"/>
      <c r="WWX341" s="371"/>
      <c r="WXW341" s="371"/>
      <c r="WXX341" s="371"/>
      <c r="WXY341" s="371"/>
      <c r="WXZ341" s="371"/>
      <c r="WYA341" s="371"/>
      <c r="WYZ341" s="371"/>
      <c r="WZA341" s="371"/>
      <c r="WZB341" s="371"/>
      <c r="WZC341" s="371"/>
      <c r="WZD341" s="371"/>
      <c r="XAC341" s="371"/>
      <c r="XAD341" s="371"/>
      <c r="XAE341" s="371"/>
      <c r="XAF341" s="371"/>
      <c r="XAG341" s="371"/>
      <c r="XBF341" s="371"/>
      <c r="XBG341" s="371"/>
      <c r="XBH341" s="371"/>
      <c r="XBI341" s="371"/>
      <c r="XBJ341" s="371"/>
    </row>
    <row r="342" spans="1:61 16108:16286" s="204" customFormat="1" ht="15" customHeight="1">
      <c r="A342" s="160" t="s">
        <v>507</v>
      </c>
      <c r="B342" s="58" t="s">
        <v>151</v>
      </c>
      <c r="C342" s="148" t="s">
        <v>918</v>
      </c>
      <c r="D342" s="33" t="s">
        <v>61</v>
      </c>
      <c r="E342" s="33"/>
      <c r="F342" s="33"/>
      <c r="G342" s="33"/>
      <c r="H342" s="30" t="s">
        <v>648</v>
      </c>
      <c r="I342" s="226">
        <v>794</v>
      </c>
      <c r="J342" s="212">
        <v>42128</v>
      </c>
      <c r="K342" s="158"/>
      <c r="L342" s="158"/>
      <c r="M342" s="158"/>
      <c r="N342" s="158"/>
      <c r="O342" s="158"/>
      <c r="P342" s="158">
        <f>2786281037</f>
        <v>2786281037</v>
      </c>
      <c r="Q342" s="158"/>
      <c r="R342" s="158">
        <v>274000000</v>
      </c>
      <c r="S342" s="158"/>
      <c r="T342" s="158"/>
      <c r="U342" s="94">
        <v>1127104543</v>
      </c>
      <c r="V342" s="158"/>
      <c r="W342" s="158"/>
      <c r="X342" s="158"/>
      <c r="Y342" s="158"/>
      <c r="Z342" s="158">
        <v>1385176494</v>
      </c>
      <c r="AA342" s="69"/>
      <c r="AB342" s="69"/>
      <c r="AC342" s="69"/>
      <c r="AD342" s="69"/>
      <c r="AE342" s="158"/>
      <c r="AF342" s="158">
        <f>P342-R342-U342-Z342</f>
        <v>0</v>
      </c>
      <c r="AG342" s="158"/>
      <c r="AH342" s="158"/>
      <c r="AI342" s="158"/>
      <c r="AJ342" s="158"/>
      <c r="AK342" s="158">
        <f t="shared" ref="AK342:AK347" si="87">AF342+AH342</f>
        <v>0</v>
      </c>
      <c r="AL342" s="158">
        <v>877</v>
      </c>
      <c r="AM342" s="158">
        <v>10</v>
      </c>
      <c r="AN342" s="158"/>
      <c r="AO342" s="158"/>
      <c r="AP342" s="158"/>
      <c r="AQ342" s="158"/>
      <c r="AR342" s="158"/>
      <c r="AS342" s="158"/>
      <c r="AT342" s="2"/>
      <c r="AU342" s="58"/>
      <c r="AV342" s="102"/>
      <c r="AW342" s="158">
        <v>41</v>
      </c>
      <c r="AX342" s="158"/>
      <c r="AY342" s="158"/>
      <c r="AZ342" s="158"/>
      <c r="BA342" s="158"/>
      <c r="BB342" s="158"/>
      <c r="BC342" s="69"/>
      <c r="BD342" s="69"/>
      <c r="BE342" s="69"/>
      <c r="BF342" s="271">
        <v>2016</v>
      </c>
      <c r="BG342" s="271"/>
      <c r="BH342" s="714"/>
      <c r="BI342" s="271" t="s">
        <v>2376</v>
      </c>
    </row>
    <row r="343" spans="1:61 16108:16286" s="204" customFormat="1" ht="15" customHeight="1">
      <c r="A343" s="248" t="s">
        <v>507</v>
      </c>
      <c r="B343" s="58" t="s">
        <v>150</v>
      </c>
      <c r="C343" s="148" t="s">
        <v>152</v>
      </c>
      <c r="D343" s="33" t="s">
        <v>61</v>
      </c>
      <c r="E343" s="33"/>
      <c r="F343" s="33"/>
      <c r="G343" s="33"/>
      <c r="H343" s="30"/>
      <c r="I343" s="58"/>
      <c r="J343" s="212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94"/>
      <c r="V343" s="158"/>
      <c r="W343" s="158"/>
      <c r="X343" s="158"/>
      <c r="Y343" s="158"/>
      <c r="Z343" s="94"/>
      <c r="AA343" s="158"/>
      <c r="AB343" s="92"/>
      <c r="AC343" s="92"/>
      <c r="AD343" s="92"/>
      <c r="AE343" s="158"/>
      <c r="AF343" s="158"/>
      <c r="AG343" s="158"/>
      <c r="AH343" s="158"/>
      <c r="AI343" s="158"/>
      <c r="AJ343" s="158"/>
      <c r="AK343" s="158">
        <f t="shared" si="87"/>
        <v>0</v>
      </c>
      <c r="AL343" s="158"/>
      <c r="AM343" s="158"/>
      <c r="AN343" s="158"/>
      <c r="AO343" s="158"/>
      <c r="AP343" s="158"/>
      <c r="AQ343" s="158"/>
      <c r="AR343" s="158"/>
      <c r="AS343" s="158"/>
      <c r="AT343" s="2"/>
      <c r="AU343" s="58"/>
      <c r="AV343" s="106"/>
      <c r="AW343" s="158">
        <v>60</v>
      </c>
      <c r="AX343" s="158"/>
      <c r="AY343" s="158"/>
      <c r="AZ343" s="158"/>
      <c r="BA343" s="158"/>
      <c r="BB343" s="158"/>
      <c r="BC343" s="69"/>
      <c r="BD343" s="69"/>
      <c r="BE343" s="69"/>
      <c r="BF343" s="271">
        <v>2016</v>
      </c>
      <c r="BG343" s="271"/>
      <c r="BH343" s="271"/>
      <c r="BI343" s="271" t="s">
        <v>2376</v>
      </c>
    </row>
    <row r="344" spans="1:61 16108:16286" s="204" customFormat="1" ht="15" customHeight="1">
      <c r="A344" s="160" t="s">
        <v>507</v>
      </c>
      <c r="B344" s="58" t="s">
        <v>154</v>
      </c>
      <c r="C344" s="148" t="s">
        <v>153</v>
      </c>
      <c r="D344" s="33" t="s">
        <v>61</v>
      </c>
      <c r="E344" s="33"/>
      <c r="F344" s="33"/>
      <c r="G344" s="33"/>
      <c r="H344" s="30" t="s">
        <v>653</v>
      </c>
      <c r="I344" s="30"/>
      <c r="J344" s="212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94"/>
      <c r="V344" s="158"/>
      <c r="W344" s="158"/>
      <c r="X344" s="158"/>
      <c r="Y344" s="158"/>
      <c r="Z344" s="94"/>
      <c r="AA344" s="158"/>
      <c r="AB344" s="158"/>
      <c r="AC344" s="158"/>
      <c r="AD344" s="158"/>
      <c r="AE344" s="158"/>
      <c r="AF344" s="158"/>
      <c r="AG344" s="158"/>
      <c r="AH344" s="158"/>
      <c r="AI344" s="158"/>
      <c r="AJ344" s="158"/>
      <c r="AK344" s="158">
        <f t="shared" si="87"/>
        <v>0</v>
      </c>
      <c r="AL344" s="158"/>
      <c r="AM344" s="158"/>
      <c r="AN344" s="158"/>
      <c r="AO344" s="158"/>
      <c r="AP344" s="158"/>
      <c r="AQ344" s="158"/>
      <c r="AR344" s="158"/>
      <c r="AS344" s="158"/>
      <c r="AT344" s="2">
        <v>1</v>
      </c>
      <c r="AU344" s="58" t="s">
        <v>646</v>
      </c>
      <c r="AV344" s="106"/>
      <c r="AW344" s="158" t="s">
        <v>0</v>
      </c>
      <c r="AX344" s="158">
        <v>37</v>
      </c>
      <c r="AY344" s="158"/>
      <c r="AZ344" s="158"/>
      <c r="BA344" s="158"/>
      <c r="BB344" s="158"/>
      <c r="BC344" s="69"/>
      <c r="BD344" s="69"/>
      <c r="BE344" s="69"/>
      <c r="BF344" s="271">
        <v>2017</v>
      </c>
      <c r="BG344" s="271"/>
      <c r="BH344" s="271"/>
      <c r="BI344" s="271" t="s">
        <v>2376</v>
      </c>
    </row>
    <row r="345" spans="1:61 16108:16286" s="204" customFormat="1" ht="15" customHeight="1">
      <c r="A345" s="160" t="s">
        <v>507</v>
      </c>
      <c r="B345" s="58" t="s">
        <v>154</v>
      </c>
      <c r="C345" s="148" t="s">
        <v>155</v>
      </c>
      <c r="D345" s="33" t="s">
        <v>61</v>
      </c>
      <c r="E345" s="33"/>
      <c r="F345" s="33"/>
      <c r="G345" s="33"/>
      <c r="H345" s="30"/>
      <c r="I345" s="58"/>
      <c r="J345" s="212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94"/>
      <c r="V345" s="158"/>
      <c r="W345" s="158"/>
      <c r="X345" s="158"/>
      <c r="Y345" s="158"/>
      <c r="Z345" s="94"/>
      <c r="AA345" s="158"/>
      <c r="AB345" s="158"/>
      <c r="AC345" s="158"/>
      <c r="AD345" s="158"/>
      <c r="AE345" s="158"/>
      <c r="AF345" s="158"/>
      <c r="AG345" s="158"/>
      <c r="AH345" s="158"/>
      <c r="AI345" s="158"/>
      <c r="AJ345" s="158"/>
      <c r="AK345" s="158">
        <f t="shared" si="87"/>
        <v>0</v>
      </c>
      <c r="AL345" s="158"/>
      <c r="AM345" s="158"/>
      <c r="AN345" s="158"/>
      <c r="AO345" s="158"/>
      <c r="AP345" s="158"/>
      <c r="AQ345" s="158"/>
      <c r="AR345" s="158"/>
      <c r="AS345" s="158"/>
      <c r="AT345" s="2"/>
      <c r="AU345" s="58"/>
      <c r="AV345" s="106"/>
      <c r="AW345" s="158">
        <v>30</v>
      </c>
      <c r="AX345" s="158"/>
      <c r="AY345" s="158"/>
      <c r="AZ345" s="158"/>
      <c r="BA345" s="158"/>
      <c r="BB345" s="158"/>
      <c r="BC345" s="69"/>
      <c r="BD345" s="69"/>
      <c r="BE345" s="69"/>
      <c r="BF345" s="271">
        <v>2016</v>
      </c>
      <c r="BG345" s="271"/>
      <c r="BH345" s="444"/>
      <c r="BI345" s="271" t="s">
        <v>2376</v>
      </c>
    </row>
    <row r="346" spans="1:61 16108:16286" s="204" customFormat="1" ht="15" customHeight="1">
      <c r="A346" s="160" t="s">
        <v>507</v>
      </c>
      <c r="B346" s="58" t="s">
        <v>545</v>
      </c>
      <c r="C346" s="148" t="s">
        <v>156</v>
      </c>
      <c r="D346" s="33" t="s">
        <v>61</v>
      </c>
      <c r="E346" s="33"/>
      <c r="F346" s="33"/>
      <c r="G346" s="33"/>
      <c r="H346" s="30" t="s">
        <v>651</v>
      </c>
      <c r="I346" s="30"/>
      <c r="J346" s="212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94"/>
      <c r="V346" s="158"/>
      <c r="W346" s="158"/>
      <c r="X346" s="158"/>
      <c r="Y346" s="158"/>
      <c r="Z346" s="94"/>
      <c r="AA346" s="158"/>
      <c r="AB346" s="158"/>
      <c r="AC346" s="158"/>
      <c r="AD346" s="158"/>
      <c r="AE346" s="158"/>
      <c r="AF346" s="158"/>
      <c r="AG346" s="158"/>
      <c r="AH346" s="158"/>
      <c r="AI346" s="158"/>
      <c r="AJ346" s="158"/>
      <c r="AK346" s="158">
        <f t="shared" si="87"/>
        <v>0</v>
      </c>
      <c r="AL346" s="158"/>
      <c r="AM346" s="158"/>
      <c r="AN346" s="158"/>
      <c r="AO346" s="158"/>
      <c r="AP346" s="158"/>
      <c r="AQ346" s="158"/>
      <c r="AR346" s="158"/>
      <c r="AS346" s="158"/>
      <c r="AT346" s="2">
        <v>1</v>
      </c>
      <c r="AU346" s="58" t="s">
        <v>646</v>
      </c>
      <c r="AV346" s="105"/>
      <c r="AW346" s="158" t="s">
        <v>0</v>
      </c>
      <c r="AX346" s="158">
        <v>59</v>
      </c>
      <c r="AY346" s="158"/>
      <c r="AZ346" s="158"/>
      <c r="BA346" s="158"/>
      <c r="BB346" s="158"/>
      <c r="BC346" s="69"/>
      <c r="BD346" s="69"/>
      <c r="BE346" s="69"/>
      <c r="BF346" s="271">
        <v>2017</v>
      </c>
      <c r="BG346" s="271"/>
      <c r="BH346" s="271"/>
      <c r="BI346" s="271" t="s">
        <v>2376</v>
      </c>
    </row>
    <row r="347" spans="1:61 16108:16286" s="204" customFormat="1" ht="15" customHeight="1">
      <c r="A347" s="160" t="s">
        <v>507</v>
      </c>
      <c r="B347" s="58" t="s">
        <v>545</v>
      </c>
      <c r="C347" s="148" t="s">
        <v>156</v>
      </c>
      <c r="D347" s="33" t="s">
        <v>61</v>
      </c>
      <c r="E347" s="33"/>
      <c r="F347" s="33"/>
      <c r="G347" s="33"/>
      <c r="H347" s="30" t="s">
        <v>651</v>
      </c>
      <c r="I347" s="30"/>
      <c r="J347" s="212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94"/>
      <c r="V347" s="158"/>
      <c r="W347" s="158"/>
      <c r="X347" s="158"/>
      <c r="Y347" s="158"/>
      <c r="Z347" s="94"/>
      <c r="AA347" s="158"/>
      <c r="AB347" s="158"/>
      <c r="AC347" s="158"/>
      <c r="AD347" s="158"/>
      <c r="AE347" s="158"/>
      <c r="AF347" s="158"/>
      <c r="AG347" s="158"/>
      <c r="AH347" s="158"/>
      <c r="AI347" s="158"/>
      <c r="AJ347" s="158"/>
      <c r="AK347" s="158">
        <f t="shared" si="87"/>
        <v>0</v>
      </c>
      <c r="AL347" s="158"/>
      <c r="AM347" s="158"/>
      <c r="AN347" s="158"/>
      <c r="AO347" s="158"/>
      <c r="AP347" s="158"/>
      <c r="AQ347" s="158"/>
      <c r="AR347" s="158"/>
      <c r="AS347" s="158"/>
      <c r="AT347" s="2">
        <v>1</v>
      </c>
      <c r="AU347" s="58" t="s">
        <v>646</v>
      </c>
      <c r="AV347" s="105" t="s">
        <v>1103</v>
      </c>
      <c r="AW347" s="158" t="s">
        <v>0</v>
      </c>
      <c r="AX347" s="158"/>
      <c r="AY347" s="72">
        <v>1</v>
      </c>
      <c r="AZ347" s="158"/>
      <c r="BA347" s="158"/>
      <c r="BB347" s="158">
        <v>1</v>
      </c>
      <c r="BC347" s="69"/>
      <c r="BD347" s="69"/>
      <c r="BE347" s="69"/>
      <c r="BF347" s="271">
        <v>2018</v>
      </c>
      <c r="BG347" s="271"/>
      <c r="BH347" s="271"/>
      <c r="BI347" s="271" t="s">
        <v>2376</v>
      </c>
    </row>
    <row r="348" spans="1:61 16108:16286" s="204" customFormat="1" ht="18" customHeight="1">
      <c r="A348" s="160" t="s">
        <v>507</v>
      </c>
      <c r="B348" s="58" t="s">
        <v>1118</v>
      </c>
      <c r="C348" s="148" t="s">
        <v>1123</v>
      </c>
      <c r="D348" s="33" t="s">
        <v>61</v>
      </c>
      <c r="E348" s="33"/>
      <c r="F348" s="33"/>
      <c r="G348" s="33"/>
      <c r="H348" s="30" t="s">
        <v>1116</v>
      </c>
      <c r="I348" s="30">
        <v>370</v>
      </c>
      <c r="J348" s="212">
        <v>43411</v>
      </c>
      <c r="K348" s="158">
        <v>35</v>
      </c>
      <c r="L348" s="158">
        <v>35</v>
      </c>
      <c r="M348" s="158"/>
      <c r="N348" s="158"/>
      <c r="O348" s="158"/>
      <c r="P348" s="158">
        <v>2303500476</v>
      </c>
      <c r="Q348" s="158"/>
      <c r="R348" s="158"/>
      <c r="S348" s="158"/>
      <c r="T348" s="158"/>
      <c r="U348" s="94">
        <v>1019915196</v>
      </c>
      <c r="V348" s="158">
        <v>10</v>
      </c>
      <c r="W348" s="311">
        <v>43405</v>
      </c>
      <c r="X348" s="158"/>
      <c r="Y348" s="158"/>
      <c r="Z348" s="158">
        <v>1283585280</v>
      </c>
      <c r="AA348" s="214">
        <v>10</v>
      </c>
      <c r="AB348" s="311">
        <v>43525</v>
      </c>
      <c r="AC348" s="311"/>
      <c r="AD348" s="214"/>
      <c r="AE348" s="158"/>
      <c r="AF348" s="158">
        <f>P348-U348-Z348</f>
        <v>0</v>
      </c>
      <c r="AG348" s="158"/>
      <c r="AH348" s="94">
        <v>0</v>
      </c>
      <c r="AI348" s="94">
        <v>0</v>
      </c>
      <c r="AJ348" s="94"/>
      <c r="AK348" s="158">
        <f t="shared" ref="AK348" si="88">AF348+AH348</f>
        <v>0</v>
      </c>
      <c r="AL348" s="158">
        <v>877</v>
      </c>
      <c r="AM348" s="158">
        <v>10</v>
      </c>
      <c r="AN348" s="158"/>
      <c r="AO348" s="158"/>
      <c r="AP348" s="158"/>
      <c r="AQ348" s="158"/>
      <c r="AR348" s="158"/>
      <c r="AS348" s="158"/>
      <c r="AT348" s="2">
        <v>1</v>
      </c>
      <c r="AU348" s="58" t="s">
        <v>646</v>
      </c>
      <c r="AV348" s="386"/>
      <c r="AW348" s="158"/>
      <c r="AX348" s="158"/>
      <c r="AY348" s="158"/>
      <c r="AZ348" s="158">
        <v>35</v>
      </c>
      <c r="BA348" s="158"/>
      <c r="BB348" s="158"/>
      <c r="BC348" s="69"/>
      <c r="BD348" s="69">
        <v>35</v>
      </c>
      <c r="BE348" s="69"/>
      <c r="BF348" s="271">
        <v>2019</v>
      </c>
      <c r="BG348" s="271">
        <v>2019</v>
      </c>
      <c r="BH348" s="271"/>
      <c r="BI348" s="271" t="s">
        <v>2375</v>
      </c>
    </row>
    <row r="349" spans="1:61 16108:16286" s="204" customFormat="1" ht="18" customHeight="1">
      <c r="A349" s="160" t="s">
        <v>507</v>
      </c>
      <c r="B349" s="58" t="s">
        <v>1118</v>
      </c>
      <c r="C349" s="148" t="s">
        <v>1244</v>
      </c>
      <c r="D349" s="33" t="s">
        <v>1245</v>
      </c>
      <c r="E349" s="33"/>
      <c r="F349" s="33"/>
      <c r="G349" s="33"/>
      <c r="H349" s="30" t="s">
        <v>1232</v>
      </c>
      <c r="I349" s="30">
        <v>496</v>
      </c>
      <c r="J349" s="212">
        <v>43539</v>
      </c>
      <c r="K349" s="158"/>
      <c r="L349" s="158"/>
      <c r="M349" s="158">
        <v>15</v>
      </c>
      <c r="N349" s="158">
        <v>15</v>
      </c>
      <c r="O349" s="158"/>
      <c r="P349" s="158">
        <v>1053550669</v>
      </c>
      <c r="Q349" s="158"/>
      <c r="R349" s="158"/>
      <c r="S349" s="158"/>
      <c r="T349" s="158"/>
      <c r="U349" s="94">
        <v>546959270</v>
      </c>
      <c r="V349" s="158">
        <v>20</v>
      </c>
      <c r="W349" s="311">
        <v>43678</v>
      </c>
      <c r="X349" s="311"/>
      <c r="Y349" s="311"/>
      <c r="Z349" s="158">
        <v>506591399</v>
      </c>
      <c r="AA349" s="158">
        <v>20</v>
      </c>
      <c r="AB349" s="311">
        <v>43800</v>
      </c>
      <c r="AC349" s="311"/>
      <c r="AD349" s="158"/>
      <c r="AE349" s="158"/>
      <c r="AF349" s="158">
        <f>P349-R349-U349-Z349</f>
        <v>0</v>
      </c>
      <c r="AG349" s="158"/>
      <c r="AH349" s="94">
        <v>0</v>
      </c>
      <c r="AI349" s="94">
        <v>0</v>
      </c>
      <c r="AJ349" s="94"/>
      <c r="AK349" s="158">
        <f t="shared" ref="AK349:AK353" si="89">P349-R349-U349-Z349</f>
        <v>0</v>
      </c>
      <c r="AL349" s="158">
        <v>877</v>
      </c>
      <c r="AM349" s="158">
        <v>20</v>
      </c>
      <c r="AN349" s="158"/>
      <c r="AO349" s="158"/>
      <c r="AP349" s="158">
        <v>15</v>
      </c>
      <c r="AQ349" s="158"/>
      <c r="AR349" s="158"/>
      <c r="AS349" s="158"/>
      <c r="AT349" s="56">
        <v>1</v>
      </c>
      <c r="AU349" s="58" t="s">
        <v>646</v>
      </c>
      <c r="AV349" s="386"/>
      <c r="AW349" s="158"/>
      <c r="AX349" s="158"/>
      <c r="AY349" s="158"/>
      <c r="AZ349" s="158"/>
      <c r="BA349" s="158">
        <v>15</v>
      </c>
      <c r="BB349" s="158"/>
      <c r="BC349" s="69"/>
      <c r="BD349" s="69">
        <v>15</v>
      </c>
      <c r="BE349" s="69"/>
      <c r="BF349" s="271">
        <v>2020</v>
      </c>
      <c r="BG349" s="271">
        <v>2019</v>
      </c>
      <c r="BH349" s="430">
        <v>2020</v>
      </c>
      <c r="BI349" s="271" t="s">
        <v>2375</v>
      </c>
    </row>
    <row r="350" spans="1:61 16108:16286" s="204" customFormat="1" ht="18" customHeight="1">
      <c r="A350" s="160" t="s">
        <v>507</v>
      </c>
      <c r="B350" s="58" t="s">
        <v>1607</v>
      </c>
      <c r="C350" s="148" t="s">
        <v>1630</v>
      </c>
      <c r="D350" s="33" t="s">
        <v>61</v>
      </c>
      <c r="E350" s="33"/>
      <c r="F350" s="33"/>
      <c r="G350" s="33"/>
      <c r="H350" s="30" t="s">
        <v>1605</v>
      </c>
      <c r="I350" s="628" t="s">
        <v>1633</v>
      </c>
      <c r="J350" s="215" t="s">
        <v>1631</v>
      </c>
      <c r="K350" s="158"/>
      <c r="L350" s="158"/>
      <c r="M350" s="158">
        <f>59-1</f>
        <v>58</v>
      </c>
      <c r="N350" s="158">
        <v>58</v>
      </c>
      <c r="O350" s="158"/>
      <c r="P350" s="158">
        <f>4842834673-82081944</f>
        <v>4760752729</v>
      </c>
      <c r="Q350" s="158"/>
      <c r="R350" s="158">
        <v>580000000</v>
      </c>
      <c r="S350" s="158">
        <v>20</v>
      </c>
      <c r="T350" s="311">
        <v>43678</v>
      </c>
      <c r="U350" s="94">
        <v>2249422233</v>
      </c>
      <c r="V350" s="158">
        <v>20</v>
      </c>
      <c r="W350" s="311">
        <v>43739</v>
      </c>
      <c r="X350" s="311"/>
      <c r="Y350" s="311"/>
      <c r="Z350" s="94">
        <v>1931330496</v>
      </c>
      <c r="AA350" s="158">
        <v>20</v>
      </c>
      <c r="AB350" s="311">
        <v>43861</v>
      </c>
      <c r="AC350" s="311"/>
      <c r="AD350" s="158"/>
      <c r="AE350" s="158"/>
      <c r="AF350" s="158">
        <f>P350-R350-U350-AH350</f>
        <v>1931330496</v>
      </c>
      <c r="AG350" s="158"/>
      <c r="AH350" s="94">
        <v>0</v>
      </c>
      <c r="AI350" s="94">
        <v>1931330496</v>
      </c>
      <c r="AJ350" s="94"/>
      <c r="AK350" s="666">
        <f t="shared" si="89"/>
        <v>0</v>
      </c>
      <c r="AL350" s="666">
        <v>877</v>
      </c>
      <c r="AM350" s="666">
        <v>20</v>
      </c>
      <c r="AN350" s="158"/>
      <c r="AO350" s="158"/>
      <c r="AP350" s="158">
        <v>58</v>
      </c>
      <c r="AQ350" s="158"/>
      <c r="AR350" s="158"/>
      <c r="AS350" s="158"/>
      <c r="AT350" s="56">
        <v>0.93169999999999997</v>
      </c>
      <c r="AU350" s="58" t="s">
        <v>38</v>
      </c>
      <c r="AV350" s="386" t="s">
        <v>2207</v>
      </c>
      <c r="AW350" s="158"/>
      <c r="AX350" s="158"/>
      <c r="AY350" s="158"/>
      <c r="AZ350" s="158"/>
      <c r="BA350" s="158">
        <v>58</v>
      </c>
      <c r="BB350" s="158"/>
      <c r="BC350" s="158"/>
      <c r="BD350" s="158">
        <v>58</v>
      </c>
      <c r="BE350" s="69"/>
      <c r="BF350" s="271">
        <v>2020</v>
      </c>
      <c r="BG350" s="271">
        <v>2019</v>
      </c>
      <c r="BH350" s="430">
        <v>2020</v>
      </c>
      <c r="BI350" s="271" t="s">
        <v>2375</v>
      </c>
    </row>
    <row r="351" spans="1:61 16108:16286" s="204" customFormat="1" ht="18" customHeight="1">
      <c r="A351" s="160" t="s">
        <v>507</v>
      </c>
      <c r="B351" s="58" t="s">
        <v>1607</v>
      </c>
      <c r="C351" s="148" t="s">
        <v>1630</v>
      </c>
      <c r="D351" s="33" t="s">
        <v>61</v>
      </c>
      <c r="E351" s="33"/>
      <c r="F351" s="33"/>
      <c r="G351" s="33"/>
      <c r="H351" s="30" t="s">
        <v>1605</v>
      </c>
      <c r="I351" s="115" t="s">
        <v>1974</v>
      </c>
      <c r="J351" s="215" t="s">
        <v>1975</v>
      </c>
      <c r="K351" s="158"/>
      <c r="L351" s="158"/>
      <c r="M351" s="158">
        <v>1</v>
      </c>
      <c r="N351" s="158">
        <v>1</v>
      </c>
      <c r="O351" s="158"/>
      <c r="P351" s="158">
        <v>82081944</v>
      </c>
      <c r="Q351" s="158"/>
      <c r="R351" s="158">
        <v>10000000</v>
      </c>
      <c r="S351" s="158">
        <v>10</v>
      </c>
      <c r="T351" s="311">
        <v>43951</v>
      </c>
      <c r="U351" s="94"/>
      <c r="V351" s="158"/>
      <c r="W351" s="311"/>
      <c r="X351" s="311"/>
      <c r="Y351" s="311"/>
      <c r="Z351" s="94"/>
      <c r="AA351" s="158"/>
      <c r="AB351" s="158"/>
      <c r="AC351" s="158"/>
      <c r="AD351" s="158"/>
      <c r="AE351" s="158"/>
      <c r="AF351" s="158">
        <f>P351</f>
        <v>82081944</v>
      </c>
      <c r="AG351" s="158"/>
      <c r="AH351" s="94">
        <v>0</v>
      </c>
      <c r="AI351" s="94">
        <v>82081944</v>
      </c>
      <c r="AJ351" s="94"/>
      <c r="AK351" s="602">
        <f t="shared" si="89"/>
        <v>72081944</v>
      </c>
      <c r="AL351" s="72">
        <v>877</v>
      </c>
      <c r="AM351" s="72">
        <v>10</v>
      </c>
      <c r="AN351" s="158">
        <v>1</v>
      </c>
      <c r="AO351" s="158"/>
      <c r="AP351" s="158"/>
      <c r="AQ351" s="158"/>
      <c r="AR351" s="158"/>
      <c r="AS351" s="158"/>
      <c r="AT351" s="56">
        <v>0</v>
      </c>
      <c r="AU351" s="58" t="s">
        <v>521</v>
      </c>
      <c r="AV351" s="386"/>
      <c r="AW351" s="158"/>
      <c r="AX351" s="158"/>
      <c r="AY351" s="158"/>
      <c r="AZ351" s="158"/>
      <c r="BA351" s="158"/>
      <c r="BB351" s="158"/>
      <c r="BC351" s="69"/>
      <c r="BD351" s="69"/>
      <c r="BE351" s="69"/>
      <c r="BF351" s="271"/>
      <c r="BG351" s="271">
        <v>2019</v>
      </c>
      <c r="BH351" s="271">
        <v>2020</v>
      </c>
      <c r="BI351" s="271" t="s">
        <v>2375</v>
      </c>
    </row>
    <row r="352" spans="1:61 16108:16286" s="204" customFormat="1" ht="27.75" customHeight="1">
      <c r="A352" s="160" t="s">
        <v>507</v>
      </c>
      <c r="B352" s="58" t="s">
        <v>1607</v>
      </c>
      <c r="C352" s="148" t="s">
        <v>1606</v>
      </c>
      <c r="D352" s="33" t="s">
        <v>61</v>
      </c>
      <c r="E352" s="33"/>
      <c r="F352" s="33"/>
      <c r="G352" s="33"/>
      <c r="H352" s="30" t="s">
        <v>1605</v>
      </c>
      <c r="I352" s="115" t="s">
        <v>1632</v>
      </c>
      <c r="J352" s="215" t="s">
        <v>2221</v>
      </c>
      <c r="K352" s="158"/>
      <c r="L352" s="158"/>
      <c r="M352" s="158">
        <v>18</v>
      </c>
      <c r="N352" s="158">
        <v>18</v>
      </c>
      <c r="O352" s="158"/>
      <c r="P352" s="158">
        <v>1498763726</v>
      </c>
      <c r="Q352" s="158"/>
      <c r="R352" s="158">
        <v>180000000</v>
      </c>
      <c r="S352" s="158">
        <v>20</v>
      </c>
      <c r="T352" s="311">
        <v>43709</v>
      </c>
      <c r="U352" s="94">
        <v>695320167</v>
      </c>
      <c r="V352" s="158">
        <v>20</v>
      </c>
      <c r="W352" s="311">
        <v>43739</v>
      </c>
      <c r="X352" s="311"/>
      <c r="Y352" s="311"/>
      <c r="Z352" s="158">
        <f>613993378+9450181</f>
        <v>623443559</v>
      </c>
      <c r="AA352" s="159" t="s">
        <v>1657</v>
      </c>
      <c r="AB352" s="311">
        <v>43861</v>
      </c>
      <c r="AC352" s="311"/>
      <c r="AD352" s="158"/>
      <c r="AE352" s="158"/>
      <c r="AF352" s="158">
        <f>P352-R352-U352</f>
        <v>623443559</v>
      </c>
      <c r="AG352" s="158"/>
      <c r="AH352" s="94">
        <v>0</v>
      </c>
      <c r="AI352" s="94">
        <v>623443559</v>
      </c>
      <c r="AJ352" s="94"/>
      <c r="AK352" s="72">
        <f t="shared" si="89"/>
        <v>0</v>
      </c>
      <c r="AL352" s="158">
        <v>877</v>
      </c>
      <c r="AM352" s="158">
        <v>10</v>
      </c>
      <c r="AN352" s="158"/>
      <c r="AO352" s="158"/>
      <c r="AP352" s="158">
        <v>18</v>
      </c>
      <c r="AQ352" s="158"/>
      <c r="AR352" s="158"/>
      <c r="AS352" s="158"/>
      <c r="AT352" s="56">
        <v>0.92200000000000004</v>
      </c>
      <c r="AU352" s="58" t="s">
        <v>38</v>
      </c>
      <c r="AV352" s="386"/>
      <c r="AW352" s="158"/>
      <c r="AX352" s="158"/>
      <c r="AY352" s="158"/>
      <c r="AZ352" s="158"/>
      <c r="BA352" s="158">
        <v>18</v>
      </c>
      <c r="BB352" s="158"/>
      <c r="BC352" s="158"/>
      <c r="BD352" s="158">
        <v>18</v>
      </c>
      <c r="BE352" s="69"/>
      <c r="BF352" s="271">
        <v>2020</v>
      </c>
      <c r="BG352" s="271">
        <v>2019</v>
      </c>
      <c r="BH352" s="430">
        <v>2020</v>
      </c>
      <c r="BI352" s="271" t="s">
        <v>2375</v>
      </c>
    </row>
    <row r="353" spans="1:61 16079:16286" s="204" customFormat="1" ht="26.25" customHeight="1">
      <c r="A353" s="160" t="s">
        <v>507</v>
      </c>
      <c r="B353" s="58" t="s">
        <v>154</v>
      </c>
      <c r="C353" s="55" t="s">
        <v>1921</v>
      </c>
      <c r="D353" s="33" t="s">
        <v>61</v>
      </c>
      <c r="E353" s="33"/>
      <c r="F353" s="33"/>
      <c r="G353" s="33"/>
      <c r="H353" s="30" t="s">
        <v>1920</v>
      </c>
      <c r="I353" s="115">
        <v>2094</v>
      </c>
      <c r="J353" s="212">
        <v>43803</v>
      </c>
      <c r="K353" s="158"/>
      <c r="L353" s="158"/>
      <c r="M353" s="158">
        <v>30</v>
      </c>
      <c r="N353" s="158">
        <v>30</v>
      </c>
      <c r="O353" s="158"/>
      <c r="P353" s="158">
        <v>2186543122</v>
      </c>
      <c r="Q353" s="158"/>
      <c r="R353" s="158"/>
      <c r="S353" s="158"/>
      <c r="T353" s="311"/>
      <c r="U353" s="94">
        <v>1182370065</v>
      </c>
      <c r="V353" s="158">
        <v>20</v>
      </c>
      <c r="W353" s="311">
        <v>43800</v>
      </c>
      <c r="X353" s="311"/>
      <c r="Y353" s="311"/>
      <c r="Z353" s="158">
        <v>1004173057</v>
      </c>
      <c r="AA353" s="159">
        <v>20</v>
      </c>
      <c r="AB353" s="311">
        <v>43920</v>
      </c>
      <c r="AC353" s="311"/>
      <c r="AD353" s="158"/>
      <c r="AE353" s="158"/>
      <c r="AF353" s="158">
        <f>P353-R353-U353</f>
        <v>1004173057</v>
      </c>
      <c r="AG353" s="158"/>
      <c r="AH353" s="158"/>
      <c r="AI353" s="158">
        <v>1004173057</v>
      </c>
      <c r="AJ353" s="158"/>
      <c r="AK353" s="158">
        <f t="shared" si="89"/>
        <v>0</v>
      </c>
      <c r="AL353" s="158">
        <v>877</v>
      </c>
      <c r="AM353" s="158">
        <v>10</v>
      </c>
      <c r="AN353" s="158"/>
      <c r="AO353" s="158">
        <v>30</v>
      </c>
      <c r="AP353" s="158"/>
      <c r="AQ353" s="158"/>
      <c r="AR353" s="158"/>
      <c r="AS353" s="158"/>
      <c r="AT353" s="2">
        <v>0.92190000000000005</v>
      </c>
      <c r="AU353" s="58" t="s">
        <v>38</v>
      </c>
      <c r="AV353" s="104" t="s">
        <v>1565</v>
      </c>
      <c r="AW353" s="158"/>
      <c r="AX353" s="158"/>
      <c r="AY353" s="158"/>
      <c r="AZ353" s="158"/>
      <c r="BA353" s="158"/>
      <c r="BB353" s="158"/>
      <c r="BC353" s="69"/>
      <c r="BD353" s="69"/>
      <c r="BE353" s="69"/>
      <c r="BF353" s="271"/>
      <c r="BG353" s="271">
        <v>2019</v>
      </c>
      <c r="BH353" s="430">
        <v>2020</v>
      </c>
      <c r="BI353" s="271" t="s">
        <v>2375</v>
      </c>
    </row>
    <row r="354" spans="1:61 16079:16286" ht="15" customHeight="1">
      <c r="A354" s="371" t="s">
        <v>508</v>
      </c>
      <c r="B354" s="371"/>
      <c r="C354" s="371"/>
      <c r="D354" s="371"/>
      <c r="E354" s="371"/>
      <c r="F354" s="371"/>
      <c r="G354" s="371"/>
      <c r="H354" s="371"/>
      <c r="I354" s="371"/>
      <c r="J354" s="371"/>
      <c r="K354" s="371">
        <f>SUM(K355:K375)</f>
        <v>71</v>
      </c>
      <c r="L354" s="370">
        <f t="shared" ref="L354:M354" si="90">SUM(L355:L375)</f>
        <v>75</v>
      </c>
      <c r="M354" s="370">
        <f t="shared" si="90"/>
        <v>183</v>
      </c>
      <c r="N354" s="424">
        <f>SUM(N355:N379)</f>
        <v>239</v>
      </c>
      <c r="O354" s="424">
        <f>SUM(O355:O379)</f>
        <v>65</v>
      </c>
      <c r="P354" s="371"/>
      <c r="Q354" s="371"/>
      <c r="R354" s="371"/>
      <c r="S354" s="371"/>
      <c r="T354" s="371"/>
      <c r="U354" s="371"/>
      <c r="V354" s="371"/>
      <c r="W354" s="371"/>
      <c r="X354" s="371"/>
      <c r="Y354" s="371"/>
      <c r="Z354" s="371"/>
      <c r="AA354" s="371"/>
      <c r="AB354" s="371"/>
      <c r="AC354" s="371"/>
      <c r="AD354" s="371"/>
      <c r="AE354" s="371"/>
      <c r="AF354" s="371"/>
      <c r="AG354" s="371"/>
      <c r="AH354" s="371"/>
      <c r="AI354" s="371"/>
      <c r="AJ354" s="371"/>
      <c r="AK354" s="371"/>
      <c r="AL354" s="371"/>
      <c r="AM354" s="371"/>
      <c r="AN354" s="424">
        <f>SUM(AN355:AN379)</f>
        <v>57</v>
      </c>
      <c r="AO354" s="424">
        <f t="shared" ref="AO354:AS354" si="91">SUM(AO355:AO379)</f>
        <v>154</v>
      </c>
      <c r="AP354" s="424">
        <f t="shared" si="91"/>
        <v>31</v>
      </c>
      <c r="AQ354" s="424">
        <f t="shared" si="91"/>
        <v>47</v>
      </c>
      <c r="AR354" s="424">
        <f t="shared" si="91"/>
        <v>15</v>
      </c>
      <c r="AS354" s="424">
        <f t="shared" si="91"/>
        <v>0</v>
      </c>
      <c r="AT354" s="371"/>
      <c r="AU354" s="371"/>
      <c r="AV354" s="385"/>
      <c r="AW354" s="370">
        <f t="shared" ref="AW354:AZ354" si="92">SUM(AW355:AW375)</f>
        <v>75</v>
      </c>
      <c r="AX354" s="370">
        <f t="shared" si="92"/>
        <v>0</v>
      </c>
      <c r="AY354" s="370">
        <f t="shared" si="92"/>
        <v>153</v>
      </c>
      <c r="AZ354" s="370">
        <f t="shared" si="92"/>
        <v>75</v>
      </c>
      <c r="BA354" s="424">
        <f>SUM(BA355:BA379)</f>
        <v>31</v>
      </c>
      <c r="BB354" s="424">
        <f t="shared" ref="BB354:BD354" si="93">SUM(BB355:BB377)</f>
        <v>114</v>
      </c>
      <c r="BC354" s="424">
        <f t="shared" si="93"/>
        <v>39</v>
      </c>
      <c r="BD354" s="424">
        <f t="shared" si="93"/>
        <v>145</v>
      </c>
      <c r="BE354" s="424">
        <f>SUM(BE355:BE379)</f>
        <v>4</v>
      </c>
      <c r="BF354" s="371"/>
      <c r="BG354" s="371">
        <v>2019</v>
      </c>
      <c r="BH354" s="371">
        <v>2020</v>
      </c>
      <c r="BI354" s="434" t="s">
        <v>2419</v>
      </c>
      <c r="WTK354" s="371"/>
      <c r="WTL354" s="371"/>
      <c r="WTM354" s="371"/>
      <c r="WTN354" s="371"/>
      <c r="WTO354" s="371"/>
      <c r="WTP354" s="370"/>
      <c r="WTQ354" s="370"/>
      <c r="WTR354" s="370"/>
      <c r="WTS354" s="370"/>
      <c r="WTT354" s="370"/>
      <c r="WTU354" s="370"/>
      <c r="WTV354" s="370"/>
      <c r="WTW354" s="370"/>
      <c r="WTX354" s="370"/>
      <c r="WTY354" s="370"/>
      <c r="WUN354" s="371"/>
      <c r="WUO354" s="371"/>
      <c r="WUP354" s="371"/>
      <c r="WUQ354" s="371"/>
      <c r="WUR354" s="371"/>
      <c r="WUS354" s="370"/>
      <c r="WUT354" s="370"/>
      <c r="WVQ354" s="371"/>
      <c r="WVR354" s="371"/>
      <c r="WVS354" s="371"/>
      <c r="WVT354" s="371"/>
      <c r="WVU354" s="371"/>
      <c r="WWT354" s="371"/>
      <c r="WWU354" s="371"/>
      <c r="WWV354" s="371"/>
      <c r="WWW354" s="371"/>
      <c r="WWX354" s="371"/>
      <c r="WXW354" s="371"/>
      <c r="WXX354" s="371"/>
      <c r="WXY354" s="371"/>
      <c r="WXZ354" s="371"/>
      <c r="WYA354" s="371"/>
      <c r="WYZ354" s="371"/>
      <c r="WZA354" s="371"/>
      <c r="WZB354" s="371"/>
      <c r="WZC354" s="371"/>
      <c r="WZD354" s="371"/>
      <c r="XAC354" s="371"/>
      <c r="XAD354" s="371"/>
      <c r="XAE354" s="371"/>
      <c r="XAF354" s="371"/>
      <c r="XAG354" s="371"/>
      <c r="XBF354" s="371"/>
      <c r="XBG354" s="371"/>
      <c r="XBH354" s="371"/>
      <c r="XBI354" s="371"/>
      <c r="XBJ354" s="371"/>
    </row>
    <row r="355" spans="1:61 16079:16286" s="204" customFormat="1" ht="18" customHeight="1">
      <c r="A355" s="160" t="s">
        <v>508</v>
      </c>
      <c r="B355" s="58" t="s">
        <v>641</v>
      </c>
      <c r="C355" s="148" t="s">
        <v>690</v>
      </c>
      <c r="D355" s="33" t="s">
        <v>7</v>
      </c>
      <c r="E355" s="33"/>
      <c r="F355" s="33"/>
      <c r="G355" s="33"/>
      <c r="H355" s="30" t="s">
        <v>647</v>
      </c>
      <c r="I355" s="30">
        <v>1475</v>
      </c>
      <c r="J355" s="212">
        <v>41900</v>
      </c>
      <c r="K355" s="158"/>
      <c r="L355" s="158">
        <v>4</v>
      </c>
      <c r="M355" s="158"/>
      <c r="N355" s="158"/>
      <c r="O355" s="158"/>
      <c r="P355" s="158"/>
      <c r="Q355" s="158"/>
      <c r="R355" s="158"/>
      <c r="S355" s="158"/>
      <c r="T355" s="158"/>
      <c r="U355" s="94"/>
      <c r="V355" s="158"/>
      <c r="W355" s="158"/>
      <c r="X355" s="158"/>
      <c r="Y355" s="158"/>
      <c r="Z355" s="94"/>
      <c r="AA355" s="158"/>
      <c r="AB355" s="158"/>
      <c r="AC355" s="158"/>
      <c r="AD355" s="158"/>
      <c r="AE355" s="158"/>
      <c r="AF355" s="158">
        <f>P355-U355-Z355</f>
        <v>0</v>
      </c>
      <c r="AG355" s="158"/>
      <c r="AH355" s="94">
        <v>0</v>
      </c>
      <c r="AI355" s="94">
        <v>0</v>
      </c>
      <c r="AJ355" s="94"/>
      <c r="AK355" s="158">
        <f t="shared" ref="AK355" si="94">AF355+AH355</f>
        <v>0</v>
      </c>
      <c r="AL355" s="158"/>
      <c r="AM355" s="158">
        <v>10</v>
      </c>
      <c r="AN355" s="158"/>
      <c r="AO355" s="158"/>
      <c r="AP355" s="158"/>
      <c r="AQ355" s="11"/>
      <c r="AR355" s="11"/>
      <c r="AS355" s="11"/>
      <c r="AT355" s="2">
        <v>1</v>
      </c>
      <c r="AU355" s="58" t="s">
        <v>646</v>
      </c>
      <c r="AV355" s="476" t="s">
        <v>1343</v>
      </c>
      <c r="AW355" s="158"/>
      <c r="AX355" s="11"/>
      <c r="AY355" s="11"/>
      <c r="AZ355" s="158">
        <v>4</v>
      </c>
      <c r="BA355" s="158"/>
      <c r="BB355" s="158"/>
      <c r="BC355" s="69"/>
      <c r="BD355" s="69">
        <v>4</v>
      </c>
      <c r="BE355" s="69"/>
      <c r="BF355" s="271">
        <v>2019</v>
      </c>
      <c r="BG355" s="271">
        <v>2019</v>
      </c>
      <c r="BH355" s="271"/>
      <c r="BI355" s="271" t="s">
        <v>2375</v>
      </c>
    </row>
    <row r="356" spans="1:61 16079:16286" s="204" customFormat="1" ht="15" customHeight="1">
      <c r="A356" s="230" t="s">
        <v>508</v>
      </c>
      <c r="B356" s="58" t="s">
        <v>161</v>
      </c>
      <c r="C356" s="148" t="s">
        <v>160</v>
      </c>
      <c r="D356" s="33" t="s">
        <v>149</v>
      </c>
      <c r="E356" s="33"/>
      <c r="F356" s="33"/>
      <c r="G356" s="33"/>
      <c r="H356" s="30"/>
      <c r="I356" s="58"/>
      <c r="J356" s="212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94"/>
      <c r="V356" s="158"/>
      <c r="W356" s="158"/>
      <c r="X356" s="158"/>
      <c r="Y356" s="158"/>
      <c r="Z356" s="94"/>
      <c r="AA356" s="158"/>
      <c r="AB356" s="5"/>
      <c r="AC356" s="5"/>
      <c r="AD356" s="5"/>
      <c r="AE356" s="158"/>
      <c r="AF356" s="158"/>
      <c r="AG356" s="158"/>
      <c r="AH356" s="158"/>
      <c r="AI356" s="158"/>
      <c r="AJ356" s="158"/>
      <c r="AK356" s="158"/>
      <c r="AL356" s="158"/>
      <c r="AM356" s="158">
        <v>10</v>
      </c>
      <c r="AN356" s="158"/>
      <c r="AO356" s="158"/>
      <c r="AP356" s="158"/>
      <c r="AQ356" s="158"/>
      <c r="AR356" s="158"/>
      <c r="AS356" s="158"/>
      <c r="AT356" s="2"/>
      <c r="AU356" s="58"/>
      <c r="AV356" s="106" t="s">
        <v>689</v>
      </c>
      <c r="AW356" s="158">
        <v>24</v>
      </c>
      <c r="AX356" s="158"/>
      <c r="AY356" s="158"/>
      <c r="AZ356" s="158"/>
      <c r="BA356" s="158"/>
      <c r="BB356" s="158"/>
      <c r="BC356" s="69"/>
      <c r="BD356" s="69"/>
      <c r="BE356" s="69"/>
      <c r="BF356" s="271">
        <v>2016</v>
      </c>
      <c r="BG356" s="271"/>
      <c r="BH356" s="271"/>
      <c r="BI356" s="271" t="s">
        <v>2376</v>
      </c>
    </row>
    <row r="357" spans="1:61 16079:16286" s="204" customFormat="1" ht="28.5" customHeight="1">
      <c r="A357" s="160" t="s">
        <v>508</v>
      </c>
      <c r="B357" s="58" t="s">
        <v>161</v>
      </c>
      <c r="C357" s="148" t="s">
        <v>160</v>
      </c>
      <c r="D357" s="33" t="s">
        <v>149</v>
      </c>
      <c r="E357" s="33"/>
      <c r="F357" s="33"/>
      <c r="G357" s="33"/>
      <c r="H357" s="30" t="s">
        <v>674</v>
      </c>
      <c r="I357" s="272" t="s">
        <v>1535</v>
      </c>
      <c r="J357" s="215" t="s">
        <v>1534</v>
      </c>
      <c r="K357" s="158"/>
      <c r="L357" s="158"/>
      <c r="M357" s="158"/>
      <c r="N357" s="158"/>
      <c r="O357" s="158"/>
      <c r="P357" s="158">
        <v>138628134</v>
      </c>
      <c r="Q357" s="158"/>
      <c r="R357" s="158"/>
      <c r="S357" s="158"/>
      <c r="T357" s="158"/>
      <c r="U357" s="94"/>
      <c r="V357" s="158"/>
      <c r="W357" s="158"/>
      <c r="X357" s="158"/>
      <c r="Y357" s="158"/>
      <c r="Z357" s="94"/>
      <c r="AA357" s="69"/>
      <c r="AB357" s="69"/>
      <c r="AC357" s="69"/>
      <c r="AD357" s="69">
        <v>138628134</v>
      </c>
      <c r="AE357" s="158"/>
      <c r="AF357" s="158">
        <f>P357-U357-Z357-AD357</f>
        <v>0</v>
      </c>
      <c r="AG357" s="158"/>
      <c r="AH357" s="94">
        <v>0</v>
      </c>
      <c r="AI357" s="94">
        <v>0</v>
      </c>
      <c r="AJ357" s="94"/>
      <c r="AK357" s="158">
        <f t="shared" ref="AK357" si="95">AF357+AH357</f>
        <v>0</v>
      </c>
      <c r="AL357" s="158">
        <v>877</v>
      </c>
      <c r="AM357" s="158">
        <v>10</v>
      </c>
      <c r="AN357" s="158"/>
      <c r="AO357" s="158"/>
      <c r="AP357" s="158"/>
      <c r="AQ357" s="158"/>
      <c r="AR357" s="158"/>
      <c r="AS357" s="158"/>
      <c r="AT357" s="2">
        <v>0</v>
      </c>
      <c r="AU357" s="58" t="s">
        <v>687</v>
      </c>
      <c r="AV357" s="477" t="s">
        <v>2181</v>
      </c>
      <c r="AW357" s="158"/>
      <c r="AX357" s="158"/>
      <c r="AY357" s="158"/>
      <c r="AZ357" s="158"/>
      <c r="BA357" s="158"/>
      <c r="BB357" s="158"/>
      <c r="BC357" s="69"/>
      <c r="BD357" s="69"/>
      <c r="BE357" s="69">
        <v>2</v>
      </c>
      <c r="BF357" s="271" t="s">
        <v>1703</v>
      </c>
      <c r="BG357" s="271">
        <v>2019</v>
      </c>
      <c r="BH357" s="271"/>
      <c r="BI357" s="271" t="s">
        <v>2376</v>
      </c>
    </row>
    <row r="358" spans="1:61 16079:16286" s="204" customFormat="1" ht="15" customHeight="1">
      <c r="A358" s="243" t="s">
        <v>508</v>
      </c>
      <c r="B358" s="58" t="s">
        <v>163</v>
      </c>
      <c r="C358" s="148" t="s">
        <v>666</v>
      </c>
      <c r="D358" s="33" t="s">
        <v>162</v>
      </c>
      <c r="E358" s="33"/>
      <c r="F358" s="33"/>
      <c r="G358" s="33"/>
      <c r="H358" s="30" t="s">
        <v>658</v>
      </c>
      <c r="I358" s="78">
        <v>2770</v>
      </c>
      <c r="J358" s="212">
        <v>42345</v>
      </c>
      <c r="K358" s="158"/>
      <c r="L358" s="96"/>
      <c r="M358" s="96"/>
      <c r="N358" s="96"/>
      <c r="O358" s="96"/>
      <c r="P358" s="96"/>
      <c r="Q358" s="96"/>
      <c r="R358" s="158"/>
      <c r="S358" s="158"/>
      <c r="T358" s="96"/>
      <c r="U358" s="94"/>
      <c r="V358" s="96"/>
      <c r="W358" s="96"/>
      <c r="X358" s="96"/>
      <c r="Y358" s="96"/>
      <c r="Z358" s="94"/>
      <c r="AA358" s="96"/>
      <c r="AB358" s="262"/>
      <c r="AC358" s="262"/>
      <c r="AD358" s="262"/>
      <c r="AE358" s="158"/>
      <c r="AF358" s="158"/>
      <c r="AG358" s="158"/>
      <c r="AH358" s="158"/>
      <c r="AI358" s="158"/>
      <c r="AJ358" s="158"/>
      <c r="AK358" s="158"/>
      <c r="AL358" s="158"/>
      <c r="AM358" s="158">
        <v>20</v>
      </c>
      <c r="AN358" s="158"/>
      <c r="AO358" s="158"/>
      <c r="AP358" s="158"/>
      <c r="AQ358" s="11"/>
      <c r="AR358" s="11"/>
      <c r="AS358" s="11"/>
      <c r="AT358" s="2">
        <v>1</v>
      </c>
      <c r="AU358" s="58" t="s">
        <v>646</v>
      </c>
      <c r="AV358" s="9" t="s">
        <v>1048</v>
      </c>
      <c r="AW358" s="158" t="s">
        <v>0</v>
      </c>
      <c r="AX358" s="11"/>
      <c r="AY358" s="12">
        <v>38</v>
      </c>
      <c r="AZ358" s="158"/>
      <c r="BA358" s="158"/>
      <c r="BB358" s="158"/>
      <c r="BC358" s="69">
        <v>38</v>
      </c>
      <c r="BD358" s="69">
        <f>+AY358</f>
        <v>38</v>
      </c>
      <c r="BE358" s="69"/>
      <c r="BF358" s="271">
        <v>2018</v>
      </c>
      <c r="BG358" s="271"/>
      <c r="BH358" s="271"/>
      <c r="BI358" s="271" t="s">
        <v>2375</v>
      </c>
    </row>
    <row r="359" spans="1:61 16079:16286" s="204" customFormat="1" ht="18" customHeight="1">
      <c r="A359" s="160" t="s">
        <v>508</v>
      </c>
      <c r="B359" s="58" t="s">
        <v>163</v>
      </c>
      <c r="C359" s="148" t="s">
        <v>666</v>
      </c>
      <c r="D359" s="33" t="s">
        <v>162</v>
      </c>
      <c r="E359" s="33"/>
      <c r="F359" s="33"/>
      <c r="G359" s="33"/>
      <c r="H359" s="30" t="s">
        <v>658</v>
      </c>
      <c r="I359" s="78">
        <v>2770</v>
      </c>
      <c r="J359" s="212">
        <v>42345</v>
      </c>
      <c r="K359" s="158"/>
      <c r="L359" s="96"/>
      <c r="M359" s="96"/>
      <c r="N359" s="96"/>
      <c r="O359" s="96"/>
      <c r="P359" s="158">
        <f>128508483-64254242</f>
        <v>64254241</v>
      </c>
      <c r="Q359" s="158"/>
      <c r="R359" s="158"/>
      <c r="S359" s="158"/>
      <c r="T359" s="158"/>
      <c r="U359" s="94">
        <v>64254241</v>
      </c>
      <c r="V359" s="69">
        <v>20</v>
      </c>
      <c r="W359" s="311">
        <v>43770</v>
      </c>
      <c r="X359" s="311"/>
      <c r="Y359" s="311"/>
      <c r="Z359" s="94"/>
      <c r="AA359" s="222"/>
      <c r="AB359" s="222"/>
      <c r="AC359" s="222"/>
      <c r="AD359" s="222"/>
      <c r="AE359" s="158"/>
      <c r="AF359" s="158">
        <f>P359-U359-Z359</f>
        <v>0</v>
      </c>
      <c r="AG359" s="158"/>
      <c r="AH359" s="158">
        <f>P359-U359-Z359</f>
        <v>0</v>
      </c>
      <c r="AI359" s="158">
        <v>0</v>
      </c>
      <c r="AJ359" s="158"/>
      <c r="AK359" s="158">
        <f t="shared" ref="AK359:AK360" si="96">AF359+AH359</f>
        <v>0</v>
      </c>
      <c r="AL359" s="158">
        <v>877</v>
      </c>
      <c r="AM359" s="158">
        <v>20</v>
      </c>
      <c r="AN359" s="158"/>
      <c r="AO359" s="158"/>
      <c r="AP359" s="158"/>
      <c r="AQ359" s="11"/>
      <c r="AR359" s="11"/>
      <c r="AS359" s="11"/>
      <c r="AT359" s="2">
        <v>1</v>
      </c>
      <c r="AU359" s="58" t="s">
        <v>646</v>
      </c>
      <c r="AV359" s="7" t="s">
        <v>1666</v>
      </c>
      <c r="AW359" s="158" t="s">
        <v>0</v>
      </c>
      <c r="AX359" s="11"/>
      <c r="AY359" s="12">
        <v>1</v>
      </c>
      <c r="AZ359" s="158"/>
      <c r="BA359" s="158"/>
      <c r="BB359" s="158"/>
      <c r="BC359" s="69">
        <v>1</v>
      </c>
      <c r="BD359" s="69">
        <f>+AY359</f>
        <v>1</v>
      </c>
      <c r="BE359" s="69"/>
      <c r="BF359" s="271">
        <v>2018</v>
      </c>
      <c r="BG359" s="445" t="s">
        <v>1652</v>
      </c>
      <c r="BH359" s="271"/>
      <c r="BI359" s="271" t="s">
        <v>2375</v>
      </c>
    </row>
    <row r="360" spans="1:61 16079:16286" s="204" customFormat="1" ht="18" customHeight="1">
      <c r="A360" s="160" t="s">
        <v>508</v>
      </c>
      <c r="B360" s="58" t="s">
        <v>163</v>
      </c>
      <c r="C360" s="148" t="s">
        <v>666</v>
      </c>
      <c r="D360" s="33" t="s">
        <v>162</v>
      </c>
      <c r="E360" s="33"/>
      <c r="F360" s="33"/>
      <c r="G360" s="33"/>
      <c r="H360" s="30" t="s">
        <v>658</v>
      </c>
      <c r="I360" s="228" t="s">
        <v>1682</v>
      </c>
      <c r="J360" s="215" t="s">
        <v>1683</v>
      </c>
      <c r="K360" s="158"/>
      <c r="L360" s="158"/>
      <c r="M360" s="158">
        <v>1</v>
      </c>
      <c r="N360" s="158"/>
      <c r="O360" s="158"/>
      <c r="P360" s="158">
        <f>128508483-64254241</f>
        <v>64254242</v>
      </c>
      <c r="Q360" s="158"/>
      <c r="R360" s="158"/>
      <c r="S360" s="158"/>
      <c r="T360" s="158"/>
      <c r="U360" s="94"/>
      <c r="V360" s="158"/>
      <c r="W360" s="158"/>
      <c r="X360" s="158"/>
      <c r="Y360" s="158"/>
      <c r="Z360" s="94"/>
      <c r="AA360" s="69"/>
      <c r="AB360" s="69"/>
      <c r="AC360" s="69"/>
      <c r="AD360" s="69">
        <v>64254242</v>
      </c>
      <c r="AE360" s="158"/>
      <c r="AF360" s="158">
        <f>P360-U360-Z360-AD360</f>
        <v>0</v>
      </c>
      <c r="AG360" s="158"/>
      <c r="AH360" s="94">
        <v>0</v>
      </c>
      <c r="AI360" s="94">
        <v>0</v>
      </c>
      <c r="AJ360" s="94"/>
      <c r="AK360" s="158">
        <f t="shared" si="96"/>
        <v>0</v>
      </c>
      <c r="AL360" s="158">
        <v>877</v>
      </c>
      <c r="AM360" s="158">
        <v>20</v>
      </c>
      <c r="AN360" s="158"/>
      <c r="AO360" s="158"/>
      <c r="AP360" s="11"/>
      <c r="AQ360" s="11"/>
      <c r="AR360" s="11"/>
      <c r="AS360" s="61"/>
      <c r="AT360" s="2">
        <v>0</v>
      </c>
      <c r="AU360" s="58" t="s">
        <v>687</v>
      </c>
      <c r="AV360" s="104" t="s">
        <v>2182</v>
      </c>
      <c r="AW360" s="158" t="s">
        <v>0</v>
      </c>
      <c r="AX360" s="11"/>
      <c r="AY360" s="11"/>
      <c r="AZ360" s="11"/>
      <c r="BA360" s="11"/>
      <c r="BB360" s="11"/>
      <c r="BC360" s="70"/>
      <c r="BD360" s="70"/>
      <c r="BE360" s="69">
        <v>1</v>
      </c>
      <c r="BF360" s="271" t="s">
        <v>1706</v>
      </c>
      <c r="BG360" s="271">
        <v>2019</v>
      </c>
      <c r="BH360" s="271"/>
      <c r="BI360" s="271" t="s">
        <v>2375</v>
      </c>
    </row>
    <row r="361" spans="1:61 16079:16286" s="204" customFormat="1" ht="15" customHeight="1">
      <c r="A361" s="248" t="s">
        <v>508</v>
      </c>
      <c r="B361" s="58" t="s">
        <v>161</v>
      </c>
      <c r="C361" s="148" t="s">
        <v>164</v>
      </c>
      <c r="D361" s="33" t="s">
        <v>149</v>
      </c>
      <c r="E361" s="33"/>
      <c r="F361" s="33"/>
      <c r="G361" s="33"/>
      <c r="H361" s="30"/>
      <c r="I361" s="58"/>
      <c r="J361" s="212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94"/>
      <c r="V361" s="158"/>
      <c r="W361" s="158"/>
      <c r="X361" s="158"/>
      <c r="Y361" s="158"/>
      <c r="Z361" s="94"/>
      <c r="AA361" s="158"/>
      <c r="AB361" s="92"/>
      <c r="AC361" s="92"/>
      <c r="AD361" s="92"/>
      <c r="AE361" s="158"/>
      <c r="AF361" s="158"/>
      <c r="AG361" s="158"/>
      <c r="AH361" s="158"/>
      <c r="AI361" s="158"/>
      <c r="AJ361" s="158"/>
      <c r="AK361" s="158"/>
      <c r="AL361" s="158"/>
      <c r="AM361" s="158">
        <v>20</v>
      </c>
      <c r="AN361" s="158"/>
      <c r="AO361" s="158"/>
      <c r="AP361" s="158"/>
      <c r="AQ361" s="158"/>
      <c r="AR361" s="158"/>
      <c r="AS361" s="158"/>
      <c r="AT361" s="2"/>
      <c r="AU361" s="58"/>
      <c r="AV361" s="106"/>
      <c r="AW361" s="158">
        <v>30</v>
      </c>
      <c r="AX361" s="158"/>
      <c r="AY361" s="158"/>
      <c r="AZ361" s="158"/>
      <c r="BA361" s="158"/>
      <c r="BB361" s="158"/>
      <c r="BC361" s="69"/>
      <c r="BD361" s="69"/>
      <c r="BE361" s="69"/>
      <c r="BF361" s="271">
        <v>2016</v>
      </c>
      <c r="BG361" s="271"/>
      <c r="BH361" s="271"/>
      <c r="BI361" s="271" t="s">
        <v>2376</v>
      </c>
    </row>
    <row r="362" spans="1:61 16079:16286" s="204" customFormat="1" ht="15" customHeight="1">
      <c r="A362" s="160" t="s">
        <v>508</v>
      </c>
      <c r="B362" s="58" t="s">
        <v>161</v>
      </c>
      <c r="C362" s="148" t="s">
        <v>667</v>
      </c>
      <c r="D362" s="33" t="s">
        <v>149</v>
      </c>
      <c r="E362" s="33"/>
      <c r="F362" s="33"/>
      <c r="G362" s="33"/>
      <c r="H362" s="30"/>
      <c r="I362" s="58"/>
      <c r="J362" s="212"/>
      <c r="K362" s="1"/>
      <c r="L362" s="1"/>
      <c r="M362" s="1"/>
      <c r="N362" s="1"/>
      <c r="O362" s="1"/>
      <c r="P362" s="1"/>
      <c r="Q362" s="1"/>
      <c r="R362" s="158"/>
      <c r="S362" s="158"/>
      <c r="T362" s="1"/>
      <c r="U362" s="94"/>
      <c r="V362" s="1"/>
      <c r="W362" s="1"/>
      <c r="X362" s="1"/>
      <c r="Y362" s="1"/>
      <c r="Z362" s="94"/>
      <c r="AA362" s="1"/>
      <c r="AB362" s="1"/>
      <c r="AC362" s="1"/>
      <c r="AD362" s="1"/>
      <c r="AE362" s="158"/>
      <c r="AF362" s="158"/>
      <c r="AG362" s="158"/>
      <c r="AH362" s="158"/>
      <c r="AI362" s="158"/>
      <c r="AJ362" s="158"/>
      <c r="AK362" s="158"/>
      <c r="AL362" s="158"/>
      <c r="AM362" s="158">
        <v>20</v>
      </c>
      <c r="AN362" s="158"/>
      <c r="AO362" s="158"/>
      <c r="AP362" s="1"/>
      <c r="AQ362" s="1"/>
      <c r="AR362" s="1"/>
      <c r="AS362" s="1"/>
      <c r="AT362" s="2"/>
      <c r="AU362" s="58"/>
      <c r="AV362" s="106"/>
      <c r="AW362" s="158">
        <v>21</v>
      </c>
      <c r="AX362" s="1"/>
      <c r="AY362" s="1"/>
      <c r="AZ362" s="1"/>
      <c r="BA362" s="1"/>
      <c r="BB362" s="1"/>
      <c r="BC362" s="287"/>
      <c r="BD362" s="287"/>
      <c r="BE362" s="287"/>
      <c r="BF362" s="271">
        <v>2016</v>
      </c>
      <c r="BG362" s="271"/>
      <c r="BH362" s="271"/>
      <c r="BI362" s="271" t="s">
        <v>2376</v>
      </c>
    </row>
    <row r="363" spans="1:61 16079:16286" s="204" customFormat="1" ht="25.5" customHeight="1">
      <c r="A363" s="160" t="s">
        <v>508</v>
      </c>
      <c r="B363" s="58" t="s">
        <v>161</v>
      </c>
      <c r="C363" s="55" t="s">
        <v>667</v>
      </c>
      <c r="D363" s="33" t="s">
        <v>149</v>
      </c>
      <c r="E363" s="33"/>
      <c r="F363" s="33"/>
      <c r="G363" s="33"/>
      <c r="H363" s="30" t="s">
        <v>658</v>
      </c>
      <c r="I363" s="30">
        <v>2640</v>
      </c>
      <c r="J363" s="212">
        <v>42333</v>
      </c>
      <c r="K363" s="81"/>
      <c r="L363" s="81"/>
      <c r="M363" s="81">
        <v>2</v>
      </c>
      <c r="N363" s="81"/>
      <c r="O363" s="81">
        <v>2</v>
      </c>
      <c r="P363" s="81"/>
      <c r="Q363" s="81"/>
      <c r="R363" s="158"/>
      <c r="S363" s="158"/>
      <c r="T363" s="81"/>
      <c r="U363" s="94"/>
      <c r="V363" s="81"/>
      <c r="W363" s="81"/>
      <c r="X363" s="81"/>
      <c r="Y363" s="81"/>
      <c r="Z363" s="94"/>
      <c r="AA363" s="81"/>
      <c r="AB363" s="81"/>
      <c r="AC363" s="81"/>
      <c r="AD363" s="81"/>
      <c r="AE363" s="158"/>
      <c r="AF363" s="158">
        <f>P363-U363-Z363</f>
        <v>0</v>
      </c>
      <c r="AG363" s="158"/>
      <c r="AH363" s="94">
        <v>0</v>
      </c>
      <c r="AI363" s="94">
        <v>0</v>
      </c>
      <c r="AJ363" s="94"/>
      <c r="AK363" s="158">
        <f t="shared" ref="AK363:AK364" si="97">P363-R363-U363-Z363</f>
        <v>0</v>
      </c>
      <c r="AL363" s="158"/>
      <c r="AM363" s="158">
        <v>20</v>
      </c>
      <c r="AN363" s="158"/>
      <c r="AO363" s="158"/>
      <c r="AP363" s="54"/>
      <c r="AQ363" s="54"/>
      <c r="AR363" s="181">
        <v>2</v>
      </c>
      <c r="AS363" s="54"/>
      <c r="AT363" s="2">
        <v>0.74399999999999999</v>
      </c>
      <c r="AU363" s="58" t="s">
        <v>986</v>
      </c>
      <c r="AV363" s="104" t="s">
        <v>1103</v>
      </c>
      <c r="AW363" s="1"/>
      <c r="AX363" s="54"/>
      <c r="AY363" s="54"/>
      <c r="AZ363" s="54"/>
      <c r="BA363" s="54"/>
      <c r="BB363" s="54"/>
      <c r="BC363" s="290"/>
      <c r="BD363" s="290"/>
      <c r="BE363" s="290"/>
      <c r="BF363" s="271"/>
      <c r="BG363" s="271">
        <v>2019</v>
      </c>
      <c r="BH363" s="271">
        <v>2020</v>
      </c>
      <c r="BI363" s="271" t="s">
        <v>2375</v>
      </c>
    </row>
    <row r="364" spans="1:61 16079:16286" s="204" customFormat="1" ht="21" customHeight="1">
      <c r="A364" s="160" t="s">
        <v>508</v>
      </c>
      <c r="B364" s="58" t="s">
        <v>161</v>
      </c>
      <c r="C364" s="55" t="s">
        <v>668</v>
      </c>
      <c r="D364" s="33" t="s">
        <v>149</v>
      </c>
      <c r="E364" s="33"/>
      <c r="F364" s="33"/>
      <c r="G364" s="33"/>
      <c r="H364" s="30" t="s">
        <v>636</v>
      </c>
      <c r="I364" s="30">
        <v>2378</v>
      </c>
      <c r="J364" s="212">
        <v>42678</v>
      </c>
      <c r="K364" s="158"/>
      <c r="L364" s="158"/>
      <c r="M364" s="158">
        <v>47</v>
      </c>
      <c r="N364" s="158"/>
      <c r="O364" s="158">
        <v>47</v>
      </c>
      <c r="P364" s="158"/>
      <c r="Q364" s="158"/>
      <c r="R364" s="158"/>
      <c r="S364" s="158"/>
      <c r="T364" s="158"/>
      <c r="U364" s="94"/>
      <c r="V364" s="158"/>
      <c r="W364" s="158"/>
      <c r="X364" s="158"/>
      <c r="Y364" s="158"/>
      <c r="Z364" s="94"/>
      <c r="AA364" s="158"/>
      <c r="AB364" s="158"/>
      <c r="AC364" s="158"/>
      <c r="AD364" s="158"/>
      <c r="AE364" s="158"/>
      <c r="AF364" s="158">
        <f>P364-U364-Z364</f>
        <v>0</v>
      </c>
      <c r="AG364" s="158"/>
      <c r="AH364" s="94">
        <v>0</v>
      </c>
      <c r="AI364" s="94">
        <v>0</v>
      </c>
      <c r="AJ364" s="94"/>
      <c r="AK364" s="158">
        <f t="shared" si="97"/>
        <v>0</v>
      </c>
      <c r="AL364" s="158"/>
      <c r="AM364" s="158">
        <v>20</v>
      </c>
      <c r="AN364" s="158"/>
      <c r="AO364" s="158"/>
      <c r="AP364" s="11"/>
      <c r="AQ364" s="158">
        <v>47</v>
      </c>
      <c r="AR364" s="158"/>
      <c r="AS364" s="11"/>
      <c r="AT364" s="2">
        <v>0.58209999999999995</v>
      </c>
      <c r="AU364" s="58" t="s">
        <v>942</v>
      </c>
      <c r="AV364" s="308" t="s">
        <v>1228</v>
      </c>
      <c r="AW364" s="158"/>
      <c r="AX364" s="11"/>
      <c r="AY364" s="11"/>
      <c r="AZ364" s="11"/>
      <c r="BA364" s="11"/>
      <c r="BB364" s="11"/>
      <c r="BC364" s="70"/>
      <c r="BD364" s="70"/>
      <c r="BE364" s="70"/>
      <c r="BF364" s="271"/>
      <c r="BG364" s="271">
        <v>2019</v>
      </c>
      <c r="BH364" s="271">
        <v>2020</v>
      </c>
      <c r="BI364" s="271" t="s">
        <v>2375</v>
      </c>
    </row>
    <row r="365" spans="1:61 16079:16286" s="204" customFormat="1" ht="15" customHeight="1">
      <c r="A365" s="160" t="s">
        <v>508</v>
      </c>
      <c r="B365" s="58" t="s">
        <v>159</v>
      </c>
      <c r="C365" s="148" t="s">
        <v>158</v>
      </c>
      <c r="D365" s="33" t="s">
        <v>165</v>
      </c>
      <c r="E365" s="33"/>
      <c r="F365" s="33"/>
      <c r="G365" s="33"/>
      <c r="H365" s="30" t="s">
        <v>650</v>
      </c>
      <c r="I365" s="30"/>
      <c r="J365" s="212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94"/>
      <c r="V365" s="158"/>
      <c r="W365" s="158"/>
      <c r="X365" s="158"/>
      <c r="Y365" s="158"/>
      <c r="Z365" s="94"/>
      <c r="AA365" s="158"/>
      <c r="AB365" s="158"/>
      <c r="AC365" s="158"/>
      <c r="AD365" s="158"/>
      <c r="AE365" s="158"/>
      <c r="AF365" s="158"/>
      <c r="AG365" s="158"/>
      <c r="AH365" s="158"/>
      <c r="AI365" s="158"/>
      <c r="AJ365" s="158"/>
      <c r="AK365" s="158"/>
      <c r="AL365" s="158"/>
      <c r="AM365" s="158">
        <v>20</v>
      </c>
      <c r="AN365" s="158"/>
      <c r="AO365" s="158"/>
      <c r="AP365" s="158"/>
      <c r="AQ365" s="158"/>
      <c r="AR365" s="158"/>
      <c r="AS365" s="158"/>
      <c r="AT365" s="2">
        <v>1</v>
      </c>
      <c r="AU365" s="58" t="s">
        <v>646</v>
      </c>
      <c r="AV365" s="106"/>
      <c r="AW365" s="158"/>
      <c r="AX365" s="158"/>
      <c r="AY365" s="72">
        <v>48</v>
      </c>
      <c r="AZ365" s="158"/>
      <c r="BA365" s="158"/>
      <c r="BB365" s="158">
        <v>48</v>
      </c>
      <c r="BC365" s="69"/>
      <c r="BD365" s="69"/>
      <c r="BE365" s="69"/>
      <c r="BF365" s="271">
        <v>2018</v>
      </c>
      <c r="BG365" s="271"/>
      <c r="BH365" s="271"/>
      <c r="BI365" s="271" t="s">
        <v>2376</v>
      </c>
    </row>
    <row r="366" spans="1:61 16079:16286" s="204" customFormat="1" ht="15" customHeight="1">
      <c r="A366" s="160" t="s">
        <v>508</v>
      </c>
      <c r="B366" s="58" t="s">
        <v>159</v>
      </c>
      <c r="C366" s="148" t="s">
        <v>158</v>
      </c>
      <c r="D366" s="33" t="s">
        <v>165</v>
      </c>
      <c r="E366" s="33"/>
      <c r="F366" s="33"/>
      <c r="G366" s="33"/>
      <c r="H366" s="30" t="s">
        <v>650</v>
      </c>
      <c r="I366" s="30"/>
      <c r="J366" s="212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94">
        <v>57641807</v>
      </c>
      <c r="V366" s="158">
        <v>10</v>
      </c>
      <c r="W366" s="311">
        <v>43313</v>
      </c>
      <c r="X366" s="158"/>
      <c r="Y366" s="158"/>
      <c r="Z366" s="94"/>
      <c r="AA366" s="158"/>
      <c r="AB366" s="158"/>
      <c r="AC366" s="158"/>
      <c r="AD366" s="158"/>
      <c r="AE366" s="158"/>
      <c r="AF366" s="158"/>
      <c r="AG366" s="158"/>
      <c r="AH366" s="158"/>
      <c r="AI366" s="158"/>
      <c r="AJ366" s="158"/>
      <c r="AK366" s="158"/>
      <c r="AL366" s="158"/>
      <c r="AM366" s="158">
        <v>10</v>
      </c>
      <c r="AN366" s="158"/>
      <c r="AO366" s="158"/>
      <c r="AP366" s="158"/>
      <c r="AQ366" s="11"/>
      <c r="AR366" s="11"/>
      <c r="AS366" s="11"/>
      <c r="AT366" s="2">
        <v>1</v>
      </c>
      <c r="AU366" s="58" t="s">
        <v>646</v>
      </c>
      <c r="AV366" s="106"/>
      <c r="AW366" s="158"/>
      <c r="AX366" s="11"/>
      <c r="AY366" s="72">
        <v>1</v>
      </c>
      <c r="AZ366" s="158"/>
      <c r="BA366" s="158"/>
      <c r="BB366" s="158">
        <v>1</v>
      </c>
      <c r="BC366" s="69"/>
      <c r="BD366" s="69"/>
      <c r="BE366" s="69"/>
      <c r="BF366" s="271">
        <v>2018</v>
      </c>
      <c r="BG366" s="271"/>
      <c r="BH366" s="271"/>
      <c r="BI366" s="271" t="s">
        <v>2376</v>
      </c>
    </row>
    <row r="367" spans="1:61 16079:16286" s="204" customFormat="1" ht="16.5" customHeight="1">
      <c r="A367" s="230" t="s">
        <v>508</v>
      </c>
      <c r="B367" s="58" t="s">
        <v>641</v>
      </c>
      <c r="C367" s="148" t="s">
        <v>840</v>
      </c>
      <c r="D367" s="33" t="s">
        <v>7</v>
      </c>
      <c r="E367" s="33"/>
      <c r="F367" s="33"/>
      <c r="G367" s="33"/>
      <c r="H367" s="30" t="s">
        <v>630</v>
      </c>
      <c r="I367" s="30"/>
      <c r="J367" s="212"/>
      <c r="K367" s="158"/>
      <c r="L367" s="158"/>
      <c r="M367" s="158"/>
      <c r="N367" s="158"/>
      <c r="O367" s="158"/>
      <c r="P367" s="158"/>
      <c r="Q367" s="158">
        <f t="shared" ref="Q367" si="98">P367/AY367</f>
        <v>0</v>
      </c>
      <c r="R367" s="158"/>
      <c r="S367" s="158"/>
      <c r="T367" s="158"/>
      <c r="U367" s="94"/>
      <c r="V367" s="158"/>
      <c r="W367" s="158"/>
      <c r="X367" s="158"/>
      <c r="Y367" s="158"/>
      <c r="Z367" s="94"/>
      <c r="AA367" s="158"/>
      <c r="AB367" s="5"/>
      <c r="AC367" s="5"/>
      <c r="AD367" s="5"/>
      <c r="AE367" s="158"/>
      <c r="AF367" s="158"/>
      <c r="AG367" s="158"/>
      <c r="AH367" s="158"/>
      <c r="AI367" s="158"/>
      <c r="AJ367" s="158"/>
      <c r="AK367" s="158"/>
      <c r="AL367" s="158"/>
      <c r="AM367" s="158">
        <v>20</v>
      </c>
      <c r="AN367" s="158"/>
      <c r="AO367" s="158"/>
      <c r="AP367" s="158"/>
      <c r="AQ367" s="158"/>
      <c r="AR367" s="158"/>
      <c r="AS367" s="158"/>
      <c r="AT367" s="2">
        <v>1</v>
      </c>
      <c r="AU367" s="58" t="s">
        <v>646</v>
      </c>
      <c r="AV367" s="106"/>
      <c r="AW367" s="158"/>
      <c r="AX367" s="158"/>
      <c r="AY367" s="72">
        <v>65</v>
      </c>
      <c r="AZ367" s="158"/>
      <c r="BA367" s="158"/>
      <c r="BB367" s="158">
        <v>65</v>
      </c>
      <c r="BC367" s="69"/>
      <c r="BD367" s="69"/>
      <c r="BE367" s="69"/>
      <c r="BF367" s="271">
        <v>2018</v>
      </c>
      <c r="BG367" s="271"/>
      <c r="BH367" s="271"/>
      <c r="BI367" s="271" t="s">
        <v>2376</v>
      </c>
    </row>
    <row r="368" spans="1:61 16079:16286" s="204" customFormat="1" ht="18" customHeight="1">
      <c r="A368" s="160" t="s">
        <v>508</v>
      </c>
      <c r="B368" s="58" t="s">
        <v>641</v>
      </c>
      <c r="C368" s="148" t="s">
        <v>840</v>
      </c>
      <c r="D368" s="33" t="s">
        <v>7</v>
      </c>
      <c r="E368" s="33"/>
      <c r="F368" s="33"/>
      <c r="G368" s="33"/>
      <c r="H368" s="30" t="s">
        <v>630</v>
      </c>
      <c r="I368" s="228" t="s">
        <v>1669</v>
      </c>
      <c r="J368" s="215" t="s">
        <v>1497</v>
      </c>
      <c r="K368" s="158"/>
      <c r="L368" s="158"/>
      <c r="M368" s="158">
        <v>1</v>
      </c>
      <c r="N368" s="158"/>
      <c r="O368" s="158"/>
      <c r="P368" s="158">
        <v>61205444</v>
      </c>
      <c r="Q368" s="158">
        <f>P368/BE368</f>
        <v>61205444</v>
      </c>
      <c r="R368" s="158"/>
      <c r="S368" s="158"/>
      <c r="T368" s="158"/>
      <c r="U368" s="94"/>
      <c r="V368" s="158"/>
      <c r="W368" s="158"/>
      <c r="X368" s="158"/>
      <c r="Y368" s="158"/>
      <c r="Z368" s="94"/>
      <c r="AA368" s="69"/>
      <c r="AB368" s="69"/>
      <c r="AC368" s="69"/>
      <c r="AD368" s="69">
        <v>61205444</v>
      </c>
      <c r="AE368" s="158"/>
      <c r="AF368" s="158">
        <f>P368-U368-Z368-AD368</f>
        <v>0</v>
      </c>
      <c r="AG368" s="158"/>
      <c r="AH368" s="94">
        <v>0</v>
      </c>
      <c r="AI368" s="94">
        <v>0</v>
      </c>
      <c r="AJ368" s="94"/>
      <c r="AK368" s="158">
        <f t="shared" ref="AK368:AK370" si="99">AF368+AH368</f>
        <v>0</v>
      </c>
      <c r="AL368" s="158">
        <v>877</v>
      </c>
      <c r="AM368" s="158">
        <v>20</v>
      </c>
      <c r="AN368" s="158"/>
      <c r="AO368" s="158"/>
      <c r="AP368" s="158"/>
      <c r="AQ368" s="158"/>
      <c r="AR368" s="158"/>
      <c r="AS368" s="158"/>
      <c r="AT368" s="2">
        <v>0</v>
      </c>
      <c r="AU368" s="58" t="s">
        <v>687</v>
      </c>
      <c r="AV368" s="104" t="s">
        <v>2183</v>
      </c>
      <c r="AW368" s="158"/>
      <c r="AX368" s="158"/>
      <c r="AY368" s="158"/>
      <c r="AZ368" s="158"/>
      <c r="BA368" s="158"/>
      <c r="BB368" s="158"/>
      <c r="BC368" s="69"/>
      <c r="BD368" s="69"/>
      <c r="BE368" s="69">
        <v>1</v>
      </c>
      <c r="BF368" s="271" t="s">
        <v>1706</v>
      </c>
      <c r="BG368" s="271">
        <v>2019</v>
      </c>
      <c r="BH368" s="271"/>
      <c r="BI368" s="271" t="s">
        <v>2375</v>
      </c>
    </row>
    <row r="369" spans="1:61" s="204" customFormat="1" ht="18" customHeight="1">
      <c r="A369" s="248" t="s">
        <v>508</v>
      </c>
      <c r="B369" s="58" t="s">
        <v>939</v>
      </c>
      <c r="C369" s="148" t="s">
        <v>938</v>
      </c>
      <c r="D369" s="33" t="s">
        <v>170</v>
      </c>
      <c r="E369" s="33"/>
      <c r="F369" s="33"/>
      <c r="G369" s="33"/>
      <c r="H369" s="30">
        <v>2010</v>
      </c>
      <c r="I369" s="30">
        <v>1280</v>
      </c>
      <c r="J369" s="212">
        <v>40536</v>
      </c>
      <c r="K369" s="158"/>
      <c r="L369" s="158"/>
      <c r="M369" s="158">
        <v>13</v>
      </c>
      <c r="N369" s="158"/>
      <c r="O369" s="158">
        <v>13</v>
      </c>
      <c r="P369" s="158"/>
      <c r="Q369" s="158"/>
      <c r="R369" s="158"/>
      <c r="S369" s="158"/>
      <c r="T369" s="158"/>
      <c r="U369" s="94"/>
      <c r="V369" s="158"/>
      <c r="W369" s="158"/>
      <c r="X369" s="158"/>
      <c r="Y369" s="158"/>
      <c r="Z369" s="94"/>
      <c r="AA369" s="158"/>
      <c r="AB369" s="92"/>
      <c r="AC369" s="92"/>
      <c r="AD369" s="92"/>
      <c r="AE369" s="158"/>
      <c r="AF369" s="158">
        <f t="shared" ref="AF369:AF373" si="100">P369-U369-Z369</f>
        <v>0</v>
      </c>
      <c r="AG369" s="158"/>
      <c r="AH369" s="94">
        <v>0</v>
      </c>
      <c r="AI369" s="94">
        <v>0</v>
      </c>
      <c r="AJ369" s="94"/>
      <c r="AK369" s="158">
        <f t="shared" ref="AK369" si="101">P369-R369-U369-Z369</f>
        <v>0</v>
      </c>
      <c r="AL369" s="158"/>
      <c r="AM369" s="158">
        <v>10</v>
      </c>
      <c r="AN369" s="158"/>
      <c r="AO369" s="158"/>
      <c r="AP369" s="158"/>
      <c r="AQ369" s="158"/>
      <c r="AR369" s="158">
        <v>13</v>
      </c>
      <c r="AS369" s="158"/>
      <c r="AT369" s="2">
        <v>0</v>
      </c>
      <c r="AU369" s="58" t="s">
        <v>986</v>
      </c>
      <c r="AV369" s="104" t="s">
        <v>1301</v>
      </c>
      <c r="AW369" s="158"/>
      <c r="AX369" s="158"/>
      <c r="AY369" s="158"/>
      <c r="AZ369" s="158"/>
      <c r="BA369" s="158"/>
      <c r="BB369" s="158"/>
      <c r="BC369" s="69"/>
      <c r="BD369" s="69"/>
      <c r="BE369" s="69"/>
      <c r="BF369" s="271"/>
      <c r="BG369" s="271">
        <v>2019</v>
      </c>
      <c r="BH369" s="271">
        <v>2020</v>
      </c>
      <c r="BI369" s="271" t="s">
        <v>2375</v>
      </c>
    </row>
    <row r="370" spans="1:61" s="204" customFormat="1" ht="18" customHeight="1">
      <c r="A370" s="230" t="s">
        <v>508</v>
      </c>
      <c r="B370" s="58" t="s">
        <v>159</v>
      </c>
      <c r="C370" s="148" t="s">
        <v>1210</v>
      </c>
      <c r="D370" s="33" t="s">
        <v>46</v>
      </c>
      <c r="E370" s="33"/>
      <c r="F370" s="33"/>
      <c r="G370" s="33"/>
      <c r="H370" s="30" t="s">
        <v>1116</v>
      </c>
      <c r="I370" s="30">
        <v>322</v>
      </c>
      <c r="J370" s="212">
        <v>43405</v>
      </c>
      <c r="K370" s="158">
        <v>71</v>
      </c>
      <c r="L370" s="158">
        <v>71</v>
      </c>
      <c r="M370" s="158"/>
      <c r="N370" s="158"/>
      <c r="O370" s="158"/>
      <c r="P370" s="158">
        <f>4871227345-197482189</f>
        <v>4673745156</v>
      </c>
      <c r="Q370" s="158"/>
      <c r="R370" s="158"/>
      <c r="S370" s="158"/>
      <c r="T370" s="158"/>
      <c r="U370" s="94">
        <v>1942308180</v>
      </c>
      <c r="V370" s="158">
        <v>10</v>
      </c>
      <c r="W370" s="311">
        <v>43405</v>
      </c>
      <c r="X370" s="69"/>
      <c r="Y370" s="69"/>
      <c r="Z370" s="69">
        <v>2731436976</v>
      </c>
      <c r="AA370" s="214">
        <v>10</v>
      </c>
      <c r="AB370" s="311">
        <v>43556</v>
      </c>
      <c r="AC370" s="329"/>
      <c r="AD370" s="279"/>
      <c r="AE370" s="158"/>
      <c r="AF370" s="158">
        <f t="shared" si="100"/>
        <v>0</v>
      </c>
      <c r="AG370" s="158"/>
      <c r="AH370" s="94">
        <v>0</v>
      </c>
      <c r="AI370" s="94">
        <v>0</v>
      </c>
      <c r="AJ370" s="94"/>
      <c r="AK370" s="158">
        <f t="shared" si="99"/>
        <v>0</v>
      </c>
      <c r="AL370" s="158">
        <v>877</v>
      </c>
      <c r="AM370" s="158">
        <v>10</v>
      </c>
      <c r="AN370" s="158"/>
      <c r="AO370" s="158"/>
      <c r="AP370" s="158"/>
      <c r="AQ370" s="158"/>
      <c r="AR370" s="158"/>
      <c r="AS370" s="158"/>
      <c r="AT370" s="2">
        <v>1</v>
      </c>
      <c r="AU370" s="58" t="s">
        <v>646</v>
      </c>
      <c r="AV370" s="7"/>
      <c r="AW370" s="158"/>
      <c r="AX370" s="158"/>
      <c r="AY370" s="158"/>
      <c r="AZ370" s="158">
        <v>71</v>
      </c>
      <c r="BA370" s="158"/>
      <c r="BB370" s="158"/>
      <c r="BC370" s="69"/>
      <c r="BD370" s="69">
        <v>71</v>
      </c>
      <c r="BE370" s="69"/>
      <c r="BF370" s="271">
        <v>2019</v>
      </c>
      <c r="BG370" s="271">
        <v>2019</v>
      </c>
      <c r="BH370" s="271"/>
      <c r="BI370" s="271" t="s">
        <v>2375</v>
      </c>
    </row>
    <row r="371" spans="1:61" s="204" customFormat="1" ht="18" customHeight="1">
      <c r="A371" s="160" t="s">
        <v>508</v>
      </c>
      <c r="B371" s="58" t="s">
        <v>159</v>
      </c>
      <c r="C371" s="148" t="s">
        <v>1210</v>
      </c>
      <c r="D371" s="33" t="s">
        <v>46</v>
      </c>
      <c r="E371" s="33"/>
      <c r="F371" s="33"/>
      <c r="G371" s="33"/>
      <c r="H371" s="30" t="s">
        <v>1116</v>
      </c>
      <c r="I371" s="228">
        <v>322</v>
      </c>
      <c r="J371" s="212">
        <v>43405</v>
      </c>
      <c r="K371" s="158"/>
      <c r="L371" s="158"/>
      <c r="M371" s="158">
        <v>3</v>
      </c>
      <c r="N371" s="158"/>
      <c r="O371" s="158">
        <v>3</v>
      </c>
      <c r="P371" s="158">
        <v>197482189</v>
      </c>
      <c r="Q371" s="158"/>
      <c r="R371" s="158"/>
      <c r="S371" s="158"/>
      <c r="T371" s="158"/>
      <c r="U371" s="94"/>
      <c r="V371" s="158"/>
      <c r="W371" s="158"/>
      <c r="X371" s="69"/>
      <c r="Y371" s="69"/>
      <c r="Z371" s="69"/>
      <c r="AA371" s="221"/>
      <c r="AB371" s="221"/>
      <c r="AC371" s="221"/>
      <c r="AD371" s="221"/>
      <c r="AE371" s="158"/>
      <c r="AF371" s="158">
        <f t="shared" si="100"/>
        <v>197482189</v>
      </c>
      <c r="AG371" s="158"/>
      <c r="AH371" s="94">
        <v>0</v>
      </c>
      <c r="AI371" s="94">
        <v>197482189</v>
      </c>
      <c r="AJ371" s="94"/>
      <c r="AK371" s="602">
        <f t="shared" ref="AK371:AK379" si="102">P371-R371-U371-Z371</f>
        <v>197482189</v>
      </c>
      <c r="AL371" s="72">
        <v>877</v>
      </c>
      <c r="AM371" s="72">
        <v>10</v>
      </c>
      <c r="AN371" s="12">
        <v>3</v>
      </c>
      <c r="AO371" s="158"/>
      <c r="AP371" s="158"/>
      <c r="AQ371" s="158"/>
      <c r="AR371" s="158"/>
      <c r="AS371" s="158"/>
      <c r="AT371" s="2">
        <v>0</v>
      </c>
      <c r="AU371" s="58" t="s">
        <v>521</v>
      </c>
      <c r="AV371" s="104" t="s">
        <v>1297</v>
      </c>
      <c r="AW371" s="158"/>
      <c r="AX371" s="158"/>
      <c r="AY371" s="158"/>
      <c r="AZ371" s="158"/>
      <c r="BA371" s="158"/>
      <c r="BB371" s="158"/>
      <c r="BC371" s="69"/>
      <c r="BD371" s="69"/>
      <c r="BE371" s="69"/>
      <c r="BF371" s="271"/>
      <c r="BG371" s="271">
        <v>2019</v>
      </c>
      <c r="BH371" s="271">
        <v>2020</v>
      </c>
      <c r="BI371" s="271" t="s">
        <v>2375</v>
      </c>
    </row>
    <row r="372" spans="1:61" s="204" customFormat="1" ht="18" customHeight="1">
      <c r="A372" s="160" t="s">
        <v>508</v>
      </c>
      <c r="B372" s="58" t="s">
        <v>161</v>
      </c>
      <c r="C372" s="148" t="s">
        <v>1246</v>
      </c>
      <c r="D372" s="33" t="s">
        <v>1267</v>
      </c>
      <c r="E372" s="33"/>
      <c r="F372" s="33"/>
      <c r="G372" s="33"/>
      <c r="H372" s="30" t="s">
        <v>1232</v>
      </c>
      <c r="I372" s="78">
        <v>675</v>
      </c>
      <c r="J372" s="212">
        <v>43567</v>
      </c>
      <c r="K372" s="158"/>
      <c r="L372" s="158"/>
      <c r="M372" s="158">
        <v>27</v>
      </c>
      <c r="N372" s="158">
        <v>27</v>
      </c>
      <c r="O372" s="158"/>
      <c r="P372" s="158">
        <v>2140325214</v>
      </c>
      <c r="Q372" s="158"/>
      <c r="R372" s="158"/>
      <c r="S372" s="158"/>
      <c r="T372" s="158"/>
      <c r="U372" s="94">
        <v>1139375657</v>
      </c>
      <c r="V372" s="158">
        <v>10</v>
      </c>
      <c r="W372" s="311">
        <v>43586</v>
      </c>
      <c r="X372" s="577"/>
      <c r="Y372" s="577"/>
      <c r="Z372" s="69">
        <v>1000949557</v>
      </c>
      <c r="AA372" s="69">
        <v>20</v>
      </c>
      <c r="AB372" s="311">
        <v>43739</v>
      </c>
      <c r="AC372" s="577"/>
      <c r="AD372" s="69"/>
      <c r="AE372" s="158"/>
      <c r="AF372" s="158">
        <f t="shared" si="100"/>
        <v>0</v>
      </c>
      <c r="AG372" s="158"/>
      <c r="AH372" s="94">
        <v>0</v>
      </c>
      <c r="AI372" s="94">
        <v>0</v>
      </c>
      <c r="AJ372" s="94"/>
      <c r="AK372" s="158">
        <f t="shared" si="102"/>
        <v>0</v>
      </c>
      <c r="AL372" s="158">
        <v>877</v>
      </c>
      <c r="AM372" s="158">
        <v>20</v>
      </c>
      <c r="AN372" s="158"/>
      <c r="AO372" s="158">
        <v>27</v>
      </c>
      <c r="AP372" s="158"/>
      <c r="AQ372" s="158"/>
      <c r="AR372" s="158"/>
      <c r="AS372" s="158"/>
      <c r="AT372" s="2">
        <v>0.71</v>
      </c>
      <c r="AU372" s="58" t="s">
        <v>38</v>
      </c>
      <c r="AV372" s="7"/>
      <c r="AW372" s="158"/>
      <c r="AX372" s="158"/>
      <c r="AY372" s="158"/>
      <c r="AZ372" s="158"/>
      <c r="BA372" s="158"/>
      <c r="BB372" s="158"/>
      <c r="BC372" s="69"/>
      <c r="BD372" s="69"/>
      <c r="BE372" s="69"/>
      <c r="BF372" s="271"/>
      <c r="BG372" s="271">
        <v>2019</v>
      </c>
      <c r="BH372" s="430">
        <v>2020</v>
      </c>
      <c r="BI372" s="271" t="s">
        <v>2375</v>
      </c>
    </row>
    <row r="373" spans="1:61" s="204" customFormat="1" ht="18" customHeight="1">
      <c r="A373" s="160" t="s">
        <v>508</v>
      </c>
      <c r="B373" s="58" t="s">
        <v>161</v>
      </c>
      <c r="C373" s="148" t="s">
        <v>1246</v>
      </c>
      <c r="D373" s="33" t="s">
        <v>1078</v>
      </c>
      <c r="E373" s="33"/>
      <c r="F373" s="33"/>
      <c r="G373" s="33"/>
      <c r="H373" s="30" t="s">
        <v>1232</v>
      </c>
      <c r="I373" s="78">
        <v>528</v>
      </c>
      <c r="J373" s="212">
        <v>43545</v>
      </c>
      <c r="K373" s="158"/>
      <c r="L373" s="158"/>
      <c r="M373" s="158">
        <v>31</v>
      </c>
      <c r="N373" s="158">
        <v>31</v>
      </c>
      <c r="O373" s="158"/>
      <c r="P373" s="158">
        <v>2488557690</v>
      </c>
      <c r="Q373" s="158"/>
      <c r="R373" s="158"/>
      <c r="S373" s="158"/>
      <c r="T373" s="158"/>
      <c r="U373" s="94">
        <v>1341013239</v>
      </c>
      <c r="V373" s="158">
        <v>10</v>
      </c>
      <c r="W373" s="311">
        <v>43586</v>
      </c>
      <c r="X373" s="577"/>
      <c r="Y373" s="577"/>
      <c r="Z373" s="69">
        <v>1147544451</v>
      </c>
      <c r="AA373" s="69">
        <v>20</v>
      </c>
      <c r="AB373" s="311">
        <v>43709</v>
      </c>
      <c r="AC373" s="577"/>
      <c r="AD373" s="69"/>
      <c r="AE373" s="158"/>
      <c r="AF373" s="158">
        <f t="shared" si="100"/>
        <v>0</v>
      </c>
      <c r="AG373" s="158"/>
      <c r="AH373" s="158">
        <f>P373-U373-Z373</f>
        <v>0</v>
      </c>
      <c r="AI373" s="158">
        <v>0</v>
      </c>
      <c r="AJ373" s="158"/>
      <c r="AK373" s="158">
        <f t="shared" si="102"/>
        <v>0</v>
      </c>
      <c r="AL373" s="158">
        <v>877</v>
      </c>
      <c r="AM373" s="158">
        <v>20</v>
      </c>
      <c r="AN373" s="158"/>
      <c r="AO373" s="158"/>
      <c r="AP373" s="158">
        <v>31</v>
      </c>
      <c r="AQ373" s="158"/>
      <c r="AR373" s="158"/>
      <c r="AS373" s="158"/>
      <c r="AT373" s="2">
        <v>1</v>
      </c>
      <c r="AU373" s="58" t="s">
        <v>646</v>
      </c>
      <c r="AV373" s="104"/>
      <c r="AW373" s="158"/>
      <c r="AX373" s="158"/>
      <c r="AY373" s="158"/>
      <c r="AZ373" s="158"/>
      <c r="BA373" s="158">
        <v>31</v>
      </c>
      <c r="BB373" s="158"/>
      <c r="BC373" s="158"/>
      <c r="BD373" s="158">
        <v>31</v>
      </c>
      <c r="BE373" s="69"/>
      <c r="BF373" s="271">
        <v>2020</v>
      </c>
      <c r="BG373" s="271">
        <v>2019</v>
      </c>
      <c r="BH373" s="504">
        <v>2020</v>
      </c>
      <c r="BI373" s="271" t="s">
        <v>2375</v>
      </c>
    </row>
    <row r="374" spans="1:61" s="204" customFormat="1" ht="18" customHeight="1">
      <c r="A374" s="160" t="s">
        <v>508</v>
      </c>
      <c r="B374" s="58" t="s">
        <v>1574</v>
      </c>
      <c r="C374" s="148" t="s">
        <v>1573</v>
      </c>
      <c r="D374" s="33" t="s">
        <v>1021</v>
      </c>
      <c r="E374" s="33"/>
      <c r="F374" s="33"/>
      <c r="G374" s="33"/>
      <c r="H374" s="30" t="s">
        <v>1553</v>
      </c>
      <c r="I374" s="78">
        <v>1657</v>
      </c>
      <c r="J374" s="212">
        <v>43728</v>
      </c>
      <c r="K374" s="158"/>
      <c r="L374" s="158"/>
      <c r="M374" s="158">
        <f>58-1</f>
        <v>57</v>
      </c>
      <c r="N374" s="158">
        <v>57</v>
      </c>
      <c r="O374" s="158"/>
      <c r="P374" s="158">
        <f>4832849145-83324983</f>
        <v>4749524162</v>
      </c>
      <c r="Q374" s="158"/>
      <c r="R374" s="158"/>
      <c r="S374" s="158"/>
      <c r="T374" s="158"/>
      <c r="U374" s="94">
        <v>2611835172</v>
      </c>
      <c r="V374" s="158">
        <v>20</v>
      </c>
      <c r="W374" s="311">
        <v>43739</v>
      </c>
      <c r="X374" s="311"/>
      <c r="Y374" s="311"/>
      <c r="Z374" s="94">
        <v>2137688990</v>
      </c>
      <c r="AA374" s="69">
        <v>20</v>
      </c>
      <c r="AB374" s="311">
        <v>43889</v>
      </c>
      <c r="AC374" s="582"/>
      <c r="AD374" s="284"/>
      <c r="AE374" s="158"/>
      <c r="AF374" s="158">
        <f>P374-R374-U374</f>
        <v>2137688990</v>
      </c>
      <c r="AG374" s="158"/>
      <c r="AH374" s="158">
        <f>P374-U374-Z374</f>
        <v>0</v>
      </c>
      <c r="AI374" s="158">
        <v>2137688990</v>
      </c>
      <c r="AJ374" s="158"/>
      <c r="AK374" s="158">
        <f t="shared" si="102"/>
        <v>0</v>
      </c>
      <c r="AL374" s="158">
        <v>877</v>
      </c>
      <c r="AM374" s="158">
        <v>20</v>
      </c>
      <c r="AN374" s="158"/>
      <c r="AO374" s="158">
        <v>57</v>
      </c>
      <c r="AP374" s="158"/>
      <c r="AQ374" s="158"/>
      <c r="AR374" s="158"/>
      <c r="AS374" s="158"/>
      <c r="AT374" s="2">
        <v>0.81440000000000001</v>
      </c>
      <c r="AU374" s="58" t="s">
        <v>38</v>
      </c>
      <c r="AV374" s="104"/>
      <c r="AW374" s="158"/>
      <c r="AX374" s="158"/>
      <c r="AY374" s="158"/>
      <c r="AZ374" s="158"/>
      <c r="BA374" s="158"/>
      <c r="BB374" s="158"/>
      <c r="BC374" s="69"/>
      <c r="BD374" s="69"/>
      <c r="BE374" s="69"/>
      <c r="BF374" s="271"/>
      <c r="BG374" s="271">
        <v>2019</v>
      </c>
      <c r="BH374" s="504">
        <v>2020</v>
      </c>
      <c r="BI374" s="271" t="s">
        <v>2375</v>
      </c>
    </row>
    <row r="375" spans="1:61" s="204" customFormat="1" ht="18" customHeight="1">
      <c r="A375" s="160" t="s">
        <v>508</v>
      </c>
      <c r="B375" s="58" t="s">
        <v>1574</v>
      </c>
      <c r="C375" s="148" t="s">
        <v>1573</v>
      </c>
      <c r="D375" s="33" t="s">
        <v>1021</v>
      </c>
      <c r="E375" s="33"/>
      <c r="F375" s="33"/>
      <c r="G375" s="33"/>
      <c r="H375" s="30" t="s">
        <v>1553</v>
      </c>
      <c r="I375" s="78">
        <v>1657</v>
      </c>
      <c r="J375" s="212">
        <v>43728</v>
      </c>
      <c r="K375" s="158"/>
      <c r="L375" s="158"/>
      <c r="M375" s="158">
        <v>1</v>
      </c>
      <c r="N375" s="158">
        <v>1</v>
      </c>
      <c r="O375" s="158"/>
      <c r="P375" s="158">
        <v>83324983</v>
      </c>
      <c r="Q375" s="158"/>
      <c r="R375" s="158"/>
      <c r="S375" s="158"/>
      <c r="T375" s="158"/>
      <c r="U375" s="94"/>
      <c r="V375" s="158"/>
      <c r="W375" s="311"/>
      <c r="X375" s="311"/>
      <c r="Y375" s="311"/>
      <c r="Z375" s="94"/>
      <c r="AA375" s="69"/>
      <c r="AB375" s="284"/>
      <c r="AC375" s="284"/>
      <c r="AD375" s="284"/>
      <c r="AE375" s="158"/>
      <c r="AF375" s="158">
        <f>P375-U375-Z375-AH375</f>
        <v>83324983</v>
      </c>
      <c r="AG375" s="158"/>
      <c r="AH375" s="94">
        <v>0</v>
      </c>
      <c r="AI375" s="94">
        <v>83324983</v>
      </c>
      <c r="AJ375" s="94"/>
      <c r="AK375" s="666">
        <f t="shared" si="102"/>
        <v>83324983</v>
      </c>
      <c r="AL375" s="666">
        <v>877</v>
      </c>
      <c r="AM375" s="664">
        <v>20</v>
      </c>
      <c r="AN375" s="158">
        <v>1</v>
      </c>
      <c r="AO375" s="158"/>
      <c r="AP375" s="158"/>
      <c r="AQ375" s="158"/>
      <c r="AR375" s="158"/>
      <c r="AS375" s="158"/>
      <c r="AT375" s="2">
        <v>0</v>
      </c>
      <c r="AU375" s="58" t="s">
        <v>521</v>
      </c>
      <c r="AV375" s="104" t="s">
        <v>2210</v>
      </c>
      <c r="AW375" s="61"/>
      <c r="AX375" s="158"/>
      <c r="AY375" s="158"/>
      <c r="AZ375" s="158"/>
      <c r="BA375" s="158"/>
      <c r="BB375" s="158"/>
      <c r="BC375" s="69"/>
      <c r="BD375" s="69"/>
      <c r="BE375" s="69"/>
      <c r="BF375" s="271"/>
      <c r="BG375" s="271">
        <v>2019</v>
      </c>
      <c r="BH375" s="351">
        <v>2020</v>
      </c>
      <c r="BI375" s="271" t="s">
        <v>2375</v>
      </c>
    </row>
    <row r="376" spans="1:61" s="204" customFormat="1" ht="18" customHeight="1">
      <c r="A376" s="160" t="s">
        <v>508</v>
      </c>
      <c r="B376" s="58" t="s">
        <v>641</v>
      </c>
      <c r="C376" s="148" t="s">
        <v>2243</v>
      </c>
      <c r="D376" s="33" t="s">
        <v>1926</v>
      </c>
      <c r="E376" s="659"/>
      <c r="F376" s="78">
        <v>4</v>
      </c>
      <c r="G376" s="78"/>
      <c r="H376" s="533" t="s">
        <v>2236</v>
      </c>
      <c r="I376" s="78">
        <v>269</v>
      </c>
      <c r="J376" s="459">
        <v>43900</v>
      </c>
      <c r="K376" s="61"/>
      <c r="L376" s="61"/>
      <c r="M376" s="61"/>
      <c r="N376" s="61">
        <v>29</v>
      </c>
      <c r="O376" s="61"/>
      <c r="P376" s="61">
        <v>2114444533</v>
      </c>
      <c r="Q376" s="61"/>
      <c r="R376" s="158"/>
      <c r="S376" s="61"/>
      <c r="T376" s="61"/>
      <c r="U376" s="94">
        <v>1162666239</v>
      </c>
      <c r="V376" s="61">
        <v>20</v>
      </c>
      <c r="W376" s="460">
        <v>43921</v>
      </c>
      <c r="X376" s="460"/>
      <c r="Y376" s="460"/>
      <c r="Z376" s="225">
        <v>878866413</v>
      </c>
      <c r="AA376" s="521">
        <v>20</v>
      </c>
      <c r="AB376" s="311">
        <v>44012</v>
      </c>
      <c r="AC376" s="158"/>
      <c r="AD376" s="158"/>
      <c r="AE376" s="158"/>
      <c r="AF376" s="158">
        <f>P376</f>
        <v>2114444533</v>
      </c>
      <c r="AG376" s="61"/>
      <c r="AH376" s="225"/>
      <c r="AI376" s="225">
        <v>2114444533</v>
      </c>
      <c r="AJ376" s="225"/>
      <c r="AK376" s="75">
        <f t="shared" si="102"/>
        <v>72911881</v>
      </c>
      <c r="AL376" s="667">
        <v>877</v>
      </c>
      <c r="AM376" s="667">
        <v>20</v>
      </c>
      <c r="AN376" s="61"/>
      <c r="AO376" s="61">
        <v>29</v>
      </c>
      <c r="AP376" s="61"/>
      <c r="AQ376" s="61"/>
      <c r="AR376" s="61"/>
      <c r="AS376" s="61"/>
      <c r="AT376" s="2">
        <v>0.54610000000000003</v>
      </c>
      <c r="AU376" s="58" t="s">
        <v>38</v>
      </c>
      <c r="AV376" s="104"/>
      <c r="AW376" s="61"/>
      <c r="AX376" s="61"/>
      <c r="AY376" s="61"/>
      <c r="AZ376" s="61"/>
      <c r="BA376" s="61"/>
      <c r="BB376" s="61"/>
      <c r="BC376" s="61"/>
      <c r="BD376" s="158"/>
      <c r="BE376" s="158"/>
      <c r="BF376" s="271"/>
      <c r="BG376" s="464"/>
      <c r="BH376" s="713">
        <v>2020</v>
      </c>
      <c r="BI376" s="271" t="s">
        <v>2375</v>
      </c>
    </row>
    <row r="377" spans="1:61" s="204" customFormat="1" ht="18" customHeight="1">
      <c r="A377" s="160" t="s">
        <v>508</v>
      </c>
      <c r="B377" s="520" t="s">
        <v>2291</v>
      </c>
      <c r="C377" s="148" t="s">
        <v>2292</v>
      </c>
      <c r="D377" s="33" t="s">
        <v>157</v>
      </c>
      <c r="E377" s="659"/>
      <c r="F377" s="78">
        <v>4</v>
      </c>
      <c r="G377" s="78"/>
      <c r="H377" s="533" t="s">
        <v>2236</v>
      </c>
      <c r="I377" s="78">
        <v>406</v>
      </c>
      <c r="J377" s="459">
        <v>43956</v>
      </c>
      <c r="K377" s="61"/>
      <c r="L377" s="61"/>
      <c r="M377" s="61"/>
      <c r="N377" s="61">
        <v>41</v>
      </c>
      <c r="O377" s="61"/>
      <c r="P377" s="61">
        <f>(1640764546+1345200375)</f>
        <v>2985964921</v>
      </c>
      <c r="Q377" s="61"/>
      <c r="R377" s="158"/>
      <c r="S377" s="61"/>
      <c r="T377" s="61"/>
      <c r="U377" s="94">
        <v>1640764546</v>
      </c>
      <c r="V377" s="61">
        <v>20</v>
      </c>
      <c r="W377" s="460">
        <v>43979</v>
      </c>
      <c r="X377" s="460"/>
      <c r="Y377" s="460"/>
      <c r="Z377" s="225"/>
      <c r="AA377" s="521">
        <v>20</v>
      </c>
      <c r="AB377" s="158"/>
      <c r="AC377" s="158"/>
      <c r="AD377" s="158"/>
      <c r="AE377" s="158"/>
      <c r="AF377" s="158">
        <f t="shared" ref="AF377:AF379" si="103">P377</f>
        <v>2985964921</v>
      </c>
      <c r="AG377" s="61"/>
      <c r="AH377" s="225"/>
      <c r="AI377" s="225">
        <v>2985964921</v>
      </c>
      <c r="AJ377" s="225"/>
      <c r="AK377" s="666">
        <f t="shared" si="102"/>
        <v>1345200375</v>
      </c>
      <c r="AL377" s="667">
        <v>877</v>
      </c>
      <c r="AM377" s="667">
        <v>20</v>
      </c>
      <c r="AN377" s="61"/>
      <c r="AO377" s="61">
        <v>41</v>
      </c>
      <c r="AP377" s="61"/>
      <c r="AQ377" s="61"/>
      <c r="AR377" s="61"/>
      <c r="AS377" s="61"/>
      <c r="AT377" s="697">
        <v>0</v>
      </c>
      <c r="AU377" s="520" t="s">
        <v>38</v>
      </c>
      <c r="AV377" s="104"/>
      <c r="AW377" s="61"/>
      <c r="AX377" s="61"/>
      <c r="AY377" s="61"/>
      <c r="AZ377" s="61"/>
      <c r="BA377" s="61"/>
      <c r="BB377" s="61"/>
      <c r="BC377" s="61"/>
      <c r="BD377" s="158"/>
      <c r="BE377" s="158"/>
      <c r="BF377" s="271"/>
      <c r="BG377" s="464"/>
      <c r="BH377" s="713">
        <v>2020</v>
      </c>
      <c r="BI377" s="271" t="s">
        <v>2375</v>
      </c>
    </row>
    <row r="378" spans="1:61" s="204" customFormat="1" ht="18" customHeight="1">
      <c r="A378" s="160" t="s">
        <v>508</v>
      </c>
      <c r="B378" s="520" t="s">
        <v>2389</v>
      </c>
      <c r="C378" s="148" t="s">
        <v>2390</v>
      </c>
      <c r="D378" s="33" t="s">
        <v>3</v>
      </c>
      <c r="E378" s="659"/>
      <c r="F378" s="78">
        <v>4</v>
      </c>
      <c r="G378" s="78"/>
      <c r="H378" s="533" t="s">
        <v>2393</v>
      </c>
      <c r="I378" s="78">
        <v>387</v>
      </c>
      <c r="J378" s="459">
        <v>43993</v>
      </c>
      <c r="K378" s="61"/>
      <c r="L378" s="61"/>
      <c r="M378" s="61"/>
      <c r="N378" s="61">
        <v>34</v>
      </c>
      <c r="O378" s="61"/>
      <c r="P378" s="61">
        <f>1358583196+1120108751</f>
        <v>2478691947</v>
      </c>
      <c r="Q378" s="61"/>
      <c r="R378" s="158"/>
      <c r="S378" s="61"/>
      <c r="T378" s="61"/>
      <c r="U378" s="94">
        <v>1358583196</v>
      </c>
      <c r="V378" s="61">
        <v>10</v>
      </c>
      <c r="W378" s="460">
        <v>44012</v>
      </c>
      <c r="X378" s="460"/>
      <c r="Y378" s="460"/>
      <c r="Z378" s="225"/>
      <c r="AA378" s="94"/>
      <c r="AB378" s="61"/>
      <c r="AC378" s="61"/>
      <c r="AD378" s="61"/>
      <c r="AE378" s="61"/>
      <c r="AF378" s="61">
        <f t="shared" si="103"/>
        <v>2478691947</v>
      </c>
      <c r="AG378" s="61">
        <v>10</v>
      </c>
      <c r="AH378" s="225"/>
      <c r="AI378" s="225">
        <v>2478691947</v>
      </c>
      <c r="AJ378" s="225">
        <v>10</v>
      </c>
      <c r="AK378" s="667">
        <f t="shared" si="102"/>
        <v>1120108751</v>
      </c>
      <c r="AL378" s="158">
        <v>877</v>
      </c>
      <c r="AM378" s="158">
        <v>10</v>
      </c>
      <c r="AN378" s="61">
        <v>34</v>
      </c>
      <c r="AO378" s="61"/>
      <c r="AP378" s="61"/>
      <c r="AQ378" s="61"/>
      <c r="AR378" s="61"/>
      <c r="AS378" s="61"/>
      <c r="AT378" s="2">
        <v>0</v>
      </c>
      <c r="AU378" s="58" t="s">
        <v>521</v>
      </c>
      <c r="AV378" s="104"/>
      <c r="AW378" s="61"/>
      <c r="AX378" s="61"/>
      <c r="AY378" s="61"/>
      <c r="AZ378" s="61"/>
      <c r="BA378" s="61"/>
      <c r="BB378" s="61"/>
      <c r="BC378" s="61"/>
      <c r="BD378" s="158"/>
      <c r="BE378" s="158"/>
      <c r="BF378" s="271"/>
      <c r="BG378" s="464"/>
      <c r="BH378" s="713">
        <v>2020</v>
      </c>
      <c r="BI378" s="271" t="s">
        <v>2375</v>
      </c>
    </row>
    <row r="379" spans="1:61" s="204" customFormat="1" ht="18" customHeight="1">
      <c r="A379" s="160" t="s">
        <v>508</v>
      </c>
      <c r="B379" s="58" t="s">
        <v>1574</v>
      </c>
      <c r="C379" s="148" t="s">
        <v>2391</v>
      </c>
      <c r="D379" s="33" t="s">
        <v>2392</v>
      </c>
      <c r="E379" s="659"/>
      <c r="F379" s="78">
        <v>4</v>
      </c>
      <c r="G379" s="78"/>
      <c r="H379" s="533" t="s">
        <v>2393</v>
      </c>
      <c r="I379" s="78">
        <v>719</v>
      </c>
      <c r="J379" s="459">
        <v>44001</v>
      </c>
      <c r="K379" s="61"/>
      <c r="L379" s="61"/>
      <c r="M379" s="61"/>
      <c r="N379" s="61">
        <v>19</v>
      </c>
      <c r="O379" s="61"/>
      <c r="P379" s="61">
        <f>870364608+712810113</f>
        <v>1583174721</v>
      </c>
      <c r="Q379" s="61"/>
      <c r="R379" s="158"/>
      <c r="S379" s="61"/>
      <c r="T379" s="61"/>
      <c r="U379" s="94">
        <v>870364608</v>
      </c>
      <c r="V379" s="61">
        <v>10</v>
      </c>
      <c r="W379" s="460">
        <v>44012</v>
      </c>
      <c r="X379" s="460"/>
      <c r="Y379" s="460"/>
      <c r="Z379" s="225"/>
      <c r="AA379" s="94"/>
      <c r="AB379" s="61"/>
      <c r="AC379" s="61"/>
      <c r="AD379" s="61"/>
      <c r="AE379" s="61"/>
      <c r="AF379" s="61">
        <f t="shared" si="103"/>
        <v>1583174721</v>
      </c>
      <c r="AG379" s="61">
        <v>10</v>
      </c>
      <c r="AH379" s="225"/>
      <c r="AI379" s="225">
        <v>1583174721</v>
      </c>
      <c r="AJ379" s="225">
        <v>10</v>
      </c>
      <c r="AK379" s="667">
        <f t="shared" si="102"/>
        <v>712810113</v>
      </c>
      <c r="AL379" s="158">
        <v>877</v>
      </c>
      <c r="AM379" s="158">
        <v>10</v>
      </c>
      <c r="AN379" s="61">
        <v>19</v>
      </c>
      <c r="AO379" s="61"/>
      <c r="AP379" s="61"/>
      <c r="AQ379" s="61"/>
      <c r="AR379" s="61"/>
      <c r="AS379" s="61"/>
      <c r="AT379" s="2">
        <v>0</v>
      </c>
      <c r="AU379" s="58" t="s">
        <v>521</v>
      </c>
      <c r="AV379" s="104"/>
      <c r="AW379" s="61"/>
      <c r="AX379" s="61"/>
      <c r="AY379" s="61"/>
      <c r="AZ379" s="61"/>
      <c r="BA379" s="61"/>
      <c r="BB379" s="61"/>
      <c r="BC379" s="61"/>
      <c r="BD379" s="158"/>
      <c r="BE379" s="158"/>
      <c r="BF379" s="271"/>
      <c r="BG379" s="464"/>
      <c r="BH379" s="713">
        <v>2020</v>
      </c>
      <c r="BI379" s="271" t="s">
        <v>2375</v>
      </c>
    </row>
    <row r="380" spans="1:61" ht="15" customHeight="1">
      <c r="A380" s="371" t="s">
        <v>509</v>
      </c>
      <c r="B380" s="371"/>
      <c r="C380" s="371"/>
      <c r="D380" s="371"/>
      <c r="E380" s="371"/>
      <c r="F380" s="371"/>
      <c r="G380" s="371"/>
      <c r="H380" s="371"/>
      <c r="I380" s="371"/>
      <c r="J380" s="371"/>
      <c r="K380" s="371">
        <f>SUM(K381:K429)</f>
        <v>76</v>
      </c>
      <c r="L380" s="370">
        <f>SUM(L381:L429)</f>
        <v>259</v>
      </c>
      <c r="M380" s="370">
        <f>SUM(M381:M429)</f>
        <v>588</v>
      </c>
      <c r="N380" s="424">
        <f>SUM(N381:N434)</f>
        <v>743</v>
      </c>
      <c r="O380" s="424">
        <f>SUM(O381:O434)</f>
        <v>4</v>
      </c>
      <c r="P380" s="371"/>
      <c r="Q380" s="371"/>
      <c r="R380" s="371"/>
      <c r="S380" s="371"/>
      <c r="T380" s="371"/>
      <c r="U380" s="371"/>
      <c r="V380" s="371"/>
      <c r="W380" s="371"/>
      <c r="X380" s="371"/>
      <c r="Y380" s="371"/>
      <c r="Z380" s="371"/>
      <c r="AA380" s="371"/>
      <c r="AB380" s="371"/>
      <c r="AC380" s="371"/>
      <c r="AD380" s="371"/>
      <c r="AE380" s="371"/>
      <c r="AF380" s="371"/>
      <c r="AG380" s="371"/>
      <c r="AH380" s="371"/>
      <c r="AI380" s="371"/>
      <c r="AJ380" s="371"/>
      <c r="AK380" s="371"/>
      <c r="AL380" s="371"/>
      <c r="AM380" s="371"/>
      <c r="AN380" s="424">
        <f t="shared" ref="AN380:AS380" si="104">SUM(AN381:AN434)</f>
        <v>80</v>
      </c>
      <c r="AO380" s="424">
        <f t="shared" si="104"/>
        <v>575</v>
      </c>
      <c r="AP380" s="424">
        <f t="shared" si="104"/>
        <v>92</v>
      </c>
      <c r="AQ380" s="424">
        <f t="shared" si="104"/>
        <v>0</v>
      </c>
      <c r="AR380" s="424">
        <f t="shared" si="104"/>
        <v>0</v>
      </c>
      <c r="AS380" s="424">
        <f t="shared" si="104"/>
        <v>0</v>
      </c>
      <c r="AT380" s="371"/>
      <c r="AU380" s="371"/>
      <c r="AV380" s="385" t="s">
        <v>1047</v>
      </c>
      <c r="AW380" s="370">
        <f t="shared" ref="AW380:AZ380" si="105">SUM(AW381:AW429)</f>
        <v>132</v>
      </c>
      <c r="AX380" s="370">
        <f t="shared" si="105"/>
        <v>258</v>
      </c>
      <c r="AY380" s="370">
        <f t="shared" si="105"/>
        <v>226</v>
      </c>
      <c r="AZ380" s="370">
        <f t="shared" si="105"/>
        <v>205</v>
      </c>
      <c r="BA380" s="424">
        <f t="shared" ref="BA380:BE380" si="106">SUM(BA381:BA434)</f>
        <v>92</v>
      </c>
      <c r="BB380" s="424">
        <f t="shared" si="106"/>
        <v>226</v>
      </c>
      <c r="BC380" s="424">
        <f t="shared" si="106"/>
        <v>0</v>
      </c>
      <c r="BD380" s="424">
        <f t="shared" si="106"/>
        <v>297</v>
      </c>
      <c r="BE380" s="424">
        <f t="shared" si="106"/>
        <v>13</v>
      </c>
      <c r="BF380" s="371"/>
      <c r="BG380" s="371">
        <v>2019</v>
      </c>
      <c r="BH380" s="371">
        <v>2020</v>
      </c>
      <c r="BI380" s="434" t="s">
        <v>2419</v>
      </c>
    </row>
    <row r="381" spans="1:61" s="204" customFormat="1" ht="18" customHeight="1">
      <c r="A381" s="160" t="s">
        <v>509</v>
      </c>
      <c r="B381" s="58" t="s">
        <v>515</v>
      </c>
      <c r="C381" s="148" t="s">
        <v>166</v>
      </c>
      <c r="D381" s="33" t="s">
        <v>27</v>
      </c>
      <c r="E381" s="33"/>
      <c r="F381" s="33"/>
      <c r="G381" s="33"/>
      <c r="H381" s="30" t="s">
        <v>647</v>
      </c>
      <c r="I381" s="30">
        <v>751</v>
      </c>
      <c r="J381" s="212">
        <v>41782</v>
      </c>
      <c r="K381" s="158"/>
      <c r="L381" s="158"/>
      <c r="M381" s="158">
        <v>70</v>
      </c>
      <c r="N381" s="158">
        <v>70</v>
      </c>
      <c r="O381" s="158"/>
      <c r="P381" s="158"/>
      <c r="Q381" s="158"/>
      <c r="R381" s="158"/>
      <c r="S381" s="158"/>
      <c r="T381" s="158"/>
      <c r="U381" s="94"/>
      <c r="V381" s="158"/>
      <c r="W381" s="158"/>
      <c r="X381" s="158"/>
      <c r="Y381" s="158"/>
      <c r="Z381" s="94"/>
      <c r="AA381" s="158"/>
      <c r="AB381" s="158"/>
      <c r="AC381" s="158"/>
      <c r="AD381" s="158"/>
      <c r="AE381" s="158"/>
      <c r="AF381" s="158">
        <f>P381-U381-Z381</f>
        <v>0</v>
      </c>
      <c r="AG381" s="158"/>
      <c r="AH381" s="94">
        <v>0</v>
      </c>
      <c r="AI381" s="94">
        <v>0</v>
      </c>
      <c r="AJ381" s="94"/>
      <c r="AK381" s="158">
        <f t="shared" ref="AK381" si="107">P381-R381-U381-Z381</f>
        <v>0</v>
      </c>
      <c r="AL381" s="158"/>
      <c r="AM381" s="158"/>
      <c r="AN381" s="158">
        <v>70</v>
      </c>
      <c r="AO381" s="158"/>
      <c r="AP381" s="158"/>
      <c r="AQ381" s="158"/>
      <c r="AR381" s="158"/>
      <c r="AS381" s="158"/>
      <c r="AT381" s="2">
        <v>0</v>
      </c>
      <c r="AU381" s="58" t="s">
        <v>521</v>
      </c>
      <c r="AV381" s="392"/>
      <c r="AW381" s="158" t="s">
        <v>0</v>
      </c>
      <c r="AX381" s="158"/>
      <c r="AY381" s="158"/>
      <c r="AZ381" s="158"/>
      <c r="BA381" s="158"/>
      <c r="BB381" s="158"/>
      <c r="BC381" s="69"/>
      <c r="BD381" s="69"/>
      <c r="BE381" s="69"/>
      <c r="BF381" s="271"/>
      <c r="BG381" s="271">
        <v>2019</v>
      </c>
      <c r="BH381" s="271">
        <v>2020</v>
      </c>
      <c r="BI381" s="271" t="s">
        <v>2375</v>
      </c>
    </row>
    <row r="382" spans="1:61" s="204" customFormat="1" ht="15" customHeight="1">
      <c r="A382" s="160" t="s">
        <v>509</v>
      </c>
      <c r="B382" s="58" t="s">
        <v>185</v>
      </c>
      <c r="C382" s="148" t="s">
        <v>167</v>
      </c>
      <c r="D382" s="33" t="s">
        <v>168</v>
      </c>
      <c r="E382" s="33"/>
      <c r="F382" s="33"/>
      <c r="G382" s="33"/>
      <c r="H382" s="30"/>
      <c r="I382" s="58"/>
      <c r="J382" s="212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94"/>
      <c r="V382" s="158"/>
      <c r="W382" s="158"/>
      <c r="X382" s="158"/>
      <c r="Y382" s="158"/>
      <c r="Z382" s="94"/>
      <c r="AA382" s="158"/>
      <c r="AB382" s="158"/>
      <c r="AC382" s="158"/>
      <c r="AD382" s="158"/>
      <c r="AE382" s="158"/>
      <c r="AF382" s="158"/>
      <c r="AG382" s="158"/>
      <c r="AH382" s="158"/>
      <c r="AI382" s="158"/>
      <c r="AJ382" s="158"/>
      <c r="AK382" s="158"/>
      <c r="AL382" s="158"/>
      <c r="AM382" s="158"/>
      <c r="AN382" s="158"/>
      <c r="AO382" s="158"/>
      <c r="AP382" s="158"/>
      <c r="AQ382" s="158"/>
      <c r="AR382" s="158"/>
      <c r="AS382" s="158"/>
      <c r="AT382" s="2"/>
      <c r="AU382" s="58"/>
      <c r="AV382" s="106"/>
      <c r="AW382" s="158">
        <v>30</v>
      </c>
      <c r="AX382" s="158"/>
      <c r="AY382" s="158"/>
      <c r="AZ382" s="158"/>
      <c r="BA382" s="158"/>
      <c r="BB382" s="158"/>
      <c r="BC382" s="69"/>
      <c r="BD382" s="69"/>
      <c r="BE382" s="69"/>
      <c r="BF382" s="271">
        <v>2016</v>
      </c>
      <c r="BG382" s="271"/>
      <c r="BH382" s="271"/>
      <c r="BI382" s="271" t="s">
        <v>2376</v>
      </c>
    </row>
    <row r="383" spans="1:61" s="204" customFormat="1" ht="15" customHeight="1">
      <c r="A383" s="160" t="s">
        <v>509</v>
      </c>
      <c r="B383" s="58" t="s">
        <v>173</v>
      </c>
      <c r="C383" s="148" t="s">
        <v>669</v>
      </c>
      <c r="D383" s="33" t="s">
        <v>171</v>
      </c>
      <c r="E383" s="33"/>
      <c r="F383" s="33"/>
      <c r="G383" s="33"/>
      <c r="H383" s="30" t="s">
        <v>691</v>
      </c>
      <c r="I383" s="30"/>
      <c r="J383" s="212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94"/>
      <c r="V383" s="158"/>
      <c r="W383" s="158"/>
      <c r="X383" s="158"/>
      <c r="Y383" s="158"/>
      <c r="Z383" s="94"/>
      <c r="AA383" s="158"/>
      <c r="AB383" s="158"/>
      <c r="AC383" s="158"/>
      <c r="AD383" s="158"/>
      <c r="AE383" s="158"/>
      <c r="AF383" s="158"/>
      <c r="AG383" s="158"/>
      <c r="AH383" s="158"/>
      <c r="AI383" s="158"/>
      <c r="AJ383" s="158"/>
      <c r="AK383" s="158"/>
      <c r="AL383" s="158"/>
      <c r="AM383" s="158"/>
      <c r="AN383" s="158"/>
      <c r="AO383" s="158"/>
      <c r="AP383" s="158"/>
      <c r="AQ383" s="158"/>
      <c r="AR383" s="158"/>
      <c r="AS383" s="158"/>
      <c r="AT383" s="2">
        <v>0</v>
      </c>
      <c r="AU383" s="58" t="s">
        <v>687</v>
      </c>
      <c r="AV383" s="106"/>
      <c r="AW383" s="158" t="s">
        <v>0</v>
      </c>
      <c r="AX383" s="158"/>
      <c r="AY383" s="158"/>
      <c r="AZ383" s="158"/>
      <c r="BA383" s="158"/>
      <c r="BB383" s="158"/>
      <c r="BC383" s="69"/>
      <c r="BD383" s="69"/>
      <c r="BE383" s="69">
        <v>6</v>
      </c>
      <c r="BF383" s="271" t="s">
        <v>1703</v>
      </c>
      <c r="BG383" s="271"/>
      <c r="BH383" s="271"/>
      <c r="BI383" s="271" t="s">
        <v>2376</v>
      </c>
    </row>
    <row r="384" spans="1:61" s="204" customFormat="1" ht="15" customHeight="1">
      <c r="A384" s="160" t="s">
        <v>509</v>
      </c>
      <c r="B384" s="58" t="s">
        <v>173</v>
      </c>
      <c r="C384" s="148" t="s">
        <v>172</v>
      </c>
      <c r="D384" s="33" t="s">
        <v>30</v>
      </c>
      <c r="E384" s="33"/>
      <c r="F384" s="33"/>
      <c r="G384" s="33"/>
      <c r="H384" s="30"/>
      <c r="I384" s="58"/>
      <c r="J384" s="212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94"/>
      <c r="V384" s="158"/>
      <c r="W384" s="158"/>
      <c r="X384" s="158"/>
      <c r="Y384" s="158"/>
      <c r="Z384" s="94"/>
      <c r="AA384" s="158"/>
      <c r="AB384" s="158"/>
      <c r="AC384" s="158"/>
      <c r="AD384" s="158"/>
      <c r="AE384" s="158"/>
      <c r="AF384" s="158"/>
      <c r="AG384" s="158"/>
      <c r="AH384" s="158"/>
      <c r="AI384" s="158"/>
      <c r="AJ384" s="158"/>
      <c r="AK384" s="158"/>
      <c r="AL384" s="158"/>
      <c r="AM384" s="158"/>
      <c r="AN384" s="158"/>
      <c r="AO384" s="158"/>
      <c r="AP384" s="158"/>
      <c r="AQ384" s="158"/>
      <c r="AR384" s="158"/>
      <c r="AS384" s="158"/>
      <c r="AT384" s="2"/>
      <c r="AU384" s="58"/>
      <c r="AV384" s="106"/>
      <c r="AW384" s="158">
        <v>17</v>
      </c>
      <c r="AX384" s="158"/>
      <c r="AY384" s="158"/>
      <c r="AZ384" s="158"/>
      <c r="BA384" s="158"/>
      <c r="BB384" s="158"/>
      <c r="BC384" s="69"/>
      <c r="BD384" s="69"/>
      <c r="BE384" s="69"/>
      <c r="BF384" s="271">
        <v>2016</v>
      </c>
      <c r="BG384" s="271"/>
      <c r="BH384" s="271"/>
      <c r="BI384" s="271" t="s">
        <v>2376</v>
      </c>
    </row>
    <row r="385" spans="1:61" s="204" customFormat="1" ht="15" customHeight="1">
      <c r="A385" s="160" t="s">
        <v>509</v>
      </c>
      <c r="B385" s="58" t="s">
        <v>169</v>
      </c>
      <c r="C385" s="148" t="s">
        <v>174</v>
      </c>
      <c r="D385" s="33" t="s">
        <v>170</v>
      </c>
      <c r="E385" s="33"/>
      <c r="F385" s="33"/>
      <c r="G385" s="33"/>
      <c r="H385" s="30"/>
      <c r="I385" s="58"/>
      <c r="J385" s="212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94"/>
      <c r="V385" s="158"/>
      <c r="W385" s="158"/>
      <c r="X385" s="158"/>
      <c r="Y385" s="158"/>
      <c r="Z385" s="94"/>
      <c r="AA385" s="158"/>
      <c r="AB385" s="158"/>
      <c r="AC385" s="158"/>
      <c r="AD385" s="158"/>
      <c r="AE385" s="158"/>
      <c r="AF385" s="158"/>
      <c r="AG385" s="158"/>
      <c r="AH385" s="158"/>
      <c r="AI385" s="158"/>
      <c r="AJ385" s="158"/>
      <c r="AK385" s="158"/>
      <c r="AL385" s="158"/>
      <c r="AM385" s="158"/>
      <c r="AN385" s="158"/>
      <c r="AO385" s="158"/>
      <c r="AP385" s="158"/>
      <c r="AQ385" s="158"/>
      <c r="AR385" s="158"/>
      <c r="AS385" s="158"/>
      <c r="AT385" s="2"/>
      <c r="AU385" s="58"/>
      <c r="AV385" s="106"/>
      <c r="AW385" s="158">
        <v>34</v>
      </c>
      <c r="AX385" s="158"/>
      <c r="AY385" s="158"/>
      <c r="AZ385" s="158"/>
      <c r="BA385" s="158"/>
      <c r="BB385" s="158"/>
      <c r="BC385" s="69"/>
      <c r="BD385" s="69"/>
      <c r="BE385" s="69"/>
      <c r="BF385" s="271">
        <v>2016</v>
      </c>
      <c r="BG385" s="271"/>
      <c r="BH385" s="271"/>
      <c r="BI385" s="271" t="s">
        <v>2376</v>
      </c>
    </row>
    <row r="386" spans="1:61" s="204" customFormat="1" ht="15" customHeight="1">
      <c r="A386" s="160" t="s">
        <v>509</v>
      </c>
      <c r="B386" s="58" t="s">
        <v>173</v>
      </c>
      <c r="C386" s="148" t="s">
        <v>175</v>
      </c>
      <c r="D386" s="33" t="s">
        <v>16</v>
      </c>
      <c r="E386" s="33"/>
      <c r="F386" s="33"/>
      <c r="G386" s="33"/>
      <c r="H386" s="30"/>
      <c r="I386" s="58"/>
      <c r="J386" s="212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94"/>
      <c r="V386" s="158"/>
      <c r="W386" s="158"/>
      <c r="X386" s="158"/>
      <c r="Y386" s="158"/>
      <c r="Z386" s="94"/>
      <c r="AA386" s="158"/>
      <c r="AB386" s="158"/>
      <c r="AC386" s="158"/>
      <c r="AD386" s="158"/>
      <c r="AE386" s="158"/>
      <c r="AF386" s="158"/>
      <c r="AG386" s="158"/>
      <c r="AH386" s="158"/>
      <c r="AI386" s="158"/>
      <c r="AJ386" s="158"/>
      <c r="AK386" s="158"/>
      <c r="AL386" s="158"/>
      <c r="AM386" s="158"/>
      <c r="AN386" s="158"/>
      <c r="AO386" s="158"/>
      <c r="AP386" s="158"/>
      <c r="AQ386" s="158"/>
      <c r="AR386" s="158"/>
      <c r="AS386" s="158"/>
      <c r="AT386" s="2"/>
      <c r="AU386" s="58"/>
      <c r="AV386" s="106"/>
      <c r="AW386" s="158">
        <v>51</v>
      </c>
      <c r="AX386" s="158"/>
      <c r="AY386" s="158"/>
      <c r="AZ386" s="158"/>
      <c r="BA386" s="158"/>
      <c r="BB386" s="158"/>
      <c r="BC386" s="69"/>
      <c r="BD386" s="69"/>
      <c r="BE386" s="69"/>
      <c r="BF386" s="271">
        <v>2016</v>
      </c>
      <c r="BG386" s="271"/>
      <c r="BH386" s="271"/>
      <c r="BI386" s="271" t="s">
        <v>2376</v>
      </c>
    </row>
    <row r="387" spans="1:61" s="204" customFormat="1" ht="15" customHeight="1">
      <c r="A387" s="160" t="s">
        <v>509</v>
      </c>
      <c r="B387" s="58" t="s">
        <v>173</v>
      </c>
      <c r="C387" s="148" t="s">
        <v>175</v>
      </c>
      <c r="D387" s="33" t="s">
        <v>16</v>
      </c>
      <c r="E387" s="33"/>
      <c r="F387" s="33"/>
      <c r="G387" s="33"/>
      <c r="H387" s="30" t="s">
        <v>658</v>
      </c>
      <c r="I387" s="30"/>
      <c r="J387" s="212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94"/>
      <c r="V387" s="158"/>
      <c r="W387" s="158"/>
      <c r="X387" s="158"/>
      <c r="Y387" s="158"/>
      <c r="Z387" s="94"/>
      <c r="AA387" s="158"/>
      <c r="AB387" s="158"/>
      <c r="AC387" s="158"/>
      <c r="AD387" s="158"/>
      <c r="AE387" s="158"/>
      <c r="AF387" s="158"/>
      <c r="AG387" s="158"/>
      <c r="AH387" s="158"/>
      <c r="AI387" s="158"/>
      <c r="AJ387" s="158"/>
      <c r="AK387" s="158"/>
      <c r="AL387" s="158"/>
      <c r="AM387" s="158"/>
      <c r="AN387" s="158"/>
      <c r="AO387" s="158"/>
      <c r="AP387" s="158"/>
      <c r="AQ387" s="158"/>
      <c r="AR387" s="158"/>
      <c r="AS387" s="158"/>
      <c r="AT387" s="2">
        <v>0</v>
      </c>
      <c r="AU387" s="58" t="s">
        <v>687</v>
      </c>
      <c r="AV387" s="162" t="s">
        <v>1371</v>
      </c>
      <c r="AW387" s="158"/>
      <c r="AX387" s="158"/>
      <c r="AY387" s="158"/>
      <c r="AZ387" s="158"/>
      <c r="BA387" s="158"/>
      <c r="BB387" s="158"/>
      <c r="BC387" s="69"/>
      <c r="BD387" s="69"/>
      <c r="BE387" s="69">
        <v>1</v>
      </c>
      <c r="BF387" s="271" t="s">
        <v>1703</v>
      </c>
      <c r="BG387" s="271"/>
      <c r="BH387" s="271"/>
      <c r="BI387" s="271" t="s">
        <v>2376</v>
      </c>
    </row>
    <row r="388" spans="1:61" s="204" customFormat="1" ht="15" customHeight="1">
      <c r="A388" s="160" t="s">
        <v>509</v>
      </c>
      <c r="B388" s="58" t="s">
        <v>173</v>
      </c>
      <c r="C388" s="148" t="s">
        <v>670</v>
      </c>
      <c r="D388" s="33" t="s">
        <v>30</v>
      </c>
      <c r="E388" s="33"/>
      <c r="F388" s="33"/>
      <c r="G388" s="33"/>
      <c r="H388" s="30" t="s">
        <v>635</v>
      </c>
      <c r="I388" s="30"/>
      <c r="J388" s="212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94"/>
      <c r="V388" s="158"/>
      <c r="W388" s="158"/>
      <c r="X388" s="158"/>
      <c r="Y388" s="158"/>
      <c r="Z388" s="94">
        <v>16186747</v>
      </c>
      <c r="AA388" s="158">
        <v>10</v>
      </c>
      <c r="AB388" s="311">
        <v>43313</v>
      </c>
      <c r="AC388" s="158"/>
      <c r="AD388" s="158"/>
      <c r="AE388" s="158"/>
      <c r="AF388" s="158"/>
      <c r="AG388" s="158"/>
      <c r="AH388" s="158"/>
      <c r="AI388" s="158"/>
      <c r="AJ388" s="158"/>
      <c r="AK388" s="158"/>
      <c r="AL388" s="158"/>
      <c r="AM388" s="158"/>
      <c r="AN388" s="158"/>
      <c r="AO388" s="158"/>
      <c r="AP388" s="158"/>
      <c r="AQ388" s="158"/>
      <c r="AR388" s="158"/>
      <c r="AS388" s="158"/>
      <c r="AT388" s="2">
        <v>1</v>
      </c>
      <c r="AU388" s="58" t="s">
        <v>646</v>
      </c>
      <c r="AV388" s="106"/>
      <c r="AW388" s="158"/>
      <c r="AX388" s="158">
        <v>32</v>
      </c>
      <c r="AY388" s="158"/>
      <c r="AZ388" s="158"/>
      <c r="BA388" s="158"/>
      <c r="BB388" s="158"/>
      <c r="BC388" s="69"/>
      <c r="BD388" s="69"/>
      <c r="BE388" s="69"/>
      <c r="BF388" s="271">
        <v>2017</v>
      </c>
      <c r="BG388" s="271"/>
      <c r="BH388" s="271"/>
      <c r="BI388" s="271" t="s">
        <v>2376</v>
      </c>
    </row>
    <row r="389" spans="1:61" s="204" customFormat="1" ht="15" customHeight="1">
      <c r="A389" s="160" t="s">
        <v>509</v>
      </c>
      <c r="B389" s="58" t="s">
        <v>177</v>
      </c>
      <c r="C389" s="148" t="s">
        <v>176</v>
      </c>
      <c r="D389" s="33" t="s">
        <v>168</v>
      </c>
      <c r="E389" s="33"/>
      <c r="F389" s="33"/>
      <c r="G389" s="33"/>
      <c r="H389" s="30" t="s">
        <v>636</v>
      </c>
      <c r="I389" s="30"/>
      <c r="J389" s="212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94"/>
      <c r="V389" s="158"/>
      <c r="W389" s="158"/>
      <c r="X389" s="158"/>
      <c r="Y389" s="158"/>
      <c r="Z389" s="94"/>
      <c r="AA389" s="158"/>
      <c r="AB389" s="158"/>
      <c r="AC389" s="158"/>
      <c r="AD389" s="158"/>
      <c r="AE389" s="158"/>
      <c r="AF389" s="158"/>
      <c r="AG389" s="158"/>
      <c r="AH389" s="158"/>
      <c r="AI389" s="158"/>
      <c r="AJ389" s="158"/>
      <c r="AK389" s="158"/>
      <c r="AL389" s="158"/>
      <c r="AM389" s="158"/>
      <c r="AN389" s="158"/>
      <c r="AO389" s="158"/>
      <c r="AP389" s="158"/>
      <c r="AQ389" s="11"/>
      <c r="AR389" s="11"/>
      <c r="AS389" s="11"/>
      <c r="AT389" s="2">
        <v>1</v>
      </c>
      <c r="AU389" s="58" t="s">
        <v>646</v>
      </c>
      <c r="AV389" s="106"/>
      <c r="AW389" s="158"/>
      <c r="AX389" s="11"/>
      <c r="AY389" s="72">
        <v>92</v>
      </c>
      <c r="AZ389" s="158"/>
      <c r="BA389" s="158"/>
      <c r="BB389" s="158">
        <v>92</v>
      </c>
      <c r="BC389" s="69"/>
      <c r="BD389" s="69"/>
      <c r="BE389" s="69"/>
      <c r="BF389" s="271">
        <v>2018</v>
      </c>
      <c r="BG389" s="271"/>
      <c r="BH389" s="271"/>
      <c r="BI389" s="271" t="s">
        <v>2376</v>
      </c>
    </row>
    <row r="390" spans="1:61" s="204" customFormat="1" ht="15" customHeight="1">
      <c r="A390" s="160" t="s">
        <v>509</v>
      </c>
      <c r="B390" s="58" t="s">
        <v>177</v>
      </c>
      <c r="C390" s="148" t="s">
        <v>176</v>
      </c>
      <c r="D390" s="33" t="s">
        <v>168</v>
      </c>
      <c r="E390" s="33"/>
      <c r="F390" s="33"/>
      <c r="G390" s="33"/>
      <c r="H390" s="30" t="s">
        <v>636</v>
      </c>
      <c r="I390" s="30"/>
      <c r="J390" s="212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94"/>
      <c r="V390" s="158"/>
      <c r="W390" s="158"/>
      <c r="X390" s="158"/>
      <c r="Y390" s="158"/>
      <c r="Z390" s="94"/>
      <c r="AA390" s="158"/>
      <c r="AB390" s="158"/>
      <c r="AC390" s="158"/>
      <c r="AD390" s="158"/>
      <c r="AE390" s="158"/>
      <c r="AF390" s="158"/>
      <c r="AG390" s="158"/>
      <c r="AH390" s="158"/>
      <c r="AI390" s="158"/>
      <c r="AJ390" s="158"/>
      <c r="AK390" s="158"/>
      <c r="AL390" s="158"/>
      <c r="AM390" s="158"/>
      <c r="AN390" s="158"/>
      <c r="AO390" s="158"/>
      <c r="AP390" s="158"/>
      <c r="AQ390" s="11"/>
      <c r="AR390" s="11"/>
      <c r="AS390" s="11"/>
      <c r="AT390" s="2">
        <v>1</v>
      </c>
      <c r="AU390" s="58" t="s">
        <v>646</v>
      </c>
      <c r="AV390" s="58" t="s">
        <v>642</v>
      </c>
      <c r="AW390" s="158"/>
      <c r="AX390" s="11"/>
      <c r="AY390" s="72">
        <v>5</v>
      </c>
      <c r="AZ390" s="158"/>
      <c r="BA390" s="158"/>
      <c r="BB390" s="158">
        <v>5</v>
      </c>
      <c r="BC390" s="69"/>
      <c r="BD390" s="69"/>
      <c r="BE390" s="69"/>
      <c r="BF390" s="271">
        <v>2018</v>
      </c>
      <c r="BG390" s="271"/>
      <c r="BH390" s="271"/>
      <c r="BI390" s="271" t="s">
        <v>2376</v>
      </c>
    </row>
    <row r="391" spans="1:61" s="204" customFormat="1" ht="15" customHeight="1">
      <c r="A391" s="160" t="s">
        <v>509</v>
      </c>
      <c r="B391" s="58" t="s">
        <v>173</v>
      </c>
      <c r="C391" s="148" t="s">
        <v>178</v>
      </c>
      <c r="D391" s="33" t="s">
        <v>30</v>
      </c>
      <c r="E391" s="33"/>
      <c r="F391" s="33"/>
      <c r="G391" s="33"/>
      <c r="H391" s="30" t="s">
        <v>650</v>
      </c>
      <c r="I391" s="30"/>
      <c r="J391" s="212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94"/>
      <c r="V391" s="158"/>
      <c r="W391" s="158"/>
      <c r="X391" s="158"/>
      <c r="Y391" s="158"/>
      <c r="Z391" s="94">
        <v>21721265</v>
      </c>
      <c r="AA391" s="158">
        <v>10</v>
      </c>
      <c r="AB391" s="311">
        <v>43313</v>
      </c>
      <c r="AC391" s="158"/>
      <c r="AD391" s="158"/>
      <c r="AE391" s="158"/>
      <c r="AF391" s="158"/>
      <c r="AG391" s="158"/>
      <c r="AH391" s="158"/>
      <c r="AI391" s="158"/>
      <c r="AJ391" s="158"/>
      <c r="AK391" s="158"/>
      <c r="AL391" s="158"/>
      <c r="AM391" s="158"/>
      <c r="AN391" s="158"/>
      <c r="AO391" s="158"/>
      <c r="AP391" s="158"/>
      <c r="AQ391" s="158"/>
      <c r="AR391" s="158"/>
      <c r="AS391" s="158"/>
      <c r="AT391" s="2">
        <v>1</v>
      </c>
      <c r="AU391" s="58" t="s">
        <v>646</v>
      </c>
      <c r="AV391" s="58"/>
      <c r="AW391" s="158"/>
      <c r="AX391" s="158">
        <v>40</v>
      </c>
      <c r="AY391" s="158"/>
      <c r="AZ391" s="158"/>
      <c r="BA391" s="158"/>
      <c r="BB391" s="158"/>
      <c r="BC391" s="69"/>
      <c r="BD391" s="69"/>
      <c r="BE391" s="69"/>
      <c r="BF391" s="271">
        <v>2017</v>
      </c>
      <c r="BG391" s="271"/>
      <c r="BH391" s="271"/>
      <c r="BI391" s="271" t="s">
        <v>2376</v>
      </c>
    </row>
    <row r="392" spans="1:61" s="204" customFormat="1" ht="15" customHeight="1">
      <c r="A392" s="160" t="s">
        <v>509</v>
      </c>
      <c r="B392" s="58" t="s">
        <v>180</v>
      </c>
      <c r="C392" s="148" t="s">
        <v>179</v>
      </c>
      <c r="D392" s="33" t="s">
        <v>168</v>
      </c>
      <c r="E392" s="33"/>
      <c r="F392" s="33"/>
      <c r="G392" s="33"/>
      <c r="H392" s="30" t="s">
        <v>650</v>
      </c>
      <c r="I392" s="30"/>
      <c r="J392" s="212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94"/>
      <c r="V392" s="158"/>
      <c r="W392" s="158"/>
      <c r="X392" s="158"/>
      <c r="Y392" s="158"/>
      <c r="Z392" s="94"/>
      <c r="AA392" s="158"/>
      <c r="AB392" s="158"/>
      <c r="AC392" s="158"/>
      <c r="AD392" s="158"/>
      <c r="AE392" s="158"/>
      <c r="AF392" s="158"/>
      <c r="AG392" s="158"/>
      <c r="AH392" s="158"/>
      <c r="AI392" s="158"/>
      <c r="AJ392" s="158"/>
      <c r="AK392" s="158"/>
      <c r="AL392" s="158"/>
      <c r="AM392" s="158"/>
      <c r="AN392" s="158"/>
      <c r="AO392" s="158"/>
      <c r="AP392" s="158"/>
      <c r="AQ392" s="158"/>
      <c r="AR392" s="158"/>
      <c r="AS392" s="158"/>
      <c r="AT392" s="2">
        <v>1</v>
      </c>
      <c r="AU392" s="58" t="s">
        <v>646</v>
      </c>
      <c r="AV392" s="106"/>
      <c r="AW392" s="158"/>
      <c r="AX392" s="158">
        <v>36</v>
      </c>
      <c r="AY392" s="158"/>
      <c r="AZ392" s="158"/>
      <c r="BA392" s="158"/>
      <c r="BB392" s="158"/>
      <c r="BC392" s="69"/>
      <c r="BD392" s="69"/>
      <c r="BE392" s="69"/>
      <c r="BF392" s="271">
        <v>2017</v>
      </c>
      <c r="BG392" s="271"/>
      <c r="BH392" s="271"/>
      <c r="BI392" s="271" t="s">
        <v>2376</v>
      </c>
    </row>
    <row r="393" spans="1:61" s="204" customFormat="1" ht="15" customHeight="1">
      <c r="A393" s="160" t="s">
        <v>509</v>
      </c>
      <c r="B393" s="58" t="s">
        <v>173</v>
      </c>
      <c r="C393" s="148" t="s">
        <v>181</v>
      </c>
      <c r="D393" s="33" t="s">
        <v>30</v>
      </c>
      <c r="E393" s="33"/>
      <c r="F393" s="33"/>
      <c r="G393" s="33"/>
      <c r="H393" s="30" t="s">
        <v>650</v>
      </c>
      <c r="I393" s="30"/>
      <c r="J393" s="212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94"/>
      <c r="V393" s="158"/>
      <c r="W393" s="158"/>
      <c r="X393" s="158"/>
      <c r="Y393" s="158"/>
      <c r="Z393" s="94">
        <v>10301583</v>
      </c>
      <c r="AA393" s="158">
        <v>20</v>
      </c>
      <c r="AB393" s="311">
        <v>43313</v>
      </c>
      <c r="AC393" s="158"/>
      <c r="AD393" s="158"/>
      <c r="AE393" s="158"/>
      <c r="AF393" s="158"/>
      <c r="AG393" s="158"/>
      <c r="AH393" s="158"/>
      <c r="AI393" s="158"/>
      <c r="AJ393" s="158"/>
      <c r="AK393" s="158"/>
      <c r="AL393" s="158">
        <v>877</v>
      </c>
      <c r="AM393" s="158">
        <v>20</v>
      </c>
      <c r="AN393" s="158"/>
      <c r="AO393" s="158"/>
      <c r="AP393" s="158"/>
      <c r="AQ393" s="158"/>
      <c r="AR393" s="158"/>
      <c r="AS393" s="158"/>
      <c r="AT393" s="2">
        <v>1</v>
      </c>
      <c r="AU393" s="58" t="s">
        <v>646</v>
      </c>
      <c r="AV393" s="106"/>
      <c r="AW393" s="158"/>
      <c r="AX393" s="158">
        <v>19</v>
      </c>
      <c r="AY393" s="158"/>
      <c r="AZ393" s="158"/>
      <c r="BA393" s="158"/>
      <c r="BB393" s="158"/>
      <c r="BC393" s="69"/>
      <c r="BD393" s="69"/>
      <c r="BE393" s="69"/>
      <c r="BF393" s="271">
        <v>2017</v>
      </c>
      <c r="BG393" s="271"/>
      <c r="BH393" s="271"/>
      <c r="BI393" s="271" t="s">
        <v>2376</v>
      </c>
    </row>
    <row r="394" spans="1:61" s="204" customFormat="1" ht="15" customHeight="1">
      <c r="A394" s="160" t="s">
        <v>509</v>
      </c>
      <c r="B394" s="58" t="s">
        <v>173</v>
      </c>
      <c r="C394" s="148" t="s">
        <v>182</v>
      </c>
      <c r="D394" s="33" t="s">
        <v>30</v>
      </c>
      <c r="E394" s="33"/>
      <c r="F394" s="33"/>
      <c r="G394" s="33"/>
      <c r="H394" s="30" t="s">
        <v>650</v>
      </c>
      <c r="I394" s="30"/>
      <c r="J394" s="212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94"/>
      <c r="V394" s="158"/>
      <c r="W394" s="158"/>
      <c r="X394" s="158"/>
      <c r="Y394" s="158"/>
      <c r="Z394" s="94">
        <v>11385960</v>
      </c>
      <c r="AA394" s="158">
        <v>20</v>
      </c>
      <c r="AB394" s="311">
        <v>43313</v>
      </c>
      <c r="AC394" s="158"/>
      <c r="AD394" s="158"/>
      <c r="AE394" s="158"/>
      <c r="AF394" s="158"/>
      <c r="AG394" s="158"/>
      <c r="AH394" s="158"/>
      <c r="AI394" s="158"/>
      <c r="AJ394" s="158"/>
      <c r="AK394" s="158"/>
      <c r="AL394" s="158">
        <v>877</v>
      </c>
      <c r="AM394" s="158">
        <v>20</v>
      </c>
      <c r="AN394" s="158"/>
      <c r="AO394" s="158"/>
      <c r="AP394" s="158"/>
      <c r="AQ394" s="158"/>
      <c r="AR394" s="158"/>
      <c r="AS394" s="158"/>
      <c r="AT394" s="2">
        <v>1</v>
      </c>
      <c r="AU394" s="58" t="s">
        <v>646</v>
      </c>
      <c r="AV394" s="106"/>
      <c r="AW394" s="158"/>
      <c r="AX394" s="158">
        <v>21</v>
      </c>
      <c r="AY394" s="158"/>
      <c r="AZ394" s="158"/>
      <c r="BA394" s="158"/>
      <c r="BB394" s="158"/>
      <c r="BC394" s="69"/>
      <c r="BD394" s="69"/>
      <c r="BE394" s="69"/>
      <c r="BF394" s="271">
        <v>2017</v>
      </c>
      <c r="BG394" s="271"/>
      <c r="BH394" s="271"/>
      <c r="BI394" s="271" t="s">
        <v>2376</v>
      </c>
    </row>
    <row r="395" spans="1:61" s="204" customFormat="1" ht="15" customHeight="1">
      <c r="A395" s="160" t="s">
        <v>509</v>
      </c>
      <c r="B395" s="58" t="s">
        <v>173</v>
      </c>
      <c r="C395" s="148" t="s">
        <v>183</v>
      </c>
      <c r="D395" s="33" t="s">
        <v>30</v>
      </c>
      <c r="E395" s="33"/>
      <c r="F395" s="33"/>
      <c r="G395" s="33"/>
      <c r="H395" s="30" t="s">
        <v>650</v>
      </c>
      <c r="I395" s="30"/>
      <c r="J395" s="212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94"/>
      <c r="V395" s="158"/>
      <c r="W395" s="158"/>
      <c r="X395" s="158"/>
      <c r="Y395" s="158"/>
      <c r="Z395" s="94">
        <v>9217205</v>
      </c>
      <c r="AA395" s="158">
        <v>10</v>
      </c>
      <c r="AB395" s="311">
        <v>43313</v>
      </c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2">
        <v>1</v>
      </c>
      <c r="AU395" s="58" t="s">
        <v>646</v>
      </c>
      <c r="AV395" s="106"/>
      <c r="AW395" s="158"/>
      <c r="AX395" s="158">
        <v>17</v>
      </c>
      <c r="AY395" s="158"/>
      <c r="AZ395" s="158"/>
      <c r="BA395" s="158"/>
      <c r="BB395" s="158"/>
      <c r="BC395" s="69"/>
      <c r="BD395" s="69"/>
      <c r="BE395" s="69"/>
      <c r="BF395" s="271">
        <v>2017</v>
      </c>
      <c r="BG395" s="271"/>
      <c r="BH395" s="271"/>
      <c r="BI395" s="271" t="s">
        <v>2376</v>
      </c>
    </row>
    <row r="396" spans="1:61" s="204" customFormat="1" ht="15" customHeight="1">
      <c r="A396" s="160" t="s">
        <v>509</v>
      </c>
      <c r="B396" s="58" t="s">
        <v>185</v>
      </c>
      <c r="C396" s="148" t="s">
        <v>184</v>
      </c>
      <c r="D396" s="33" t="s">
        <v>149</v>
      </c>
      <c r="E396" s="33"/>
      <c r="F396" s="33"/>
      <c r="G396" s="33"/>
      <c r="H396" s="30" t="s">
        <v>650</v>
      </c>
      <c r="I396" s="30">
        <v>2887</v>
      </c>
      <c r="J396" s="212">
        <v>42726</v>
      </c>
      <c r="K396" s="158"/>
      <c r="L396" s="158"/>
      <c r="M396" s="158"/>
      <c r="N396" s="158"/>
      <c r="O396" s="158"/>
      <c r="P396" s="158">
        <f>4763319000-201267000</f>
        <v>4562052000</v>
      </c>
      <c r="Q396" s="158"/>
      <c r="R396" s="158"/>
      <c r="S396" s="158"/>
      <c r="T396" s="158"/>
      <c r="U396" s="94">
        <v>1992388243</v>
      </c>
      <c r="V396" s="158"/>
      <c r="W396" s="158"/>
      <c r="X396" s="158"/>
      <c r="Y396" s="158"/>
      <c r="Z396" s="94">
        <v>2569663757</v>
      </c>
      <c r="AA396" s="158"/>
      <c r="AB396" s="158"/>
      <c r="AC396" s="158"/>
      <c r="AD396" s="158"/>
      <c r="AE396" s="158"/>
      <c r="AF396" s="158"/>
      <c r="AG396" s="158"/>
      <c r="AH396" s="158"/>
      <c r="AI396" s="158"/>
      <c r="AJ396" s="158"/>
      <c r="AK396" s="158"/>
      <c r="AL396" s="158"/>
      <c r="AM396" s="158"/>
      <c r="AN396" s="158"/>
      <c r="AO396" s="158"/>
      <c r="AP396" s="158"/>
      <c r="AQ396" s="158"/>
      <c r="AR396" s="158"/>
      <c r="AS396" s="158"/>
      <c r="AT396" s="2">
        <v>1</v>
      </c>
      <c r="AU396" s="58" t="s">
        <v>646</v>
      </c>
      <c r="AV396" s="106"/>
      <c r="AW396" s="158"/>
      <c r="AX396" s="158"/>
      <c r="AY396" s="688">
        <v>68</v>
      </c>
      <c r="AZ396" s="158"/>
      <c r="BA396" s="158"/>
      <c r="BB396" s="12">
        <v>68</v>
      </c>
      <c r="BC396" s="285"/>
      <c r="BD396" s="70"/>
      <c r="BE396" s="70"/>
      <c r="BF396" s="271">
        <v>2018</v>
      </c>
      <c r="BG396" s="271"/>
      <c r="BH396" s="271"/>
      <c r="BI396" s="271" t="s">
        <v>2376</v>
      </c>
    </row>
    <row r="397" spans="1:61" s="204" customFormat="1" ht="18" customHeight="1">
      <c r="A397" s="160" t="s">
        <v>509</v>
      </c>
      <c r="B397" s="58" t="s">
        <v>185</v>
      </c>
      <c r="C397" s="148" t="s">
        <v>184</v>
      </c>
      <c r="D397" s="33" t="s">
        <v>149</v>
      </c>
      <c r="E397" s="33"/>
      <c r="F397" s="33"/>
      <c r="G397" s="33"/>
      <c r="H397" s="30" t="s">
        <v>650</v>
      </c>
      <c r="I397" s="115" t="s">
        <v>1670</v>
      </c>
      <c r="J397" s="212">
        <v>42726</v>
      </c>
      <c r="K397" s="158"/>
      <c r="L397" s="158"/>
      <c r="M397" s="158">
        <f>3</f>
        <v>3</v>
      </c>
      <c r="N397" s="158"/>
      <c r="O397" s="158"/>
      <c r="P397" s="158">
        <v>201267000</v>
      </c>
      <c r="Q397" s="158"/>
      <c r="R397" s="158"/>
      <c r="S397" s="158"/>
      <c r="T397" s="158"/>
      <c r="U397" s="94"/>
      <c r="V397" s="158"/>
      <c r="W397" s="158"/>
      <c r="X397" s="158"/>
      <c r="Y397" s="158"/>
      <c r="Z397" s="94"/>
      <c r="AA397" s="158"/>
      <c r="AB397" s="158"/>
      <c r="AC397" s="158"/>
      <c r="AD397" s="158">
        <v>201267000</v>
      </c>
      <c r="AE397" s="158"/>
      <c r="AF397" s="158">
        <f>P397-U397-Z397-AD397</f>
        <v>0</v>
      </c>
      <c r="AG397" s="158"/>
      <c r="AH397" s="94">
        <v>0</v>
      </c>
      <c r="AI397" s="94">
        <v>0</v>
      </c>
      <c r="AJ397" s="94"/>
      <c r="AK397" s="158">
        <f t="shared" ref="AK397" si="108">AF397+AH397</f>
        <v>0</v>
      </c>
      <c r="AL397" s="158">
        <v>877</v>
      </c>
      <c r="AM397" s="158">
        <v>10</v>
      </c>
      <c r="AN397" s="158"/>
      <c r="AO397" s="158"/>
      <c r="AP397" s="158"/>
      <c r="AQ397" s="158"/>
      <c r="AR397" s="158"/>
      <c r="AS397" s="158"/>
      <c r="AT397" s="2">
        <v>0</v>
      </c>
      <c r="AU397" s="58" t="s">
        <v>687</v>
      </c>
      <c r="AV397" s="393" t="s">
        <v>1373</v>
      </c>
      <c r="AW397" s="158"/>
      <c r="AX397" s="158"/>
      <c r="AY397" s="158"/>
      <c r="AZ397" s="158"/>
      <c r="BA397" s="158"/>
      <c r="BB397" s="158"/>
      <c r="BC397" s="69"/>
      <c r="BD397" s="69"/>
      <c r="BE397" s="69">
        <v>3</v>
      </c>
      <c r="BF397" s="271" t="s">
        <v>1706</v>
      </c>
      <c r="BG397" s="271">
        <v>2019</v>
      </c>
      <c r="BH397" s="271"/>
      <c r="BI397" s="271" t="s">
        <v>2375</v>
      </c>
    </row>
    <row r="398" spans="1:61" s="204" customFormat="1" ht="15" customHeight="1">
      <c r="A398" s="160" t="s">
        <v>509</v>
      </c>
      <c r="B398" s="58" t="s">
        <v>173</v>
      </c>
      <c r="C398" s="148" t="s">
        <v>539</v>
      </c>
      <c r="D398" s="33" t="s">
        <v>30</v>
      </c>
      <c r="E398" s="33"/>
      <c r="F398" s="33"/>
      <c r="G398" s="33"/>
      <c r="H398" s="30" t="s">
        <v>650</v>
      </c>
      <c r="I398" s="30"/>
      <c r="J398" s="212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94"/>
      <c r="V398" s="158"/>
      <c r="W398" s="158"/>
      <c r="X398" s="158"/>
      <c r="Y398" s="158"/>
      <c r="Z398" s="94">
        <v>7065086</v>
      </c>
      <c r="AA398" s="158">
        <v>20</v>
      </c>
      <c r="AB398" s="311">
        <v>43313</v>
      </c>
      <c r="AC398" s="158"/>
      <c r="AD398" s="158"/>
      <c r="AE398" s="158"/>
      <c r="AF398" s="158"/>
      <c r="AG398" s="158"/>
      <c r="AH398" s="158"/>
      <c r="AI398" s="158"/>
      <c r="AJ398" s="158"/>
      <c r="AK398" s="158"/>
      <c r="AL398" s="158">
        <v>877</v>
      </c>
      <c r="AM398" s="158">
        <v>20</v>
      </c>
      <c r="AN398" s="158"/>
      <c r="AO398" s="158"/>
      <c r="AP398" s="158"/>
      <c r="AQ398" s="158"/>
      <c r="AR398" s="158"/>
      <c r="AS398" s="158"/>
      <c r="AT398" s="2">
        <v>1</v>
      </c>
      <c r="AU398" s="58" t="s">
        <v>646</v>
      </c>
      <c r="AV398" s="106"/>
      <c r="AW398" s="158"/>
      <c r="AX398" s="158">
        <v>13</v>
      </c>
      <c r="AY398" s="158"/>
      <c r="AZ398" s="158"/>
      <c r="BA398" s="158"/>
      <c r="BB398" s="158"/>
      <c r="BC398" s="69"/>
      <c r="BD398" s="69"/>
      <c r="BE398" s="69"/>
      <c r="BF398" s="271">
        <v>2017</v>
      </c>
      <c r="BG398" s="271"/>
      <c r="BH398" s="271"/>
      <c r="BI398" s="271" t="s">
        <v>2376</v>
      </c>
    </row>
    <row r="399" spans="1:61" s="204" customFormat="1" ht="15" customHeight="1">
      <c r="A399" s="160" t="s">
        <v>509</v>
      </c>
      <c r="B399" s="58" t="s">
        <v>540</v>
      </c>
      <c r="C399" s="148" t="s">
        <v>671</v>
      </c>
      <c r="D399" s="33" t="s">
        <v>672</v>
      </c>
      <c r="E399" s="33"/>
      <c r="F399" s="33"/>
      <c r="G399" s="33"/>
      <c r="H399" s="30" t="s">
        <v>650</v>
      </c>
      <c r="I399" s="30"/>
      <c r="J399" s="212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94"/>
      <c r="V399" s="158"/>
      <c r="W399" s="158"/>
      <c r="X399" s="158"/>
      <c r="Y399" s="158"/>
      <c r="Z399" s="94"/>
      <c r="AA399" s="158"/>
      <c r="AB399" s="158"/>
      <c r="AC399" s="158"/>
      <c r="AD399" s="158"/>
      <c r="AE399" s="158"/>
      <c r="AF399" s="158"/>
      <c r="AG399" s="158"/>
      <c r="AH399" s="158"/>
      <c r="AI399" s="158"/>
      <c r="AJ399" s="158"/>
      <c r="AK399" s="158"/>
      <c r="AL399" s="158"/>
      <c r="AM399" s="158"/>
      <c r="AN399" s="158"/>
      <c r="AO399" s="158"/>
      <c r="AP399" s="158"/>
      <c r="AQ399" s="158"/>
      <c r="AR399" s="158"/>
      <c r="AS399" s="158"/>
      <c r="AT399" s="2">
        <v>1</v>
      </c>
      <c r="AU399" s="58" t="s">
        <v>646</v>
      </c>
      <c r="AV399" s="58" t="s">
        <v>643</v>
      </c>
      <c r="AW399" s="158"/>
      <c r="AX399" s="11">
        <v>64</v>
      </c>
      <c r="AY399" s="158"/>
      <c r="AZ399" s="158"/>
      <c r="BA399" s="158"/>
      <c r="BB399" s="158"/>
      <c r="BC399" s="69"/>
      <c r="BD399" s="69"/>
      <c r="BE399" s="69"/>
      <c r="BF399" s="271">
        <v>2017</v>
      </c>
      <c r="BG399" s="271"/>
      <c r="BH399" s="271"/>
      <c r="BI399" s="271" t="s">
        <v>2376</v>
      </c>
    </row>
    <row r="400" spans="1:61" s="204" customFormat="1" ht="18" customHeight="1">
      <c r="A400" s="160" t="s">
        <v>509</v>
      </c>
      <c r="B400" s="58" t="s">
        <v>540</v>
      </c>
      <c r="C400" s="148" t="s">
        <v>671</v>
      </c>
      <c r="D400" s="33" t="s">
        <v>672</v>
      </c>
      <c r="E400" s="33"/>
      <c r="F400" s="33"/>
      <c r="G400" s="33"/>
      <c r="H400" s="30" t="s">
        <v>650</v>
      </c>
      <c r="I400" s="30">
        <v>2922</v>
      </c>
      <c r="J400" s="212">
        <v>42727</v>
      </c>
      <c r="K400" s="158"/>
      <c r="L400" s="158">
        <v>3</v>
      </c>
      <c r="M400" s="158"/>
      <c r="N400" s="158"/>
      <c r="O400" s="158"/>
      <c r="P400" s="158"/>
      <c r="Q400" s="158"/>
      <c r="R400" s="158"/>
      <c r="S400" s="158"/>
      <c r="T400" s="158"/>
      <c r="U400" s="94"/>
      <c r="V400" s="158"/>
      <c r="W400" s="158"/>
      <c r="X400" s="158"/>
      <c r="Y400" s="158"/>
      <c r="Z400" s="94">
        <v>113406679</v>
      </c>
      <c r="AA400" s="158">
        <v>10</v>
      </c>
      <c r="AB400" s="311">
        <v>43405</v>
      </c>
      <c r="AC400" s="158"/>
      <c r="AD400" s="158"/>
      <c r="AE400" s="158"/>
      <c r="AF400" s="158">
        <f>P400-U400-Z400</f>
        <v>-113406679</v>
      </c>
      <c r="AG400" s="158"/>
      <c r="AH400" s="94">
        <v>0</v>
      </c>
      <c r="AI400" s="94">
        <v>0</v>
      </c>
      <c r="AJ400" s="94"/>
      <c r="AK400" s="158">
        <f t="shared" ref="AK400" si="109">AF400+AH400</f>
        <v>-113406679</v>
      </c>
      <c r="AL400" s="158"/>
      <c r="AM400" s="158"/>
      <c r="AN400" s="158"/>
      <c r="AO400" s="158"/>
      <c r="AP400" s="158"/>
      <c r="AQ400" s="158"/>
      <c r="AR400" s="158"/>
      <c r="AS400" s="158"/>
      <c r="AT400" s="2">
        <v>1</v>
      </c>
      <c r="AU400" s="58" t="s">
        <v>646</v>
      </c>
      <c r="AV400" s="104" t="s">
        <v>1103</v>
      </c>
      <c r="AW400" s="158"/>
      <c r="AX400" s="158"/>
      <c r="AY400" s="158"/>
      <c r="AZ400" s="158">
        <v>3</v>
      </c>
      <c r="BA400" s="158"/>
      <c r="BB400" s="158"/>
      <c r="BC400" s="69"/>
      <c r="BD400" s="69">
        <f>+AZ400</f>
        <v>3</v>
      </c>
      <c r="BE400" s="69"/>
      <c r="BF400" s="271">
        <v>2019</v>
      </c>
      <c r="BG400" s="271">
        <v>2019</v>
      </c>
      <c r="BH400" s="271"/>
      <c r="BI400" s="271" t="s">
        <v>2375</v>
      </c>
    </row>
    <row r="401" spans="1:61" s="204" customFormat="1" ht="15" customHeight="1">
      <c r="A401" s="160" t="s">
        <v>509</v>
      </c>
      <c r="B401" s="58" t="s">
        <v>173</v>
      </c>
      <c r="C401" s="148" t="s">
        <v>541</v>
      </c>
      <c r="D401" s="33" t="s">
        <v>30</v>
      </c>
      <c r="E401" s="33"/>
      <c r="F401" s="33"/>
      <c r="G401" s="33"/>
      <c r="H401" s="30" t="s">
        <v>650</v>
      </c>
      <c r="I401" s="30"/>
      <c r="J401" s="212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94"/>
      <c r="V401" s="158"/>
      <c r="W401" s="158"/>
      <c r="X401" s="158"/>
      <c r="Y401" s="158"/>
      <c r="Z401" s="94"/>
      <c r="AA401" s="158"/>
      <c r="AB401" s="158"/>
      <c r="AC401" s="158"/>
      <c r="AD401" s="158"/>
      <c r="AE401" s="158"/>
      <c r="AF401" s="158"/>
      <c r="AG401" s="158"/>
      <c r="AH401" s="158"/>
      <c r="AI401" s="158"/>
      <c r="AJ401" s="158"/>
      <c r="AK401" s="158"/>
      <c r="AL401" s="158"/>
      <c r="AM401" s="158"/>
      <c r="AN401" s="158"/>
      <c r="AO401" s="158"/>
      <c r="AP401" s="158"/>
      <c r="AQ401" s="158"/>
      <c r="AR401" s="158"/>
      <c r="AS401" s="158"/>
      <c r="AT401" s="2">
        <v>1</v>
      </c>
      <c r="AU401" s="58" t="s">
        <v>646</v>
      </c>
      <c r="AV401" s="106"/>
      <c r="AW401" s="158"/>
      <c r="AX401" s="158">
        <v>8</v>
      </c>
      <c r="AY401" s="158"/>
      <c r="AZ401" s="158"/>
      <c r="BA401" s="158"/>
      <c r="BB401" s="158"/>
      <c r="BC401" s="69"/>
      <c r="BD401" s="69"/>
      <c r="BE401" s="69"/>
      <c r="BF401" s="271">
        <v>2017</v>
      </c>
      <c r="BG401" s="271"/>
      <c r="BH401" s="271"/>
      <c r="BI401" s="271" t="s">
        <v>2376</v>
      </c>
    </row>
    <row r="402" spans="1:61" s="204" customFormat="1" ht="15" customHeight="1">
      <c r="A402" s="160" t="s">
        <v>509</v>
      </c>
      <c r="B402" s="58" t="s">
        <v>173</v>
      </c>
      <c r="C402" s="148" t="s">
        <v>542</v>
      </c>
      <c r="D402" s="33" t="s">
        <v>30</v>
      </c>
      <c r="E402" s="33"/>
      <c r="F402" s="33"/>
      <c r="G402" s="33"/>
      <c r="H402" s="30" t="s">
        <v>650</v>
      </c>
      <c r="I402" s="30"/>
      <c r="J402" s="212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94"/>
      <c r="V402" s="158"/>
      <c r="W402" s="158"/>
      <c r="X402" s="158"/>
      <c r="Y402" s="158"/>
      <c r="Z402" s="94"/>
      <c r="AA402" s="158"/>
      <c r="AB402" s="158"/>
      <c r="AC402" s="158"/>
      <c r="AD402" s="158"/>
      <c r="AE402" s="158"/>
      <c r="AF402" s="158"/>
      <c r="AG402" s="158"/>
      <c r="AH402" s="158"/>
      <c r="AI402" s="158"/>
      <c r="AJ402" s="158"/>
      <c r="AK402" s="158"/>
      <c r="AL402" s="158"/>
      <c r="AM402" s="158"/>
      <c r="AN402" s="158"/>
      <c r="AO402" s="158"/>
      <c r="AP402" s="158"/>
      <c r="AQ402" s="158"/>
      <c r="AR402" s="158"/>
      <c r="AS402" s="158"/>
      <c r="AT402" s="2">
        <v>1</v>
      </c>
      <c r="AU402" s="58" t="s">
        <v>646</v>
      </c>
      <c r="AV402" s="106"/>
      <c r="AW402" s="158"/>
      <c r="AX402" s="158">
        <v>8</v>
      </c>
      <c r="AY402" s="158"/>
      <c r="AZ402" s="158"/>
      <c r="BA402" s="158"/>
      <c r="BB402" s="158"/>
      <c r="BC402" s="69"/>
      <c r="BD402" s="69"/>
      <c r="BE402" s="69"/>
      <c r="BF402" s="271">
        <v>2017</v>
      </c>
      <c r="BG402" s="271"/>
      <c r="BH402" s="271"/>
      <c r="BI402" s="271" t="s">
        <v>2376</v>
      </c>
    </row>
    <row r="403" spans="1:61" s="204" customFormat="1" ht="24.75" customHeight="1">
      <c r="A403" s="230" t="s">
        <v>509</v>
      </c>
      <c r="B403" s="58" t="s">
        <v>185</v>
      </c>
      <c r="C403" s="148" t="s">
        <v>1344</v>
      </c>
      <c r="D403" s="33" t="s">
        <v>119</v>
      </c>
      <c r="E403" s="33"/>
      <c r="F403" s="33"/>
      <c r="G403" s="33"/>
      <c r="H403" s="30" t="s">
        <v>630</v>
      </c>
      <c r="I403" s="228" t="s">
        <v>1671</v>
      </c>
      <c r="J403" s="215" t="s">
        <v>1672</v>
      </c>
      <c r="K403" s="158"/>
      <c r="L403" s="158"/>
      <c r="M403" s="158"/>
      <c r="N403" s="158"/>
      <c r="O403" s="158"/>
      <c r="P403" s="158">
        <v>3732424728</v>
      </c>
      <c r="Q403" s="158">
        <f t="shared" ref="Q403" si="110">P403/AY403</f>
        <v>61187290.622950822</v>
      </c>
      <c r="R403" s="158"/>
      <c r="S403" s="158"/>
      <c r="T403" s="158"/>
      <c r="U403" s="94"/>
      <c r="V403" s="158"/>
      <c r="W403" s="158"/>
      <c r="X403" s="158"/>
      <c r="Y403" s="158"/>
      <c r="Z403" s="94"/>
      <c r="AA403" s="158"/>
      <c r="AB403" s="5"/>
      <c r="AC403" s="5"/>
      <c r="AD403" s="5"/>
      <c r="AE403" s="158"/>
      <c r="AF403" s="158"/>
      <c r="AG403" s="158"/>
      <c r="AH403" s="158"/>
      <c r="AI403" s="158"/>
      <c r="AJ403" s="158"/>
      <c r="AK403" s="158"/>
      <c r="AL403" s="158"/>
      <c r="AM403" s="158"/>
      <c r="AN403" s="158"/>
      <c r="AO403" s="158"/>
      <c r="AP403" s="158"/>
      <c r="AQ403" s="158"/>
      <c r="AR403" s="158"/>
      <c r="AS403" s="158"/>
      <c r="AT403" s="2">
        <v>1</v>
      </c>
      <c r="AU403" s="58" t="s">
        <v>646</v>
      </c>
      <c r="AV403" s="106"/>
      <c r="AW403" s="158"/>
      <c r="AX403" s="158"/>
      <c r="AY403" s="72">
        <v>61</v>
      </c>
      <c r="AZ403" s="158"/>
      <c r="BA403" s="158"/>
      <c r="BB403" s="158">
        <v>61</v>
      </c>
      <c r="BC403" s="69"/>
      <c r="BD403" s="69"/>
      <c r="BE403" s="69"/>
      <c r="BF403" s="271">
        <v>2018</v>
      </c>
      <c r="BG403" s="271"/>
      <c r="BH403" s="271"/>
      <c r="BI403" s="271" t="s">
        <v>2376</v>
      </c>
    </row>
    <row r="404" spans="1:61" s="204" customFormat="1" ht="26.25" customHeight="1">
      <c r="A404" s="160" t="s">
        <v>509</v>
      </c>
      <c r="B404" s="58" t="s">
        <v>185</v>
      </c>
      <c r="C404" s="148" t="s">
        <v>1344</v>
      </c>
      <c r="D404" s="33" t="s">
        <v>119</v>
      </c>
      <c r="E404" s="33"/>
      <c r="F404" s="33"/>
      <c r="G404" s="33"/>
      <c r="H404" s="30" t="s">
        <v>630</v>
      </c>
      <c r="I404" s="228" t="s">
        <v>1671</v>
      </c>
      <c r="J404" s="215" t="s">
        <v>1672</v>
      </c>
      <c r="K404" s="158"/>
      <c r="L404" s="158"/>
      <c r="M404" s="158">
        <v>1</v>
      </c>
      <c r="N404" s="158"/>
      <c r="O404" s="158"/>
      <c r="P404" s="158">
        <v>61187291</v>
      </c>
      <c r="Q404" s="158">
        <f>P404/BE404</f>
        <v>61187291</v>
      </c>
      <c r="R404" s="158"/>
      <c r="S404" s="158"/>
      <c r="T404" s="158"/>
      <c r="U404" s="94"/>
      <c r="V404" s="158"/>
      <c r="W404" s="158"/>
      <c r="X404" s="158"/>
      <c r="Y404" s="158"/>
      <c r="Z404" s="94"/>
      <c r="AA404" s="69"/>
      <c r="AB404" s="69"/>
      <c r="AC404" s="69"/>
      <c r="AD404" s="69">
        <v>61187291</v>
      </c>
      <c r="AE404" s="158"/>
      <c r="AF404" s="158">
        <f>P404-U404-Z404-AD404</f>
        <v>0</v>
      </c>
      <c r="AG404" s="158"/>
      <c r="AH404" s="94">
        <v>0</v>
      </c>
      <c r="AI404" s="94">
        <v>0</v>
      </c>
      <c r="AJ404" s="94"/>
      <c r="AK404" s="158">
        <f t="shared" ref="AK404" si="111">AF404+AH404</f>
        <v>0</v>
      </c>
      <c r="AL404" s="158">
        <v>877</v>
      </c>
      <c r="AM404" s="158">
        <v>10</v>
      </c>
      <c r="AN404" s="158"/>
      <c r="AO404" s="158"/>
      <c r="AP404" s="158"/>
      <c r="AQ404" s="158"/>
      <c r="AR404" s="158"/>
      <c r="AS404" s="158"/>
      <c r="AT404" s="2">
        <v>0</v>
      </c>
      <c r="AU404" s="58" t="s">
        <v>687</v>
      </c>
      <c r="AV404" s="718" t="s">
        <v>1454</v>
      </c>
      <c r="AW404" s="158"/>
      <c r="AX404" s="158"/>
      <c r="AY404" s="158"/>
      <c r="AZ404" s="158"/>
      <c r="BA404" s="158"/>
      <c r="BB404" s="158"/>
      <c r="BC404" s="69"/>
      <c r="BD404" s="69"/>
      <c r="BE404" s="69">
        <v>1</v>
      </c>
      <c r="BF404" s="271" t="s">
        <v>1706</v>
      </c>
      <c r="BG404" s="271">
        <v>2019</v>
      </c>
      <c r="BH404" s="271"/>
      <c r="BI404" s="271" t="s">
        <v>2375</v>
      </c>
    </row>
    <row r="405" spans="1:61" s="204" customFormat="1" ht="18" customHeight="1">
      <c r="A405" s="243" t="s">
        <v>509</v>
      </c>
      <c r="B405" s="58" t="s">
        <v>515</v>
      </c>
      <c r="C405" s="148" t="s">
        <v>992</v>
      </c>
      <c r="D405" s="33" t="s">
        <v>765</v>
      </c>
      <c r="E405" s="33"/>
      <c r="F405" s="33"/>
      <c r="G405" s="33"/>
      <c r="H405" s="30" t="s">
        <v>630</v>
      </c>
      <c r="I405" s="30">
        <v>1356</v>
      </c>
      <c r="J405" s="212">
        <v>42921</v>
      </c>
      <c r="K405" s="51"/>
      <c r="L405" s="51"/>
      <c r="M405" s="81">
        <v>33</v>
      </c>
      <c r="N405" s="81">
        <v>33</v>
      </c>
      <c r="O405" s="81"/>
      <c r="P405" s="158">
        <v>2020055246</v>
      </c>
      <c r="Q405" s="158">
        <f>P405/BD405</f>
        <v>61213795.333333336</v>
      </c>
      <c r="R405" s="158"/>
      <c r="S405" s="158"/>
      <c r="T405" s="51"/>
      <c r="U405" s="94">
        <v>908816574</v>
      </c>
      <c r="V405" s="51">
        <v>20</v>
      </c>
      <c r="W405" s="51"/>
      <c r="X405" s="51"/>
      <c r="Y405" s="51"/>
      <c r="Z405" s="158">
        <v>1111238672</v>
      </c>
      <c r="AA405" s="51"/>
      <c r="AB405" s="280"/>
      <c r="AC405" s="280"/>
      <c r="AD405" s="280"/>
      <c r="AE405" s="158"/>
      <c r="AF405" s="158">
        <f>P405-U405-Z405</f>
        <v>0</v>
      </c>
      <c r="AG405" s="158"/>
      <c r="AH405" s="94">
        <v>0</v>
      </c>
      <c r="AI405" s="94">
        <v>0</v>
      </c>
      <c r="AJ405" s="94"/>
      <c r="AK405" s="158">
        <f t="shared" ref="AK405:AK406" si="112">P405-R405-U405-Z405</f>
        <v>0</v>
      </c>
      <c r="AL405" s="158"/>
      <c r="AM405" s="158"/>
      <c r="AN405" s="158"/>
      <c r="AO405" s="158"/>
      <c r="AP405" s="81">
        <v>33</v>
      </c>
      <c r="AQ405" s="81"/>
      <c r="AR405" s="81"/>
      <c r="AS405" s="81"/>
      <c r="AT405" s="98">
        <v>1</v>
      </c>
      <c r="AU405" s="58" t="s">
        <v>646</v>
      </c>
      <c r="AV405" s="104"/>
      <c r="AW405" s="51"/>
      <c r="AX405" s="51"/>
      <c r="AY405" s="51"/>
      <c r="AZ405" s="51"/>
      <c r="BA405" s="51">
        <v>33</v>
      </c>
      <c r="BB405" s="51"/>
      <c r="BC405" s="71"/>
      <c r="BD405" s="71">
        <v>33</v>
      </c>
      <c r="BE405" s="71"/>
      <c r="BF405" s="271">
        <v>2020</v>
      </c>
      <c r="BG405" s="271">
        <v>2019</v>
      </c>
      <c r="BH405" s="271">
        <v>2020</v>
      </c>
      <c r="BI405" s="271" t="s">
        <v>2375</v>
      </c>
    </row>
    <row r="406" spans="1:61" s="204" customFormat="1" ht="18" customHeight="1">
      <c r="A406" s="160" t="s">
        <v>509</v>
      </c>
      <c r="B406" s="58" t="s">
        <v>515</v>
      </c>
      <c r="C406" s="148" t="s">
        <v>992</v>
      </c>
      <c r="D406" s="33" t="s">
        <v>765</v>
      </c>
      <c r="E406" s="33"/>
      <c r="F406" s="33"/>
      <c r="G406" s="33"/>
      <c r="H406" s="30" t="s">
        <v>630</v>
      </c>
      <c r="I406" s="228" t="s">
        <v>1499</v>
      </c>
      <c r="J406" s="215" t="s">
        <v>1498</v>
      </c>
      <c r="K406" s="51"/>
      <c r="L406" s="51"/>
      <c r="M406" s="81">
        <v>1</v>
      </c>
      <c r="N406" s="81">
        <v>1</v>
      </c>
      <c r="O406" s="81"/>
      <c r="P406" s="158">
        <v>61213795</v>
      </c>
      <c r="Q406" s="158">
        <f>P406/BD406</f>
        <v>61213795</v>
      </c>
      <c r="R406" s="158"/>
      <c r="S406" s="158"/>
      <c r="T406" s="158"/>
      <c r="U406" s="94">
        <v>27545337</v>
      </c>
      <c r="V406" s="51">
        <v>10</v>
      </c>
      <c r="W406" s="311">
        <v>43435</v>
      </c>
      <c r="X406" s="51"/>
      <c r="Y406" s="51"/>
      <c r="Z406" s="94"/>
      <c r="AA406" s="71"/>
      <c r="AB406" s="71"/>
      <c r="AC406" s="71"/>
      <c r="AD406" s="71"/>
      <c r="AE406" s="158"/>
      <c r="AF406" s="158">
        <f>P406-U406-Z406</f>
        <v>33668458</v>
      </c>
      <c r="AG406" s="158"/>
      <c r="AH406" s="94">
        <v>0</v>
      </c>
      <c r="AI406" s="94">
        <v>33668458</v>
      </c>
      <c r="AJ406" s="94"/>
      <c r="AK406" s="666">
        <f t="shared" si="112"/>
        <v>33668458</v>
      </c>
      <c r="AL406" s="666">
        <v>877</v>
      </c>
      <c r="AM406" s="666">
        <v>20</v>
      </c>
      <c r="AN406" s="158"/>
      <c r="AO406" s="158"/>
      <c r="AP406" s="158">
        <v>1</v>
      </c>
      <c r="AQ406" s="158"/>
      <c r="AR406" s="158"/>
      <c r="AS406" s="158"/>
      <c r="AT406" s="98">
        <v>1</v>
      </c>
      <c r="AU406" s="58" t="s">
        <v>646</v>
      </c>
      <c r="AV406" s="104"/>
      <c r="AW406" s="51"/>
      <c r="AX406" s="158"/>
      <c r="AY406" s="158"/>
      <c r="AZ406" s="158"/>
      <c r="BA406" s="158">
        <v>1</v>
      </c>
      <c r="BB406" s="158"/>
      <c r="BC406" s="69"/>
      <c r="BD406" s="69">
        <v>1</v>
      </c>
      <c r="BE406" s="69"/>
      <c r="BF406" s="271">
        <v>2020</v>
      </c>
      <c r="BG406" s="271">
        <v>2019</v>
      </c>
      <c r="BH406" s="430">
        <v>2020</v>
      </c>
      <c r="BI406" s="271" t="s">
        <v>2375</v>
      </c>
    </row>
    <row r="407" spans="1:61" s="204" customFormat="1" ht="18" customHeight="1">
      <c r="A407" s="243" t="s">
        <v>509</v>
      </c>
      <c r="B407" s="58" t="s">
        <v>185</v>
      </c>
      <c r="C407" s="148" t="s">
        <v>766</v>
      </c>
      <c r="D407" s="33" t="s">
        <v>767</v>
      </c>
      <c r="E407" s="33"/>
      <c r="F407" s="33"/>
      <c r="G407" s="33"/>
      <c r="H407" s="30" t="s">
        <v>715</v>
      </c>
      <c r="I407" s="30">
        <v>2040</v>
      </c>
      <c r="J407" s="212">
        <v>43001</v>
      </c>
      <c r="K407" s="51"/>
      <c r="L407" s="51">
        <v>51</v>
      </c>
      <c r="M407" s="81"/>
      <c r="N407" s="81"/>
      <c r="O407" s="81"/>
      <c r="P407" s="51"/>
      <c r="Q407" s="51"/>
      <c r="R407" s="158"/>
      <c r="S407" s="158"/>
      <c r="T407" s="51"/>
      <c r="U407" s="94"/>
      <c r="V407" s="51"/>
      <c r="W407" s="51"/>
      <c r="X407" s="51"/>
      <c r="Y407" s="51"/>
      <c r="Z407" s="94"/>
      <c r="AA407" s="51"/>
      <c r="AB407" s="280"/>
      <c r="AC407" s="280"/>
      <c r="AD407" s="280"/>
      <c r="AE407" s="158"/>
      <c r="AF407" s="158">
        <f>P407-U407-Z407</f>
        <v>0</v>
      </c>
      <c r="AG407" s="158"/>
      <c r="AH407" s="94">
        <v>0</v>
      </c>
      <c r="AI407" s="94">
        <v>0</v>
      </c>
      <c r="AJ407" s="94"/>
      <c r="AK407" s="158">
        <f t="shared" ref="AK407:AK410" si="113">AF407+AH407</f>
        <v>0</v>
      </c>
      <c r="AL407" s="158"/>
      <c r="AM407" s="158"/>
      <c r="AN407" s="158"/>
      <c r="AO407" s="158"/>
      <c r="AP407" s="81"/>
      <c r="AQ407" s="81"/>
      <c r="AR407" s="81"/>
      <c r="AS407" s="81"/>
      <c r="AT407" s="2">
        <v>1</v>
      </c>
      <c r="AU407" s="58" t="s">
        <v>646</v>
      </c>
      <c r="AV407" s="104"/>
      <c r="AW407" s="51"/>
      <c r="AX407" s="54"/>
      <c r="AY407" s="54"/>
      <c r="AZ407" s="81">
        <v>51</v>
      </c>
      <c r="BA407" s="81"/>
      <c r="BB407" s="158"/>
      <c r="BC407" s="69"/>
      <c r="BD407" s="69">
        <f>+AZ407</f>
        <v>51</v>
      </c>
      <c r="BE407" s="69"/>
      <c r="BF407" s="271">
        <v>2019</v>
      </c>
      <c r="BG407" s="271">
        <v>2019</v>
      </c>
      <c r="BH407" s="271"/>
      <c r="BI407" s="271" t="s">
        <v>2375</v>
      </c>
    </row>
    <row r="408" spans="1:61" s="204" customFormat="1" ht="18" customHeight="1">
      <c r="A408" s="160" t="s">
        <v>509</v>
      </c>
      <c r="B408" s="58" t="s">
        <v>185</v>
      </c>
      <c r="C408" s="148" t="s">
        <v>766</v>
      </c>
      <c r="D408" s="33" t="s">
        <v>767</v>
      </c>
      <c r="E408" s="33"/>
      <c r="F408" s="33"/>
      <c r="G408" s="33"/>
      <c r="H408" s="30" t="s">
        <v>715</v>
      </c>
      <c r="I408" s="228" t="s">
        <v>1501</v>
      </c>
      <c r="J408" s="215" t="s">
        <v>1500</v>
      </c>
      <c r="K408" s="51"/>
      <c r="L408" s="51">
        <v>1</v>
      </c>
      <c r="M408" s="81"/>
      <c r="N408" s="81">
        <v>0</v>
      </c>
      <c r="O408" s="81"/>
      <c r="P408" s="158">
        <v>69623658</v>
      </c>
      <c r="Q408" s="158"/>
      <c r="R408" s="158"/>
      <c r="S408" s="158"/>
      <c r="T408" s="158"/>
      <c r="U408" s="94"/>
      <c r="V408" s="51"/>
      <c r="W408" s="51"/>
      <c r="X408" s="51"/>
      <c r="Y408" s="51"/>
      <c r="Z408" s="94"/>
      <c r="AA408" s="71"/>
      <c r="AB408" s="71"/>
      <c r="AC408" s="71"/>
      <c r="AD408" s="71"/>
      <c r="AE408" s="158"/>
      <c r="AF408" s="158">
        <f>P408-U408-Z408</f>
        <v>69623658</v>
      </c>
      <c r="AG408" s="158"/>
      <c r="AH408" s="94">
        <v>0</v>
      </c>
      <c r="AI408" s="94">
        <v>69623658</v>
      </c>
      <c r="AJ408" s="94"/>
      <c r="AK408" s="666">
        <f t="shared" ref="AK408" si="114">P408-R408-U408-Z408</f>
        <v>69623658</v>
      </c>
      <c r="AL408" s="666">
        <v>877</v>
      </c>
      <c r="AM408" s="666">
        <v>20</v>
      </c>
      <c r="AN408" s="158"/>
      <c r="AO408" s="158"/>
      <c r="AP408" s="81"/>
      <c r="AQ408" s="81"/>
      <c r="AR408" s="81"/>
      <c r="AS408" s="81"/>
      <c r="AT408" s="2">
        <v>1</v>
      </c>
      <c r="AU408" s="58" t="s">
        <v>646</v>
      </c>
      <c r="AV408" s="104"/>
      <c r="AW408" s="51"/>
      <c r="AX408" s="81"/>
      <c r="AY408" s="81"/>
      <c r="AZ408" s="81">
        <v>1</v>
      </c>
      <c r="BA408" s="81"/>
      <c r="BB408" s="158"/>
      <c r="BC408" s="69"/>
      <c r="BD408" s="69">
        <f>+AZ408</f>
        <v>1</v>
      </c>
      <c r="BE408" s="69"/>
      <c r="BF408" s="271">
        <v>2019</v>
      </c>
      <c r="BG408" s="271">
        <v>2019</v>
      </c>
      <c r="BH408" s="271" t="s">
        <v>2194</v>
      </c>
      <c r="BI408" s="271" t="s">
        <v>2375</v>
      </c>
    </row>
    <row r="409" spans="1:61" s="204" customFormat="1" ht="18" customHeight="1">
      <c r="A409" s="248" t="s">
        <v>509</v>
      </c>
      <c r="B409" s="58" t="s">
        <v>173</v>
      </c>
      <c r="C409" s="148" t="s">
        <v>768</v>
      </c>
      <c r="D409" s="33" t="s">
        <v>769</v>
      </c>
      <c r="E409" s="33"/>
      <c r="F409" s="33"/>
      <c r="G409" s="33"/>
      <c r="H409" s="30" t="s">
        <v>715</v>
      </c>
      <c r="I409" s="228" t="s">
        <v>1542</v>
      </c>
      <c r="J409" s="215" t="s">
        <v>1541</v>
      </c>
      <c r="K409" s="51"/>
      <c r="L409" s="51">
        <v>95</v>
      </c>
      <c r="M409" s="81"/>
      <c r="N409" s="81"/>
      <c r="O409" s="81"/>
      <c r="P409" s="158">
        <f>7391431342-365912442-73182490</f>
        <v>6952336410</v>
      </c>
      <c r="Q409" s="158"/>
      <c r="R409" s="158"/>
      <c r="S409" s="158"/>
      <c r="T409" s="51"/>
      <c r="U409" s="94">
        <f>2989193550-61632858+61632858</f>
        <v>2989193550</v>
      </c>
      <c r="V409" s="51">
        <v>20</v>
      </c>
      <c r="W409" s="51"/>
      <c r="X409" s="51"/>
      <c r="Y409" s="51"/>
      <c r="Z409" s="158">
        <f>4024775718-61632858</f>
        <v>3963142860</v>
      </c>
      <c r="AA409" s="51">
        <v>20</v>
      </c>
      <c r="AB409" s="53"/>
      <c r="AC409" s="53"/>
      <c r="AD409" s="53"/>
      <c r="AE409" s="158"/>
      <c r="AF409" s="158">
        <f>P409-U409-Z409</f>
        <v>0</v>
      </c>
      <c r="AG409" s="158"/>
      <c r="AH409" s="94">
        <v>0</v>
      </c>
      <c r="AI409" s="94">
        <v>0</v>
      </c>
      <c r="AJ409" s="94"/>
      <c r="AK409" s="158">
        <f t="shared" si="113"/>
        <v>0</v>
      </c>
      <c r="AL409" s="158"/>
      <c r="AM409" s="158"/>
      <c r="AN409" s="158"/>
      <c r="AO409" s="158"/>
      <c r="AP409" s="81"/>
      <c r="AQ409" s="81"/>
      <c r="AR409" s="81"/>
      <c r="AS409" s="81"/>
      <c r="AT409" s="2">
        <v>1</v>
      </c>
      <c r="AU409" s="58" t="s">
        <v>646</v>
      </c>
      <c r="AV409" s="104"/>
      <c r="AW409" s="51"/>
      <c r="AX409" s="51"/>
      <c r="AY409" s="81"/>
      <c r="AZ409" s="81">
        <v>95</v>
      </c>
      <c r="BA409" s="81"/>
      <c r="BB409" s="158"/>
      <c r="BC409" s="69"/>
      <c r="BD409" s="69">
        <v>95</v>
      </c>
      <c r="BE409" s="69"/>
      <c r="BF409" s="271">
        <v>2019</v>
      </c>
      <c r="BG409" s="271">
        <v>2019</v>
      </c>
      <c r="BH409" s="444"/>
      <c r="BI409" s="271" t="s">
        <v>2375</v>
      </c>
    </row>
    <row r="410" spans="1:61" s="204" customFormat="1" ht="18" customHeight="1">
      <c r="A410" s="230" t="s">
        <v>509</v>
      </c>
      <c r="B410" s="58" t="s">
        <v>173</v>
      </c>
      <c r="C410" s="148" t="s">
        <v>768</v>
      </c>
      <c r="D410" s="33" t="s">
        <v>769</v>
      </c>
      <c r="E410" s="33"/>
      <c r="F410" s="33"/>
      <c r="G410" s="33"/>
      <c r="H410" s="30" t="s">
        <v>715</v>
      </c>
      <c r="I410" s="30">
        <v>2663</v>
      </c>
      <c r="J410" s="212">
        <v>43060</v>
      </c>
      <c r="K410" s="51"/>
      <c r="L410" s="51"/>
      <c r="M410" s="51">
        <v>2</v>
      </c>
      <c r="N410" s="51"/>
      <c r="O410" s="51"/>
      <c r="P410" s="158">
        <v>146364976</v>
      </c>
      <c r="Q410" s="158"/>
      <c r="R410" s="158"/>
      <c r="S410" s="158"/>
      <c r="T410" s="51"/>
      <c r="U410" s="94">
        <f>61632858-61632858</f>
        <v>0</v>
      </c>
      <c r="V410" s="51"/>
      <c r="W410" s="51"/>
      <c r="X410" s="51"/>
      <c r="Y410" s="51"/>
      <c r="Z410" s="158"/>
      <c r="AA410" s="51"/>
      <c r="AB410" s="71"/>
      <c r="AC410" s="71"/>
      <c r="AD410" s="69">
        <v>146364976</v>
      </c>
      <c r="AE410" s="158"/>
      <c r="AF410" s="158">
        <f>P410-U410-Z410-AD410</f>
        <v>0</v>
      </c>
      <c r="AG410" s="158"/>
      <c r="AH410" s="94">
        <v>0</v>
      </c>
      <c r="AI410" s="94">
        <v>0</v>
      </c>
      <c r="AJ410" s="94"/>
      <c r="AK410" s="158">
        <f t="shared" si="113"/>
        <v>0</v>
      </c>
      <c r="AL410" s="158">
        <v>877</v>
      </c>
      <c r="AM410" s="158">
        <v>20</v>
      </c>
      <c r="AN410" s="158"/>
      <c r="AO410" s="158"/>
      <c r="AP410" s="81"/>
      <c r="AQ410" s="81"/>
      <c r="AR410" s="81"/>
      <c r="AS410" s="81"/>
      <c r="AT410" s="98">
        <v>0</v>
      </c>
      <c r="AU410" s="58" t="s">
        <v>687</v>
      </c>
      <c r="AV410" s="387" t="s">
        <v>1376</v>
      </c>
      <c r="AW410" s="51"/>
      <c r="AX410" s="51"/>
      <c r="AY410" s="81"/>
      <c r="AZ410" s="81"/>
      <c r="BA410" s="81"/>
      <c r="BB410" s="158"/>
      <c r="BC410" s="69"/>
      <c r="BD410" s="69"/>
      <c r="BE410" s="69">
        <v>2</v>
      </c>
      <c r="BF410" s="271" t="s">
        <v>1706</v>
      </c>
      <c r="BG410" s="271">
        <v>2019</v>
      </c>
      <c r="BH410" s="271"/>
      <c r="BI410" s="271" t="s">
        <v>2375</v>
      </c>
    </row>
    <row r="411" spans="1:61" s="204" customFormat="1" ht="23.25" customHeight="1">
      <c r="A411" s="160" t="s">
        <v>509</v>
      </c>
      <c r="B411" s="58" t="s">
        <v>173</v>
      </c>
      <c r="C411" s="148" t="s">
        <v>768</v>
      </c>
      <c r="D411" s="33" t="s">
        <v>769</v>
      </c>
      <c r="E411" s="33"/>
      <c r="F411" s="33"/>
      <c r="G411" s="33"/>
      <c r="H411" s="30" t="s">
        <v>715</v>
      </c>
      <c r="I411" s="78">
        <v>2663</v>
      </c>
      <c r="J411" s="212">
        <v>43060</v>
      </c>
      <c r="K411" s="51"/>
      <c r="L411" s="51"/>
      <c r="M411" s="51">
        <v>3</v>
      </c>
      <c r="N411" s="51"/>
      <c r="O411" s="51">
        <v>3</v>
      </c>
      <c r="P411" s="158">
        <f>365912442-146364976</f>
        <v>219547466</v>
      </c>
      <c r="Q411" s="158"/>
      <c r="R411" s="158"/>
      <c r="S411" s="158"/>
      <c r="T411" s="158"/>
      <c r="U411" s="94">
        <f>92449285-92449285</f>
        <v>0</v>
      </c>
      <c r="V411" s="51">
        <v>10</v>
      </c>
      <c r="W411" s="311" t="s">
        <v>2380</v>
      </c>
      <c r="X411" s="51"/>
      <c r="Y411" s="51"/>
      <c r="Z411" s="158"/>
      <c r="AA411" s="71"/>
      <c r="AB411" s="71"/>
      <c r="AC411" s="71"/>
      <c r="AD411" s="71"/>
      <c r="AE411" s="158"/>
      <c r="AF411" s="158">
        <f>P411-U411-Z411</f>
        <v>219547466</v>
      </c>
      <c r="AG411" s="158"/>
      <c r="AH411" s="94">
        <v>0</v>
      </c>
      <c r="AI411" s="94">
        <v>219547466</v>
      </c>
      <c r="AJ411" s="94"/>
      <c r="AK411" s="602">
        <f t="shared" ref="AK411:AK412" si="115">P411-R411-U411-Z411</f>
        <v>219547466</v>
      </c>
      <c r="AL411" s="72">
        <v>877</v>
      </c>
      <c r="AM411" s="72">
        <v>10</v>
      </c>
      <c r="AN411" s="158">
        <v>3</v>
      </c>
      <c r="AO411" s="158"/>
      <c r="AP411" s="81"/>
      <c r="AQ411" s="81"/>
      <c r="AR411" s="81"/>
      <c r="AS411" s="81"/>
      <c r="AT411" s="2">
        <v>0</v>
      </c>
      <c r="AU411" s="58" t="s">
        <v>521</v>
      </c>
      <c r="AV411" s="719" t="s">
        <v>1502</v>
      </c>
      <c r="AW411" s="51"/>
      <c r="AX411" s="51"/>
      <c r="AY411" s="51"/>
      <c r="AZ411" s="51"/>
      <c r="BA411" s="51"/>
      <c r="BB411" s="51"/>
      <c r="BC411" s="71"/>
      <c r="BD411" s="71"/>
      <c r="BE411" s="71"/>
      <c r="BF411" s="271"/>
      <c r="BG411" s="271">
        <v>2019</v>
      </c>
      <c r="BH411" s="271">
        <v>2020</v>
      </c>
      <c r="BI411" s="271" t="s">
        <v>2375</v>
      </c>
    </row>
    <row r="412" spans="1:61" s="204" customFormat="1" ht="18" customHeight="1">
      <c r="A412" s="248" t="s">
        <v>509</v>
      </c>
      <c r="B412" s="58" t="s">
        <v>173</v>
      </c>
      <c r="C412" s="148" t="s">
        <v>768</v>
      </c>
      <c r="D412" s="33" t="s">
        <v>769</v>
      </c>
      <c r="E412" s="33"/>
      <c r="F412" s="33"/>
      <c r="G412" s="33"/>
      <c r="H412" s="30" t="s">
        <v>715</v>
      </c>
      <c r="I412" s="78">
        <v>2663</v>
      </c>
      <c r="J412" s="212">
        <v>43060</v>
      </c>
      <c r="K412" s="51"/>
      <c r="L412" s="51"/>
      <c r="M412" s="51">
        <v>1</v>
      </c>
      <c r="N412" s="51"/>
      <c r="O412" s="51">
        <v>1</v>
      </c>
      <c r="P412" s="158">
        <v>73182490</v>
      </c>
      <c r="Q412" s="158"/>
      <c r="R412" s="158"/>
      <c r="S412" s="158"/>
      <c r="T412" s="51"/>
      <c r="U412" s="94"/>
      <c r="V412" s="51"/>
      <c r="W412" s="51"/>
      <c r="X412" s="51"/>
      <c r="Y412" s="51"/>
      <c r="Z412" s="158"/>
      <c r="AA412" s="51"/>
      <c r="AB412" s="53"/>
      <c r="AC412" s="53"/>
      <c r="AD412" s="53"/>
      <c r="AE412" s="158"/>
      <c r="AF412" s="158">
        <f>P412-U412-Z412-73182490</f>
        <v>0</v>
      </c>
      <c r="AG412" s="158"/>
      <c r="AH412" s="158">
        <v>73182490</v>
      </c>
      <c r="AI412" s="158">
        <v>73182490</v>
      </c>
      <c r="AJ412" s="158"/>
      <c r="AK412" s="602">
        <f t="shared" si="115"/>
        <v>73182490</v>
      </c>
      <c r="AL412" s="72">
        <v>877</v>
      </c>
      <c r="AM412" s="72">
        <v>10</v>
      </c>
      <c r="AN412" s="158">
        <v>1</v>
      </c>
      <c r="AO412" s="158"/>
      <c r="AP412" s="81"/>
      <c r="AQ412" s="81"/>
      <c r="AR412" s="81"/>
      <c r="AS412" s="81"/>
      <c r="AT412" s="2">
        <v>0</v>
      </c>
      <c r="AU412" s="58" t="s">
        <v>521</v>
      </c>
      <c r="AV412" s="104" t="s">
        <v>1222</v>
      </c>
      <c r="AW412" s="51"/>
      <c r="AX412" s="51"/>
      <c r="AY412" s="51"/>
      <c r="AZ412" s="51"/>
      <c r="BA412" s="51"/>
      <c r="BB412" s="51"/>
      <c r="BC412" s="71"/>
      <c r="BD412" s="71"/>
      <c r="BE412" s="71"/>
      <c r="BF412" s="271"/>
      <c r="BG412" s="271">
        <v>2019</v>
      </c>
      <c r="BH412" s="271">
        <v>2020</v>
      </c>
      <c r="BI412" s="271" t="s">
        <v>2375</v>
      </c>
    </row>
    <row r="413" spans="1:61" s="204" customFormat="1" ht="18" customHeight="1">
      <c r="A413" s="160" t="s">
        <v>509</v>
      </c>
      <c r="B413" s="58" t="s">
        <v>515</v>
      </c>
      <c r="C413" s="148" t="s">
        <v>917</v>
      </c>
      <c r="D413" s="33" t="s">
        <v>730</v>
      </c>
      <c r="E413" s="33"/>
      <c r="F413" s="33"/>
      <c r="G413" s="33"/>
      <c r="H413" s="30" t="s">
        <v>731</v>
      </c>
      <c r="I413" s="30">
        <v>3125</v>
      </c>
      <c r="J413" s="212">
        <v>43098</v>
      </c>
      <c r="K413" s="158"/>
      <c r="L413" s="158">
        <v>33</v>
      </c>
      <c r="M413" s="51"/>
      <c r="N413" s="51"/>
      <c r="O413" s="51"/>
      <c r="P413" s="158">
        <f>2161610604-63576783</f>
        <v>2098033821</v>
      </c>
      <c r="Q413" s="158"/>
      <c r="R413" s="158"/>
      <c r="S413" s="158"/>
      <c r="T413" s="158"/>
      <c r="U413" s="94">
        <v>959515367</v>
      </c>
      <c r="V413" s="158">
        <v>30</v>
      </c>
      <c r="W413" s="158"/>
      <c r="X413" s="158"/>
      <c r="Y413" s="158"/>
      <c r="Z413" s="158">
        <v>1138518454</v>
      </c>
      <c r="AA413" s="158">
        <v>10</v>
      </c>
      <c r="AB413" s="311">
        <v>43313</v>
      </c>
      <c r="AC413" s="5"/>
      <c r="AD413" s="5"/>
      <c r="AE413" s="158"/>
      <c r="AF413" s="158">
        <f t="shared" ref="AF413:AF417" si="116">P413-U413-Z413</f>
        <v>0</v>
      </c>
      <c r="AG413" s="158"/>
      <c r="AH413" s="94">
        <v>0</v>
      </c>
      <c r="AI413" s="94">
        <v>0</v>
      </c>
      <c r="AJ413" s="94"/>
      <c r="AK413" s="158">
        <f t="shared" ref="AK413" si="117">AF413+AH413</f>
        <v>0</v>
      </c>
      <c r="AL413" s="158">
        <v>877</v>
      </c>
      <c r="AM413" s="158">
        <v>30</v>
      </c>
      <c r="AN413" s="158"/>
      <c r="AO413" s="158"/>
      <c r="AP413" s="158"/>
      <c r="AQ413" s="158"/>
      <c r="AR413" s="158"/>
      <c r="AS413" s="158"/>
      <c r="AT413" s="2">
        <v>1</v>
      </c>
      <c r="AU413" s="58" t="s">
        <v>646</v>
      </c>
      <c r="AV413" s="104"/>
      <c r="AW413" s="158"/>
      <c r="AX413" s="158"/>
      <c r="AY413" s="158"/>
      <c r="AZ413" s="158">
        <v>33</v>
      </c>
      <c r="BA413" s="158"/>
      <c r="BB413" s="158"/>
      <c r="BC413" s="69"/>
      <c r="BD413" s="69">
        <f>+AZ413</f>
        <v>33</v>
      </c>
      <c r="BE413" s="69"/>
      <c r="BF413" s="271">
        <v>2019</v>
      </c>
      <c r="BG413" s="271">
        <v>2019</v>
      </c>
      <c r="BH413" s="271"/>
      <c r="BI413" s="271" t="s">
        <v>2375</v>
      </c>
    </row>
    <row r="414" spans="1:61" s="204" customFormat="1" ht="18" customHeight="1">
      <c r="A414" s="160" t="s">
        <v>509</v>
      </c>
      <c r="B414" s="58" t="s">
        <v>515</v>
      </c>
      <c r="C414" s="148" t="s">
        <v>917</v>
      </c>
      <c r="D414" s="33" t="s">
        <v>730</v>
      </c>
      <c r="E414" s="33"/>
      <c r="F414" s="33"/>
      <c r="G414" s="33"/>
      <c r="H414" s="30" t="s">
        <v>731</v>
      </c>
      <c r="I414" s="30">
        <v>3125</v>
      </c>
      <c r="J414" s="212">
        <v>43098</v>
      </c>
      <c r="K414" s="158"/>
      <c r="L414" s="158"/>
      <c r="M414" s="51">
        <v>1</v>
      </c>
      <c r="N414" s="51">
        <v>1</v>
      </c>
      <c r="O414" s="51"/>
      <c r="P414" s="158">
        <v>63576783</v>
      </c>
      <c r="Q414" s="158"/>
      <c r="R414" s="158"/>
      <c r="S414" s="158"/>
      <c r="T414" s="158"/>
      <c r="U414" s="94"/>
      <c r="V414" s="158"/>
      <c r="W414" s="158"/>
      <c r="X414" s="158"/>
      <c r="Y414" s="158"/>
      <c r="Z414" s="158"/>
      <c r="AA414" s="69"/>
      <c r="AB414" s="69"/>
      <c r="AC414" s="69"/>
      <c r="AD414" s="69"/>
      <c r="AE414" s="158"/>
      <c r="AF414" s="158">
        <f t="shared" si="116"/>
        <v>63576783</v>
      </c>
      <c r="AG414" s="158"/>
      <c r="AH414" s="94">
        <v>0</v>
      </c>
      <c r="AI414" s="94">
        <v>63576783</v>
      </c>
      <c r="AJ414" s="94"/>
      <c r="AK414" s="602">
        <f t="shared" ref="AK414:AK415" si="118">P414-R414-U414-Z414</f>
        <v>63576783</v>
      </c>
      <c r="AL414" s="72">
        <v>877</v>
      </c>
      <c r="AM414" s="72">
        <v>10</v>
      </c>
      <c r="AN414" s="158">
        <v>1</v>
      </c>
      <c r="AO414" s="158"/>
      <c r="AP414" s="158"/>
      <c r="AQ414" s="158"/>
      <c r="AR414" s="158"/>
      <c r="AS414" s="158"/>
      <c r="AT414" s="2">
        <v>0</v>
      </c>
      <c r="AU414" s="58" t="s">
        <v>521</v>
      </c>
      <c r="AV414" s="104"/>
      <c r="AW414" s="158"/>
      <c r="AX414" s="158"/>
      <c r="AY414" s="158"/>
      <c r="AZ414" s="158"/>
      <c r="BA414" s="158"/>
      <c r="BB414" s="158"/>
      <c r="BC414" s="69"/>
      <c r="BD414" s="69"/>
      <c r="BE414" s="69"/>
      <c r="BF414" s="271"/>
      <c r="BG414" s="271">
        <v>2019</v>
      </c>
      <c r="BH414" s="271">
        <v>2020</v>
      </c>
      <c r="BI414" s="271" t="s">
        <v>2375</v>
      </c>
    </row>
    <row r="415" spans="1:61" s="204" customFormat="1" ht="28.5" customHeight="1">
      <c r="A415" s="160" t="s">
        <v>509</v>
      </c>
      <c r="B415" s="58" t="s">
        <v>177</v>
      </c>
      <c r="C415" s="55" t="s">
        <v>1216</v>
      </c>
      <c r="D415" s="33" t="s">
        <v>1217</v>
      </c>
      <c r="E415" s="33"/>
      <c r="F415" s="33"/>
      <c r="G415" s="33"/>
      <c r="H415" s="30" t="s">
        <v>1116</v>
      </c>
      <c r="I415" s="78">
        <v>324</v>
      </c>
      <c r="J415" s="212">
        <v>43405</v>
      </c>
      <c r="K415" s="158">
        <v>54</v>
      </c>
      <c r="L415" s="158">
        <v>54</v>
      </c>
      <c r="M415" s="51"/>
      <c r="N415" s="51">
        <v>54</v>
      </c>
      <c r="O415" s="51"/>
      <c r="P415" s="158">
        <v>3551242500</v>
      </c>
      <c r="Q415" s="158"/>
      <c r="R415" s="158"/>
      <c r="S415" s="158"/>
      <c r="T415" s="158"/>
      <c r="U415" s="94">
        <v>1477092165</v>
      </c>
      <c r="V415" s="214">
        <v>10</v>
      </c>
      <c r="W415" s="311">
        <v>43497</v>
      </c>
      <c r="X415" s="311"/>
      <c r="Y415" s="311"/>
      <c r="Z415" s="158">
        <v>2074150335</v>
      </c>
      <c r="AA415" s="221">
        <v>10</v>
      </c>
      <c r="AB415" s="311">
        <v>43678</v>
      </c>
      <c r="AC415" s="577"/>
      <c r="AD415" s="221"/>
      <c r="AE415" s="158"/>
      <c r="AF415" s="158">
        <f t="shared" si="116"/>
        <v>0</v>
      </c>
      <c r="AG415" s="158"/>
      <c r="AH415" s="94">
        <v>0</v>
      </c>
      <c r="AI415" s="94">
        <v>0</v>
      </c>
      <c r="AJ415" s="94"/>
      <c r="AK415" s="158">
        <f t="shared" si="118"/>
        <v>0</v>
      </c>
      <c r="AL415" s="158">
        <v>877</v>
      </c>
      <c r="AM415" s="158">
        <v>10</v>
      </c>
      <c r="AN415" s="158"/>
      <c r="AO415" s="158">
        <v>54</v>
      </c>
      <c r="AP415" s="158"/>
      <c r="AQ415" s="158"/>
      <c r="AR415" s="158"/>
      <c r="AS415" s="158"/>
      <c r="AT415" s="2">
        <v>0.51770000000000005</v>
      </c>
      <c r="AU415" s="58" t="s">
        <v>38</v>
      </c>
      <c r="AV415" s="104"/>
      <c r="AW415" s="158"/>
      <c r="AX415" s="158"/>
      <c r="AY415" s="158"/>
      <c r="AZ415" s="158"/>
      <c r="BA415" s="158"/>
      <c r="BB415" s="158"/>
      <c r="BC415" s="69"/>
      <c r="BD415" s="69"/>
      <c r="BE415" s="69"/>
      <c r="BF415" s="271"/>
      <c r="BG415" s="271">
        <v>2019</v>
      </c>
      <c r="BH415" s="430">
        <v>2020</v>
      </c>
      <c r="BI415" s="271" t="s">
        <v>2375</v>
      </c>
    </row>
    <row r="416" spans="1:61" s="204" customFormat="1" ht="18" customHeight="1">
      <c r="A416" s="160" t="s">
        <v>509</v>
      </c>
      <c r="B416" s="58" t="s">
        <v>515</v>
      </c>
      <c r="C416" s="148" t="s">
        <v>1166</v>
      </c>
      <c r="D416" s="33" t="s">
        <v>1167</v>
      </c>
      <c r="E416" s="33"/>
      <c r="F416" s="33"/>
      <c r="G416" s="33"/>
      <c r="H416" s="30" t="s">
        <v>1113</v>
      </c>
      <c r="I416" s="30">
        <v>707</v>
      </c>
      <c r="J416" s="212">
        <v>43452</v>
      </c>
      <c r="K416" s="158">
        <v>22</v>
      </c>
      <c r="L416" s="158">
        <v>22</v>
      </c>
      <c r="M416" s="51"/>
      <c r="N416" s="51"/>
      <c r="O416" s="51"/>
      <c r="P416" s="158">
        <v>1447203772</v>
      </c>
      <c r="Q416" s="158"/>
      <c r="R416" s="158"/>
      <c r="S416" s="158"/>
      <c r="T416" s="158"/>
      <c r="U416" s="94">
        <v>785690399</v>
      </c>
      <c r="V416" s="158">
        <v>30</v>
      </c>
      <c r="W416" s="311">
        <v>43435</v>
      </c>
      <c r="X416" s="158"/>
      <c r="Y416" s="158"/>
      <c r="Z416" s="158">
        <v>661513373</v>
      </c>
      <c r="AA416" s="158">
        <v>20</v>
      </c>
      <c r="AB416" s="311">
        <v>43617</v>
      </c>
      <c r="AC416" s="311"/>
      <c r="AD416" s="158"/>
      <c r="AE416" s="158"/>
      <c r="AF416" s="158">
        <f t="shared" si="116"/>
        <v>0</v>
      </c>
      <c r="AG416" s="158"/>
      <c r="AH416" s="94">
        <v>0</v>
      </c>
      <c r="AI416" s="94">
        <v>0</v>
      </c>
      <c r="AJ416" s="94"/>
      <c r="AK416" s="158">
        <f t="shared" ref="AK416" si="119">AF416+AH416</f>
        <v>0</v>
      </c>
      <c r="AL416" s="158">
        <v>877</v>
      </c>
      <c r="AM416" s="158">
        <v>20</v>
      </c>
      <c r="AN416" s="158"/>
      <c r="AO416" s="158"/>
      <c r="AP416" s="158"/>
      <c r="AQ416" s="158"/>
      <c r="AR416" s="158"/>
      <c r="AS416" s="158"/>
      <c r="AT416" s="2">
        <v>1</v>
      </c>
      <c r="AU416" s="58" t="s">
        <v>646</v>
      </c>
      <c r="AV416" s="104" t="s">
        <v>1709</v>
      </c>
      <c r="AW416" s="158"/>
      <c r="AX416" s="158"/>
      <c r="AY416" s="158"/>
      <c r="AZ416" s="158">
        <v>22</v>
      </c>
      <c r="BA416" s="158"/>
      <c r="BB416" s="158"/>
      <c r="BC416" s="69"/>
      <c r="BD416" s="69">
        <v>22</v>
      </c>
      <c r="BE416" s="69"/>
      <c r="BF416" s="271">
        <v>2019</v>
      </c>
      <c r="BG416" s="271">
        <v>2019</v>
      </c>
      <c r="BH416" s="444"/>
      <c r="BI416" s="271" t="s">
        <v>2375</v>
      </c>
    </row>
    <row r="417" spans="1:61" s="204" customFormat="1" ht="18" customHeight="1">
      <c r="A417" s="248" t="s">
        <v>509</v>
      </c>
      <c r="B417" s="58" t="s">
        <v>173</v>
      </c>
      <c r="C417" s="148" t="s">
        <v>172</v>
      </c>
      <c r="D417" s="33" t="s">
        <v>1628</v>
      </c>
      <c r="E417" s="33"/>
      <c r="F417" s="33"/>
      <c r="G417" s="33"/>
      <c r="H417" s="30" t="s">
        <v>1605</v>
      </c>
      <c r="I417" s="30">
        <v>1362</v>
      </c>
      <c r="J417" s="212">
        <v>43685</v>
      </c>
      <c r="K417" s="158"/>
      <c r="L417" s="158"/>
      <c r="M417" s="51">
        <f>43</f>
        <v>43</v>
      </c>
      <c r="N417" s="51">
        <v>43</v>
      </c>
      <c r="O417" s="51"/>
      <c r="P417" s="158">
        <v>3131568407</v>
      </c>
      <c r="Q417" s="158"/>
      <c r="R417" s="158"/>
      <c r="S417" s="158"/>
      <c r="T417" s="158"/>
      <c r="U417" s="94">
        <v>1682215694</v>
      </c>
      <c r="V417" s="158">
        <v>20</v>
      </c>
      <c r="W417" s="311">
        <v>43678</v>
      </c>
      <c r="X417" s="311"/>
      <c r="Y417" s="311"/>
      <c r="Z417" s="158">
        <v>1449352713</v>
      </c>
      <c r="AA417" s="158">
        <v>20</v>
      </c>
      <c r="AB417" s="311">
        <v>43770</v>
      </c>
      <c r="AC417" s="583"/>
      <c r="AD417" s="92"/>
      <c r="AE417" s="158"/>
      <c r="AF417" s="158">
        <f t="shared" si="116"/>
        <v>0</v>
      </c>
      <c r="AG417" s="158"/>
      <c r="AH417" s="94">
        <v>0</v>
      </c>
      <c r="AI417" s="94">
        <v>0</v>
      </c>
      <c r="AJ417" s="94"/>
      <c r="AK417" s="158">
        <f t="shared" ref="AK417:AK434" si="120">P417-R417-U417-Z417</f>
        <v>0</v>
      </c>
      <c r="AL417" s="158">
        <v>877</v>
      </c>
      <c r="AM417" s="158">
        <v>20</v>
      </c>
      <c r="AN417" s="158"/>
      <c r="AO417" s="158"/>
      <c r="AP417" s="158">
        <v>43</v>
      </c>
      <c r="AQ417" s="158"/>
      <c r="AR417" s="158"/>
      <c r="AS417" s="158"/>
      <c r="AT417" s="2">
        <v>1</v>
      </c>
      <c r="AU417" s="58" t="s">
        <v>646</v>
      </c>
      <c r="AV417" s="104"/>
      <c r="AW417" s="158"/>
      <c r="AX417" s="158"/>
      <c r="AY417" s="158"/>
      <c r="AZ417" s="158"/>
      <c r="BA417" s="158">
        <v>43</v>
      </c>
      <c r="BB417" s="158"/>
      <c r="BC417" s="69"/>
      <c r="BD417" s="69">
        <v>43</v>
      </c>
      <c r="BE417" s="69"/>
      <c r="BF417" s="271">
        <v>2020</v>
      </c>
      <c r="BG417" s="271">
        <v>2019</v>
      </c>
      <c r="BH417" s="430">
        <v>2020</v>
      </c>
      <c r="BI417" s="271" t="s">
        <v>2375</v>
      </c>
    </row>
    <row r="418" spans="1:61" s="204" customFormat="1" ht="18" customHeight="1">
      <c r="A418" s="248" t="s">
        <v>509</v>
      </c>
      <c r="B418" s="58" t="s">
        <v>540</v>
      </c>
      <c r="C418" s="148" t="s">
        <v>1626</v>
      </c>
      <c r="D418" s="33" t="s">
        <v>1629</v>
      </c>
      <c r="E418" s="33"/>
      <c r="F418" s="33"/>
      <c r="G418" s="33"/>
      <c r="H418" s="30" t="s">
        <v>1605</v>
      </c>
      <c r="I418" s="30">
        <v>1380</v>
      </c>
      <c r="J418" s="212">
        <v>43685</v>
      </c>
      <c r="K418" s="158"/>
      <c r="L418" s="158"/>
      <c r="M418" s="51">
        <v>60</v>
      </c>
      <c r="N418" s="51">
        <v>60</v>
      </c>
      <c r="O418" s="51"/>
      <c r="P418" s="158">
        <v>4863952500</v>
      </c>
      <c r="Q418" s="158"/>
      <c r="R418" s="158"/>
      <c r="S418" s="158"/>
      <c r="T418" s="158"/>
      <c r="U418" s="94">
        <v>2601177150</v>
      </c>
      <c r="V418" s="158">
        <v>20</v>
      </c>
      <c r="W418" s="311">
        <v>43678</v>
      </c>
      <c r="X418" s="311"/>
      <c r="Y418" s="311"/>
      <c r="Z418" s="94">
        <v>2262775350</v>
      </c>
      <c r="AA418" s="158">
        <v>20</v>
      </c>
      <c r="AB418" s="311">
        <v>43889</v>
      </c>
      <c r="AC418" s="583"/>
      <c r="AD418" s="92"/>
      <c r="AE418" s="158"/>
      <c r="AF418" s="158">
        <f>P418-R418-U418</f>
        <v>2262775350</v>
      </c>
      <c r="AG418" s="158"/>
      <c r="AH418" s="94">
        <v>0</v>
      </c>
      <c r="AI418" s="94">
        <v>2262775350</v>
      </c>
      <c r="AJ418" s="94"/>
      <c r="AK418" s="666">
        <f t="shared" si="120"/>
        <v>0</v>
      </c>
      <c r="AL418" s="666">
        <v>877</v>
      </c>
      <c r="AM418" s="666">
        <v>20</v>
      </c>
      <c r="AN418" s="158"/>
      <c r="AO418" s="158">
        <v>60</v>
      </c>
      <c r="AP418" s="158"/>
      <c r="AQ418" s="158"/>
      <c r="AR418" s="158"/>
      <c r="AS418" s="158"/>
      <c r="AT418" s="2">
        <v>0.61839999999999995</v>
      </c>
      <c r="AU418" s="58" t="s">
        <v>38</v>
      </c>
      <c r="AV418" s="104" t="s">
        <v>2213</v>
      </c>
      <c r="AW418" s="158"/>
      <c r="AX418" s="158"/>
      <c r="AY418" s="158"/>
      <c r="AZ418" s="158"/>
      <c r="BA418" s="158"/>
      <c r="BB418" s="158"/>
      <c r="BC418" s="69"/>
      <c r="BD418" s="69"/>
      <c r="BE418" s="69"/>
      <c r="BF418" s="271"/>
      <c r="BG418" s="271">
        <v>2019</v>
      </c>
      <c r="BH418" s="430">
        <v>2020</v>
      </c>
      <c r="BI418" s="271" t="s">
        <v>2375</v>
      </c>
    </row>
    <row r="419" spans="1:61" s="204" customFormat="1" ht="18" customHeight="1">
      <c r="A419" s="248" t="s">
        <v>509</v>
      </c>
      <c r="B419" s="58" t="s">
        <v>185</v>
      </c>
      <c r="C419" s="148" t="s">
        <v>1627</v>
      </c>
      <c r="D419" s="33" t="s">
        <v>3</v>
      </c>
      <c r="E419" s="33"/>
      <c r="F419" s="33"/>
      <c r="G419" s="33"/>
      <c r="H419" s="30" t="s">
        <v>1605</v>
      </c>
      <c r="I419" s="30">
        <v>1370</v>
      </c>
      <c r="J419" s="212">
        <v>43685</v>
      </c>
      <c r="K419" s="158"/>
      <c r="L419" s="158"/>
      <c r="M419" s="51">
        <v>66</v>
      </c>
      <c r="N419" s="51">
        <v>66</v>
      </c>
      <c r="O419" s="51"/>
      <c r="P419" s="158">
        <v>5499213410</v>
      </c>
      <c r="Q419" s="158"/>
      <c r="R419" s="158"/>
      <c r="S419" s="158"/>
      <c r="T419" s="158"/>
      <c r="U419" s="94">
        <v>2964028401</v>
      </c>
      <c r="V419" s="158">
        <v>20</v>
      </c>
      <c r="W419" s="311">
        <v>43678</v>
      </c>
      <c r="X419" s="311"/>
      <c r="Y419" s="311"/>
      <c r="Z419" s="94">
        <v>2535185009</v>
      </c>
      <c r="AA419" s="158">
        <v>20</v>
      </c>
      <c r="AB419" s="311">
        <v>44012</v>
      </c>
      <c r="AC419" s="92"/>
      <c r="AD419" s="92"/>
      <c r="AE419" s="158"/>
      <c r="AF419" s="158">
        <f>P419-U419-Z419</f>
        <v>0</v>
      </c>
      <c r="AG419" s="158"/>
      <c r="AH419" s="94">
        <v>0</v>
      </c>
      <c r="AI419" s="94">
        <v>2535185009</v>
      </c>
      <c r="AJ419" s="94"/>
      <c r="AK419" s="666">
        <f t="shared" si="120"/>
        <v>0</v>
      </c>
      <c r="AL419" s="666">
        <v>877</v>
      </c>
      <c r="AM419" s="666">
        <v>20</v>
      </c>
      <c r="AN419" s="158"/>
      <c r="AO419" s="158">
        <v>66</v>
      </c>
      <c r="AP419" s="158"/>
      <c r="AQ419" s="158"/>
      <c r="AR419" s="158"/>
      <c r="AS419" s="158"/>
      <c r="AT419" s="2">
        <v>0.54139999999999999</v>
      </c>
      <c r="AU419" s="58" t="s">
        <v>38</v>
      </c>
      <c r="AV419" s="104" t="s">
        <v>2173</v>
      </c>
      <c r="AW419" s="158"/>
      <c r="AX419" s="158"/>
      <c r="AY419" s="158"/>
      <c r="AZ419" s="158"/>
      <c r="BA419" s="158"/>
      <c r="BB419" s="158"/>
      <c r="BC419" s="69"/>
      <c r="BD419" s="69"/>
      <c r="BE419" s="69"/>
      <c r="BF419" s="271"/>
      <c r="BG419" s="271">
        <v>2019</v>
      </c>
      <c r="BH419" s="430">
        <v>2020</v>
      </c>
      <c r="BI419" s="271" t="s">
        <v>2375</v>
      </c>
    </row>
    <row r="420" spans="1:61" s="204" customFormat="1" ht="18" customHeight="1">
      <c r="A420" s="248" t="s">
        <v>509</v>
      </c>
      <c r="B420" s="58" t="s">
        <v>540</v>
      </c>
      <c r="C420" s="148" t="s">
        <v>1575</v>
      </c>
      <c r="D420" s="33" t="s">
        <v>1577</v>
      </c>
      <c r="E420" s="33"/>
      <c r="F420" s="33"/>
      <c r="G420" s="33"/>
      <c r="H420" s="30" t="s">
        <v>1553</v>
      </c>
      <c r="I420" s="30">
        <v>1656</v>
      </c>
      <c r="J420" s="212">
        <v>43728</v>
      </c>
      <c r="K420" s="158"/>
      <c r="L420" s="158"/>
      <c r="M420" s="51">
        <f>53-1</f>
        <v>52</v>
      </c>
      <c r="N420" s="51">
        <v>52</v>
      </c>
      <c r="O420" s="51"/>
      <c r="P420" s="158">
        <f>4296491375-81065875</f>
        <v>4215425500</v>
      </c>
      <c r="Q420" s="158"/>
      <c r="R420" s="158"/>
      <c r="S420" s="158"/>
      <c r="T420" s="158"/>
      <c r="U420" s="94">
        <v>2296018530</v>
      </c>
      <c r="V420" s="158">
        <v>20</v>
      </c>
      <c r="W420" s="311">
        <v>43739</v>
      </c>
      <c r="X420" s="311"/>
      <c r="Y420" s="311"/>
      <c r="Z420" s="94">
        <v>1919406970</v>
      </c>
      <c r="AA420" s="158">
        <v>20</v>
      </c>
      <c r="AB420" s="311">
        <v>43951</v>
      </c>
      <c r="AC420" s="583"/>
      <c r="AD420" s="92"/>
      <c r="AE420" s="158"/>
      <c r="AF420" s="158">
        <f>P420-R420-U420</f>
        <v>1919406970</v>
      </c>
      <c r="AG420" s="158"/>
      <c r="AH420" s="158">
        <f t="shared" ref="AH420" si="121">P420-U420-Z420</f>
        <v>0</v>
      </c>
      <c r="AI420" s="158">
        <v>1919406970</v>
      </c>
      <c r="AJ420" s="158"/>
      <c r="AK420" s="158">
        <f t="shared" si="120"/>
        <v>0</v>
      </c>
      <c r="AL420" s="158">
        <v>877</v>
      </c>
      <c r="AM420" s="158">
        <v>20</v>
      </c>
      <c r="AN420" s="158"/>
      <c r="AO420" s="158">
        <v>52</v>
      </c>
      <c r="AP420" s="158"/>
      <c r="AQ420" s="158"/>
      <c r="AR420" s="158"/>
      <c r="AS420" s="158"/>
      <c r="AT420" s="2">
        <v>0.52629999999999999</v>
      </c>
      <c r="AU420" s="58" t="s">
        <v>38</v>
      </c>
      <c r="AV420" s="104"/>
      <c r="AW420" s="158"/>
      <c r="AX420" s="158"/>
      <c r="AY420" s="158"/>
      <c r="AZ420" s="158"/>
      <c r="BA420" s="158"/>
      <c r="BB420" s="158"/>
      <c r="BC420" s="69"/>
      <c r="BD420" s="69"/>
      <c r="BE420" s="69"/>
      <c r="BF420" s="271"/>
      <c r="BG420" s="271">
        <v>2019</v>
      </c>
      <c r="BH420" s="430">
        <v>2020</v>
      </c>
      <c r="BI420" s="271" t="s">
        <v>2375</v>
      </c>
    </row>
    <row r="421" spans="1:61" s="204" customFormat="1" ht="18" customHeight="1">
      <c r="A421" s="248" t="s">
        <v>509</v>
      </c>
      <c r="B421" s="58" t="s">
        <v>540</v>
      </c>
      <c r="C421" s="148" t="s">
        <v>1575</v>
      </c>
      <c r="D421" s="33" t="s">
        <v>1577</v>
      </c>
      <c r="E421" s="33"/>
      <c r="F421" s="33"/>
      <c r="G421" s="33"/>
      <c r="H421" s="30" t="s">
        <v>1553</v>
      </c>
      <c r="I421" s="30">
        <v>1656</v>
      </c>
      <c r="J421" s="212">
        <v>43728</v>
      </c>
      <c r="K421" s="158"/>
      <c r="L421" s="158"/>
      <c r="M421" s="51">
        <v>1</v>
      </c>
      <c r="N421" s="51">
        <v>1</v>
      </c>
      <c r="O421" s="51"/>
      <c r="P421" s="158">
        <v>81065875</v>
      </c>
      <c r="Q421" s="158"/>
      <c r="R421" s="158"/>
      <c r="S421" s="158"/>
      <c r="T421" s="158"/>
      <c r="U421" s="94">
        <v>44154203</v>
      </c>
      <c r="V421" s="158">
        <v>20</v>
      </c>
      <c r="W421" s="311">
        <v>44012</v>
      </c>
      <c r="X421" s="311"/>
      <c r="Y421" s="311"/>
      <c r="Z421" s="94"/>
      <c r="AA421" s="158"/>
      <c r="AB421" s="92"/>
      <c r="AC421" s="92"/>
      <c r="AD421" s="92"/>
      <c r="AE421" s="158"/>
      <c r="AF421" s="158">
        <f>P421-U421-Z421-AH421</f>
        <v>36911672</v>
      </c>
      <c r="AG421" s="158">
        <v>20</v>
      </c>
      <c r="AH421" s="94">
        <v>0</v>
      </c>
      <c r="AI421" s="94">
        <v>81065875</v>
      </c>
      <c r="AJ421" s="94"/>
      <c r="AK421" s="666">
        <f t="shared" si="120"/>
        <v>36911672</v>
      </c>
      <c r="AL421" s="666">
        <v>877</v>
      </c>
      <c r="AM421" s="666">
        <v>20</v>
      </c>
      <c r="AN421" s="158">
        <v>1</v>
      </c>
      <c r="AO421" s="158"/>
      <c r="AP421" s="158"/>
      <c r="AQ421" s="158"/>
      <c r="AR421" s="158"/>
      <c r="AS421" s="158"/>
      <c r="AT421" s="2">
        <v>0</v>
      </c>
      <c r="AU421" s="58" t="s">
        <v>521</v>
      </c>
      <c r="AV421" s="104" t="s">
        <v>2214</v>
      </c>
      <c r="AW421" s="158"/>
      <c r="AX421" s="158"/>
      <c r="AY421" s="158"/>
      <c r="AZ421" s="158"/>
      <c r="BA421" s="158"/>
      <c r="BB421" s="158"/>
      <c r="BC421" s="69"/>
      <c r="BD421" s="69"/>
      <c r="BE421" s="69"/>
      <c r="BF421" s="271"/>
      <c r="BG421" s="271">
        <v>2019</v>
      </c>
      <c r="BH421" s="430">
        <v>2020</v>
      </c>
      <c r="BI421" s="271" t="s">
        <v>2375</v>
      </c>
    </row>
    <row r="422" spans="1:61" s="204" customFormat="1" ht="18" customHeight="1">
      <c r="A422" s="248" t="s">
        <v>509</v>
      </c>
      <c r="B422" s="58" t="s">
        <v>185</v>
      </c>
      <c r="C422" s="148" t="s">
        <v>1576</v>
      </c>
      <c r="D422" s="33" t="s">
        <v>61</v>
      </c>
      <c r="E422" s="659"/>
      <c r="F422" s="78">
        <v>4</v>
      </c>
      <c r="G422" s="78"/>
      <c r="H422" s="30" t="s">
        <v>1553</v>
      </c>
      <c r="I422" s="30">
        <v>1652</v>
      </c>
      <c r="J422" s="212">
        <v>43728</v>
      </c>
      <c r="K422" s="158"/>
      <c r="L422" s="158"/>
      <c r="M422" s="51">
        <v>38</v>
      </c>
      <c r="N422" s="51">
        <v>38</v>
      </c>
      <c r="O422" s="51"/>
      <c r="P422" s="158">
        <v>3059653320</v>
      </c>
      <c r="Q422" s="158"/>
      <c r="R422" s="158">
        <v>396720000</v>
      </c>
      <c r="S422" s="158">
        <v>20</v>
      </c>
      <c r="T422" s="311">
        <v>43770</v>
      </c>
      <c r="U422" s="94">
        <v>1443562050</v>
      </c>
      <c r="V422" s="158">
        <v>20</v>
      </c>
      <c r="W422" s="311">
        <v>43979</v>
      </c>
      <c r="X422" s="311"/>
      <c r="Y422" s="311"/>
      <c r="Z422" s="94"/>
      <c r="AA422" s="158"/>
      <c r="AB422" s="92"/>
      <c r="AC422" s="92"/>
      <c r="AD422" s="92"/>
      <c r="AE422" s="158"/>
      <c r="AF422" s="158">
        <f>P422-R422</f>
        <v>2662933320</v>
      </c>
      <c r="AG422" s="158"/>
      <c r="AH422" s="94">
        <v>0</v>
      </c>
      <c r="AI422" s="94">
        <v>2662933320</v>
      </c>
      <c r="AJ422" s="94"/>
      <c r="AK422" s="666">
        <f t="shared" si="120"/>
        <v>1219371270</v>
      </c>
      <c r="AL422" s="666">
        <v>877</v>
      </c>
      <c r="AM422" s="666">
        <v>20</v>
      </c>
      <c r="AN422" s="158"/>
      <c r="AO422" s="158">
        <v>38</v>
      </c>
      <c r="AP422" s="158"/>
      <c r="AQ422" s="158"/>
      <c r="AR422" s="158"/>
      <c r="AS422" s="158"/>
      <c r="AT422" s="2">
        <v>0</v>
      </c>
      <c r="AU422" s="58" t="s">
        <v>38</v>
      </c>
      <c r="AV422" s="104" t="s">
        <v>1565</v>
      </c>
      <c r="AW422" s="158"/>
      <c r="AX422" s="158"/>
      <c r="AY422" s="158"/>
      <c r="AZ422" s="158"/>
      <c r="BA422" s="158"/>
      <c r="BB422" s="158"/>
      <c r="BC422" s="69"/>
      <c r="BD422" s="69"/>
      <c r="BE422" s="69"/>
      <c r="BF422" s="271"/>
      <c r="BG422" s="271">
        <v>2019</v>
      </c>
      <c r="BH422" s="430">
        <v>2020</v>
      </c>
      <c r="BI422" s="271" t="s">
        <v>2375</v>
      </c>
    </row>
    <row r="423" spans="1:61" s="204" customFormat="1" ht="18" customHeight="1">
      <c r="A423" s="248" t="s">
        <v>509</v>
      </c>
      <c r="B423" s="58" t="s">
        <v>540</v>
      </c>
      <c r="C423" s="148" t="s">
        <v>1764</v>
      </c>
      <c r="D423" s="33" t="s">
        <v>1765</v>
      </c>
      <c r="E423" s="33"/>
      <c r="F423" s="33"/>
      <c r="G423" s="33"/>
      <c r="H423" s="30" t="s">
        <v>1763</v>
      </c>
      <c r="I423" s="30">
        <v>1839</v>
      </c>
      <c r="J423" s="212">
        <v>43763</v>
      </c>
      <c r="K423" s="158"/>
      <c r="L423" s="158"/>
      <c r="M423" s="51">
        <v>44</v>
      </c>
      <c r="N423" s="51">
        <v>44</v>
      </c>
      <c r="O423" s="51"/>
      <c r="P423" s="158">
        <v>3666426776</v>
      </c>
      <c r="Q423" s="158"/>
      <c r="R423" s="158"/>
      <c r="S423" s="158"/>
      <c r="T423" s="158"/>
      <c r="U423" s="94">
        <v>2015656629</v>
      </c>
      <c r="V423" s="158">
        <v>20</v>
      </c>
      <c r="W423" s="311">
        <v>43770</v>
      </c>
      <c r="X423" s="311"/>
      <c r="Y423" s="311"/>
      <c r="Z423" s="158">
        <v>1650770147</v>
      </c>
      <c r="AA423" s="158">
        <v>20</v>
      </c>
      <c r="AB423" s="311">
        <v>43913</v>
      </c>
      <c r="AC423" s="583"/>
      <c r="AD423" s="92"/>
      <c r="AE423" s="158"/>
      <c r="AF423" s="158">
        <f t="shared" ref="AF423:AF425" si="122">P423-R423-U423</f>
        <v>1650770147</v>
      </c>
      <c r="AG423" s="158"/>
      <c r="AH423" s="94">
        <v>0</v>
      </c>
      <c r="AI423" s="94">
        <v>1650770147</v>
      </c>
      <c r="AJ423" s="94"/>
      <c r="AK423" s="666">
        <f t="shared" si="120"/>
        <v>0</v>
      </c>
      <c r="AL423" s="666">
        <v>877</v>
      </c>
      <c r="AM423" s="666">
        <v>20</v>
      </c>
      <c r="AN423" s="158"/>
      <c r="AO423" s="158">
        <v>44</v>
      </c>
      <c r="AP423" s="158"/>
      <c r="AQ423" s="158"/>
      <c r="AR423" s="158"/>
      <c r="AS423" s="158"/>
      <c r="AT423" s="2">
        <v>0.55269999999999997</v>
      </c>
      <c r="AU423" s="58" t="s">
        <v>38</v>
      </c>
      <c r="AV423" s="104" t="s">
        <v>1565</v>
      </c>
      <c r="AW423" s="158"/>
      <c r="AX423" s="158"/>
      <c r="AY423" s="158"/>
      <c r="AZ423" s="158"/>
      <c r="BA423" s="158"/>
      <c r="BB423" s="158"/>
      <c r="BC423" s="69"/>
      <c r="BD423" s="69"/>
      <c r="BE423" s="69"/>
      <c r="BF423" s="271"/>
      <c r="BG423" s="271">
        <v>2019</v>
      </c>
      <c r="BH423" s="430">
        <v>2020</v>
      </c>
      <c r="BI423" s="271" t="s">
        <v>2375</v>
      </c>
    </row>
    <row r="424" spans="1:61" s="204" customFormat="1" ht="18" customHeight="1">
      <c r="A424" s="248" t="s">
        <v>509</v>
      </c>
      <c r="B424" s="58" t="s">
        <v>1781</v>
      </c>
      <c r="C424" s="148" t="s">
        <v>1780</v>
      </c>
      <c r="D424" s="33" t="s">
        <v>1584</v>
      </c>
      <c r="E424" s="33"/>
      <c r="F424" s="33"/>
      <c r="G424" s="33"/>
      <c r="H424" s="30" t="s">
        <v>1763</v>
      </c>
      <c r="I424" s="30">
        <v>1865</v>
      </c>
      <c r="J424" s="212">
        <v>43766</v>
      </c>
      <c r="K424" s="158"/>
      <c r="L424" s="158"/>
      <c r="M424" s="51">
        <v>71</v>
      </c>
      <c r="N424" s="51">
        <v>71</v>
      </c>
      <c r="O424" s="51"/>
      <c r="P424" s="158">
        <v>5916279570</v>
      </c>
      <c r="Q424" s="158"/>
      <c r="R424" s="158"/>
      <c r="S424" s="158"/>
      <c r="T424" s="158"/>
      <c r="U424" s="94">
        <v>3253038816</v>
      </c>
      <c r="V424" s="158">
        <v>20</v>
      </c>
      <c r="W424" s="311">
        <v>43770</v>
      </c>
      <c r="X424" s="311"/>
      <c r="Y424" s="311"/>
      <c r="Z424" s="158">
        <v>2663240754</v>
      </c>
      <c r="AA424" s="158">
        <v>20</v>
      </c>
      <c r="AB424" s="311">
        <v>43951</v>
      </c>
      <c r="AC424" s="583"/>
      <c r="AD424" s="92"/>
      <c r="AE424" s="158"/>
      <c r="AF424" s="158">
        <f t="shared" si="122"/>
        <v>2663240754</v>
      </c>
      <c r="AG424" s="158"/>
      <c r="AH424" s="94">
        <v>0</v>
      </c>
      <c r="AI424" s="94">
        <v>2663240754</v>
      </c>
      <c r="AJ424" s="94"/>
      <c r="AK424" s="666">
        <f t="shared" si="120"/>
        <v>0</v>
      </c>
      <c r="AL424" s="666">
        <v>877</v>
      </c>
      <c r="AM424" s="666">
        <v>20</v>
      </c>
      <c r="AN424" s="268"/>
      <c r="AO424" s="158">
        <v>71</v>
      </c>
      <c r="AP424" s="158"/>
      <c r="AQ424" s="158"/>
      <c r="AR424" s="158"/>
      <c r="AS424" s="158"/>
      <c r="AT424" s="2">
        <v>0.54120000000000001</v>
      </c>
      <c r="AU424" s="58" t="s">
        <v>38</v>
      </c>
      <c r="AV424" s="104" t="s">
        <v>1565</v>
      </c>
      <c r="AW424" s="158"/>
      <c r="AX424" s="158"/>
      <c r="AY424" s="158"/>
      <c r="AZ424" s="158"/>
      <c r="BA424" s="158"/>
      <c r="BB424" s="158"/>
      <c r="BC424" s="69"/>
      <c r="BD424" s="69"/>
      <c r="BE424" s="69"/>
      <c r="BF424" s="271"/>
      <c r="BG424" s="271">
        <v>2019</v>
      </c>
      <c r="BH424" s="430">
        <v>2020</v>
      </c>
      <c r="BI424" s="271" t="s">
        <v>2375</v>
      </c>
    </row>
    <row r="425" spans="1:61" s="204" customFormat="1" ht="18" customHeight="1">
      <c r="A425" s="248" t="s">
        <v>509</v>
      </c>
      <c r="B425" s="58" t="s">
        <v>1786</v>
      </c>
      <c r="C425" s="148" t="s">
        <v>1785</v>
      </c>
      <c r="D425" s="33" t="s">
        <v>1779</v>
      </c>
      <c r="E425" s="33"/>
      <c r="F425" s="33"/>
      <c r="G425" s="33"/>
      <c r="H425" s="30" t="s">
        <v>1763</v>
      </c>
      <c r="I425" s="30">
        <v>1843</v>
      </c>
      <c r="J425" s="212">
        <v>43763</v>
      </c>
      <c r="K425" s="158"/>
      <c r="L425" s="158"/>
      <c r="M425" s="51">
        <f>40-1</f>
        <v>39</v>
      </c>
      <c r="N425" s="51">
        <v>39</v>
      </c>
      <c r="O425" s="51"/>
      <c r="P425" s="158">
        <f>3324808453-83120211</f>
        <v>3241688242</v>
      </c>
      <c r="Q425" s="158"/>
      <c r="R425" s="158"/>
      <c r="S425" s="158"/>
      <c r="T425" s="158"/>
      <c r="U425" s="94">
        <f>1781920336</f>
        <v>1781920336</v>
      </c>
      <c r="V425" s="158">
        <v>20</v>
      </c>
      <c r="W425" s="311">
        <v>43770</v>
      </c>
      <c r="X425" s="311"/>
      <c r="Y425" s="311"/>
      <c r="Z425" s="94">
        <v>1459767906</v>
      </c>
      <c r="AA425" s="158">
        <v>20</v>
      </c>
      <c r="AB425" s="311">
        <v>43980</v>
      </c>
      <c r="AC425" s="583"/>
      <c r="AD425" s="92"/>
      <c r="AE425" s="158"/>
      <c r="AF425" s="158">
        <f t="shared" si="122"/>
        <v>1459767906</v>
      </c>
      <c r="AG425" s="158"/>
      <c r="AH425" s="94">
        <v>0</v>
      </c>
      <c r="AI425" s="94">
        <v>1459767906</v>
      </c>
      <c r="AJ425" s="94"/>
      <c r="AK425" s="158">
        <f t="shared" si="120"/>
        <v>0</v>
      </c>
      <c r="AL425" s="158">
        <v>877</v>
      </c>
      <c r="AM425" s="158">
        <v>20</v>
      </c>
      <c r="AN425" s="158"/>
      <c r="AO425" s="158">
        <v>39</v>
      </c>
      <c r="AP425" s="158"/>
      <c r="AQ425" s="158"/>
      <c r="AR425" s="158"/>
      <c r="AS425" s="158"/>
      <c r="AT425" s="2">
        <v>0.46139999999999998</v>
      </c>
      <c r="AU425" s="58" t="s">
        <v>38</v>
      </c>
      <c r="AV425" s="104" t="s">
        <v>2211</v>
      </c>
      <c r="AW425" s="158"/>
      <c r="AX425" s="158"/>
      <c r="AY425" s="158"/>
      <c r="AZ425" s="158"/>
      <c r="BA425" s="158"/>
      <c r="BB425" s="158"/>
      <c r="BC425" s="69"/>
      <c r="BD425" s="69"/>
      <c r="BE425" s="69"/>
      <c r="BF425" s="271"/>
      <c r="BG425" s="271">
        <v>2019</v>
      </c>
      <c r="BH425" s="430">
        <v>2020</v>
      </c>
      <c r="BI425" s="271" t="s">
        <v>2375</v>
      </c>
    </row>
    <row r="426" spans="1:61" s="204" customFormat="1" ht="18" customHeight="1">
      <c r="A426" s="243" t="s">
        <v>509</v>
      </c>
      <c r="B426" s="58" t="s">
        <v>1786</v>
      </c>
      <c r="C426" s="148" t="s">
        <v>1785</v>
      </c>
      <c r="D426" s="33" t="s">
        <v>1779</v>
      </c>
      <c r="E426" s="33"/>
      <c r="F426" s="33"/>
      <c r="G426" s="33"/>
      <c r="H426" s="30" t="s">
        <v>1763</v>
      </c>
      <c r="I426" s="30">
        <v>1843</v>
      </c>
      <c r="J426" s="212">
        <v>43763</v>
      </c>
      <c r="K426" s="5"/>
      <c r="L426" s="5"/>
      <c r="M426" s="51">
        <v>1</v>
      </c>
      <c r="N426" s="89">
        <v>1</v>
      </c>
      <c r="O426" s="89"/>
      <c r="P426" s="5">
        <v>83120211</v>
      </c>
      <c r="Q426" s="5"/>
      <c r="R426" s="158"/>
      <c r="S426" s="158"/>
      <c r="T426" s="5"/>
      <c r="U426" s="94"/>
      <c r="V426" s="5"/>
      <c r="W426" s="329"/>
      <c r="X426" s="329"/>
      <c r="Y426" s="329"/>
      <c r="Z426" s="233"/>
      <c r="AA426" s="5"/>
      <c r="AB426" s="247"/>
      <c r="AC426" s="247"/>
      <c r="AD426" s="247"/>
      <c r="AE426" s="158"/>
      <c r="AF426" s="158">
        <f>P426-U426-Z426-AH426</f>
        <v>83120211</v>
      </c>
      <c r="AG426" s="158"/>
      <c r="AH426" s="94">
        <v>0</v>
      </c>
      <c r="AI426" s="94">
        <v>83120211</v>
      </c>
      <c r="AJ426" s="94"/>
      <c r="AK426" s="666">
        <f>P426-R426-U426-Z426</f>
        <v>83120211</v>
      </c>
      <c r="AL426" s="666">
        <v>877</v>
      </c>
      <c r="AM426" s="666">
        <v>20</v>
      </c>
      <c r="AN426" s="158">
        <v>1</v>
      </c>
      <c r="AO426" s="158"/>
      <c r="AP426" s="5"/>
      <c r="AQ426" s="5"/>
      <c r="AR426" s="5"/>
      <c r="AS426" s="5"/>
      <c r="AT426" s="4">
        <v>0</v>
      </c>
      <c r="AU426" s="28" t="s">
        <v>521</v>
      </c>
      <c r="AV426" s="104" t="s">
        <v>2212</v>
      </c>
      <c r="AW426" s="5"/>
      <c r="AX426" s="5"/>
      <c r="AY426" s="5"/>
      <c r="AZ426" s="5"/>
      <c r="BA426" s="5"/>
      <c r="BB426" s="5"/>
      <c r="BC426" s="276"/>
      <c r="BD426" s="276"/>
      <c r="BE426" s="276"/>
      <c r="BF426" s="470"/>
      <c r="BG426" s="271">
        <v>2019</v>
      </c>
      <c r="BH426" s="271">
        <v>2020</v>
      </c>
      <c r="BI426" s="271" t="s">
        <v>2375</v>
      </c>
    </row>
    <row r="427" spans="1:61" s="204" customFormat="1" ht="28.5" customHeight="1">
      <c r="A427" s="160" t="s">
        <v>509</v>
      </c>
      <c r="B427" s="58" t="s">
        <v>1938</v>
      </c>
      <c r="C427" s="55" t="s">
        <v>1937</v>
      </c>
      <c r="D427" s="33" t="s">
        <v>1234</v>
      </c>
      <c r="E427" s="33"/>
      <c r="F427" s="33"/>
      <c r="G427" s="33"/>
      <c r="H427" s="30" t="s">
        <v>1920</v>
      </c>
      <c r="I427" s="30">
        <v>2030</v>
      </c>
      <c r="J427" s="212">
        <v>43795</v>
      </c>
      <c r="K427" s="158"/>
      <c r="L427" s="158"/>
      <c r="M427" s="51">
        <f>43-1</f>
        <v>42</v>
      </c>
      <c r="N427" s="51">
        <v>42</v>
      </c>
      <c r="O427" s="51"/>
      <c r="P427" s="158">
        <f>3583086262-83327587</f>
        <v>3499758675</v>
      </c>
      <c r="Q427" s="158"/>
      <c r="R427" s="158"/>
      <c r="S427" s="158"/>
      <c r="T427" s="158"/>
      <c r="U427" s="94">
        <v>1921277702</v>
      </c>
      <c r="V427" s="158">
        <v>20</v>
      </c>
      <c r="W427" s="311">
        <v>43800</v>
      </c>
      <c r="X427" s="311"/>
      <c r="Y427" s="311"/>
      <c r="Z427" s="94"/>
      <c r="AA427" s="158"/>
      <c r="AB427" s="158"/>
      <c r="AC427" s="158"/>
      <c r="AD427" s="158"/>
      <c r="AE427" s="158"/>
      <c r="AF427" s="158">
        <f>P427-U427-Z427-AH427</f>
        <v>0</v>
      </c>
      <c r="AG427" s="158"/>
      <c r="AH427" s="158">
        <f t="shared" ref="AH427:AH429" si="123">P427-U427-Z427</f>
        <v>1578480973</v>
      </c>
      <c r="AI427" s="158">
        <v>1578480973</v>
      </c>
      <c r="AJ427" s="158"/>
      <c r="AK427" s="666">
        <f t="shared" si="120"/>
        <v>1578480973</v>
      </c>
      <c r="AL427" s="666">
        <v>877</v>
      </c>
      <c r="AM427" s="666">
        <v>20</v>
      </c>
      <c r="AN427" s="158"/>
      <c r="AO427" s="158">
        <v>42</v>
      </c>
      <c r="AP427" s="158"/>
      <c r="AQ427" s="158"/>
      <c r="AR427" s="158"/>
      <c r="AS427" s="158"/>
      <c r="AT427" s="2">
        <v>0.25230000000000002</v>
      </c>
      <c r="AU427" s="58" t="s">
        <v>38</v>
      </c>
      <c r="AV427" s="104" t="s">
        <v>1565</v>
      </c>
      <c r="AW427" s="158"/>
      <c r="AX427" s="158"/>
      <c r="AY427" s="158"/>
      <c r="AZ427" s="158"/>
      <c r="BA427" s="158"/>
      <c r="BB427" s="158"/>
      <c r="BC427" s="158"/>
      <c r="BD427" s="158"/>
      <c r="BE427" s="158"/>
      <c r="BF427" s="271"/>
      <c r="BG427" s="271">
        <v>2019</v>
      </c>
      <c r="BH427" s="430">
        <v>2020</v>
      </c>
      <c r="BI427" s="271" t="s">
        <v>2375</v>
      </c>
    </row>
    <row r="428" spans="1:61" s="204" customFormat="1" ht="28.5" customHeight="1">
      <c r="A428" s="160" t="s">
        <v>509</v>
      </c>
      <c r="B428" s="58" t="s">
        <v>1938</v>
      </c>
      <c r="C428" s="55" t="s">
        <v>1937</v>
      </c>
      <c r="D428" s="33" t="s">
        <v>1234</v>
      </c>
      <c r="E428" s="33"/>
      <c r="F428" s="33"/>
      <c r="G428" s="33"/>
      <c r="H428" s="30" t="s">
        <v>1920</v>
      </c>
      <c r="I428" s="30">
        <v>2030</v>
      </c>
      <c r="J428" s="212">
        <v>43795</v>
      </c>
      <c r="K428" s="158"/>
      <c r="L428" s="158"/>
      <c r="M428" s="51">
        <v>1</v>
      </c>
      <c r="N428" s="51">
        <v>1</v>
      </c>
      <c r="O428" s="51"/>
      <c r="P428" s="158">
        <v>83327587</v>
      </c>
      <c r="Q428" s="158"/>
      <c r="R428" s="158"/>
      <c r="S428" s="158"/>
      <c r="T428" s="158"/>
      <c r="U428" s="94"/>
      <c r="V428" s="158"/>
      <c r="W428" s="311"/>
      <c r="X428" s="311"/>
      <c r="Y428" s="311"/>
      <c r="Z428" s="94"/>
      <c r="AA428" s="158"/>
      <c r="AB428" s="158"/>
      <c r="AC428" s="158"/>
      <c r="AD428" s="158"/>
      <c r="AE428" s="158"/>
      <c r="AF428" s="158">
        <f>P428-U428-Z428-AH428</f>
        <v>83327587</v>
      </c>
      <c r="AG428" s="158"/>
      <c r="AH428" s="94">
        <v>0</v>
      </c>
      <c r="AI428" s="94">
        <v>83327587</v>
      </c>
      <c r="AJ428" s="94"/>
      <c r="AK428" s="666">
        <f t="shared" si="120"/>
        <v>83327587</v>
      </c>
      <c r="AL428" s="666">
        <v>877</v>
      </c>
      <c r="AM428" s="666">
        <v>20</v>
      </c>
      <c r="AN428" s="158">
        <v>1</v>
      </c>
      <c r="AO428" s="158"/>
      <c r="AP428" s="158"/>
      <c r="AQ428" s="158"/>
      <c r="AR428" s="158"/>
      <c r="AS428" s="158"/>
      <c r="AT428" s="2">
        <v>0</v>
      </c>
      <c r="AU428" s="58" t="s">
        <v>521</v>
      </c>
      <c r="AV428" s="104" t="s">
        <v>2217</v>
      </c>
      <c r="AW428" s="158"/>
      <c r="AX428" s="158"/>
      <c r="AY428" s="158"/>
      <c r="AZ428" s="158"/>
      <c r="BA428" s="158"/>
      <c r="BB428" s="158"/>
      <c r="BC428" s="158"/>
      <c r="BD428" s="158"/>
      <c r="BE428" s="158"/>
      <c r="BF428" s="271"/>
      <c r="BG428" s="271">
        <v>2019</v>
      </c>
      <c r="BH428" s="271">
        <v>2020</v>
      </c>
      <c r="BI428" s="271" t="s">
        <v>2375</v>
      </c>
    </row>
    <row r="429" spans="1:61" s="204" customFormat="1" ht="18" customHeight="1">
      <c r="A429" s="160" t="s">
        <v>509</v>
      </c>
      <c r="B429" s="58" t="s">
        <v>1940</v>
      </c>
      <c r="C429" s="148" t="s">
        <v>1939</v>
      </c>
      <c r="D429" s="33" t="s">
        <v>1015</v>
      </c>
      <c r="E429" s="33"/>
      <c r="F429" s="33"/>
      <c r="G429" s="33"/>
      <c r="H429" s="30" t="s">
        <v>1920</v>
      </c>
      <c r="I429" s="30">
        <v>2049</v>
      </c>
      <c r="J429" s="212">
        <v>43797</v>
      </c>
      <c r="K429" s="269"/>
      <c r="L429" s="374"/>
      <c r="M429" s="51">
        <v>15</v>
      </c>
      <c r="N429" s="81">
        <v>15</v>
      </c>
      <c r="O429" s="51"/>
      <c r="P429" s="158">
        <v>1053629582</v>
      </c>
      <c r="Q429" s="158"/>
      <c r="R429" s="158"/>
      <c r="S429" s="158"/>
      <c r="T429" s="446"/>
      <c r="U429" s="94">
        <v>578655480</v>
      </c>
      <c r="V429" s="158">
        <v>20</v>
      </c>
      <c r="W429" s="311">
        <v>43800</v>
      </c>
      <c r="X429" s="311"/>
      <c r="Y429" s="311"/>
      <c r="Z429" s="158">
        <v>474974102</v>
      </c>
      <c r="AA429" s="158">
        <v>20</v>
      </c>
      <c r="AB429" s="311">
        <v>43920</v>
      </c>
      <c r="AC429" s="311"/>
      <c r="AD429" s="446"/>
      <c r="AE429" s="158"/>
      <c r="AF429" s="158">
        <f>P429-R429-U429</f>
        <v>474974102</v>
      </c>
      <c r="AG429" s="158"/>
      <c r="AH429" s="158">
        <f t="shared" si="123"/>
        <v>0</v>
      </c>
      <c r="AI429" s="158">
        <v>474974102</v>
      </c>
      <c r="AJ429" s="158"/>
      <c r="AK429" s="666">
        <f t="shared" si="120"/>
        <v>0</v>
      </c>
      <c r="AL429" s="666">
        <v>877</v>
      </c>
      <c r="AM429" s="666">
        <v>20</v>
      </c>
      <c r="AN429" s="158"/>
      <c r="AO429" s="158"/>
      <c r="AP429" s="158">
        <v>15</v>
      </c>
      <c r="AQ429" s="471"/>
      <c r="AR429" s="471"/>
      <c r="AS429" s="471"/>
      <c r="AT429" s="2">
        <v>1</v>
      </c>
      <c r="AU429" s="58" t="s">
        <v>646</v>
      </c>
      <c r="AV429" s="104" t="s">
        <v>1565</v>
      </c>
      <c r="AW429" s="268"/>
      <c r="AX429" s="268"/>
      <c r="AY429" s="268"/>
      <c r="AZ429" s="268"/>
      <c r="BA429" s="158">
        <v>15</v>
      </c>
      <c r="BB429" s="268"/>
      <c r="BC429" s="715"/>
      <c r="BD429" s="69">
        <v>15</v>
      </c>
      <c r="BE429" s="268"/>
      <c r="BF429" s="271">
        <v>2020</v>
      </c>
      <c r="BG429" s="271">
        <v>2019</v>
      </c>
      <c r="BH429" s="430">
        <v>2020</v>
      </c>
      <c r="BI429" s="271" t="s">
        <v>2375</v>
      </c>
    </row>
    <row r="430" spans="1:61" s="204" customFormat="1" ht="18" customHeight="1">
      <c r="A430" s="248" t="s">
        <v>509</v>
      </c>
      <c r="B430" s="58" t="s">
        <v>173</v>
      </c>
      <c r="C430" s="55" t="s">
        <v>2237</v>
      </c>
      <c r="D430" s="33" t="s">
        <v>2238</v>
      </c>
      <c r="E430" s="659"/>
      <c r="F430" s="78">
        <v>4</v>
      </c>
      <c r="G430" s="78"/>
      <c r="H430" s="533" t="s">
        <v>2236</v>
      </c>
      <c r="I430" s="78">
        <v>302</v>
      </c>
      <c r="J430" s="459">
        <v>43907</v>
      </c>
      <c r="K430" s="529"/>
      <c r="L430" s="530"/>
      <c r="M430" s="60"/>
      <c r="N430" s="227">
        <v>13</v>
      </c>
      <c r="O430" s="60"/>
      <c r="P430" s="61">
        <f>(592557137+490701500)</f>
        <v>1083258637</v>
      </c>
      <c r="Q430" s="61"/>
      <c r="R430" s="158"/>
      <c r="S430" s="61"/>
      <c r="T430" s="529"/>
      <c r="U430" s="94">
        <v>592557137</v>
      </c>
      <c r="V430" s="61">
        <v>10</v>
      </c>
      <c r="W430" s="460">
        <v>43921</v>
      </c>
      <c r="X430" s="460"/>
      <c r="Y430" s="460"/>
      <c r="Z430" s="61"/>
      <c r="AA430" s="521">
        <v>10</v>
      </c>
      <c r="AB430" s="311"/>
      <c r="AC430" s="311"/>
      <c r="AD430" s="268"/>
      <c r="AE430" s="158"/>
      <c r="AF430" s="158">
        <f>P430</f>
        <v>1083258637</v>
      </c>
      <c r="AG430" s="61"/>
      <c r="AH430" s="61">
        <v>0</v>
      </c>
      <c r="AI430" s="61">
        <v>1083258637</v>
      </c>
      <c r="AJ430" s="61"/>
      <c r="AK430" s="602">
        <f t="shared" si="120"/>
        <v>490701500</v>
      </c>
      <c r="AL430" s="524">
        <v>877</v>
      </c>
      <c r="AM430" s="524">
        <v>10</v>
      </c>
      <c r="AN430" s="61"/>
      <c r="AO430" s="61">
        <v>13</v>
      </c>
      <c r="AP430" s="532"/>
      <c r="AQ430" s="532"/>
      <c r="AR430" s="532"/>
      <c r="AS430" s="532"/>
      <c r="AT430" s="2">
        <v>0</v>
      </c>
      <c r="AU430" s="58" t="s">
        <v>38</v>
      </c>
      <c r="AV430" s="462"/>
      <c r="AW430" s="531"/>
      <c r="AX430" s="531"/>
      <c r="AY430" s="531"/>
      <c r="AZ430" s="531"/>
      <c r="BA430" s="531"/>
      <c r="BB430" s="531"/>
      <c r="BC430" s="531"/>
      <c r="BD430" s="531"/>
      <c r="BE430" s="531"/>
      <c r="BF430" s="531"/>
      <c r="BG430" s="464"/>
      <c r="BH430" s="464">
        <v>2020</v>
      </c>
      <c r="BI430" s="271" t="s">
        <v>2375</v>
      </c>
    </row>
    <row r="431" spans="1:61" s="204" customFormat="1" ht="18" customHeight="1">
      <c r="A431" s="248" t="s">
        <v>509</v>
      </c>
      <c r="B431" s="58" t="s">
        <v>173</v>
      </c>
      <c r="C431" s="55" t="s">
        <v>2412</v>
      </c>
      <c r="D431" s="33" t="s">
        <v>1167</v>
      </c>
      <c r="E431" s="659"/>
      <c r="F431" s="78">
        <v>4</v>
      </c>
      <c r="G431" s="78"/>
      <c r="H431" s="533" t="s">
        <v>2236</v>
      </c>
      <c r="I431" s="78">
        <v>251</v>
      </c>
      <c r="J431" s="459">
        <v>43893</v>
      </c>
      <c r="K431" s="529"/>
      <c r="L431" s="530"/>
      <c r="M431" s="60"/>
      <c r="N431" s="227">
        <v>31</v>
      </c>
      <c r="O431" s="60"/>
      <c r="P431" s="61">
        <f>(1229809054+1029632353)</f>
        <v>2259441407</v>
      </c>
      <c r="Q431" s="61"/>
      <c r="R431" s="158"/>
      <c r="S431" s="61"/>
      <c r="T431" s="529"/>
      <c r="U431" s="94">
        <v>1229809054</v>
      </c>
      <c r="V431" s="61">
        <v>10</v>
      </c>
      <c r="W431" s="460">
        <v>43950</v>
      </c>
      <c r="X431" s="460"/>
      <c r="Y431" s="460"/>
      <c r="Z431" s="61"/>
      <c r="AA431" s="521">
        <v>10</v>
      </c>
      <c r="AB431" s="311"/>
      <c r="AC431" s="311"/>
      <c r="AD431" s="268"/>
      <c r="AE431" s="158"/>
      <c r="AF431" s="158">
        <f t="shared" ref="AF431:AF432" si="124">P431</f>
        <v>2259441407</v>
      </c>
      <c r="AG431" s="61"/>
      <c r="AH431" s="61"/>
      <c r="AI431" s="61">
        <v>2259441407</v>
      </c>
      <c r="AJ431" s="61"/>
      <c r="AK431" s="602">
        <f t="shared" si="120"/>
        <v>1029632353</v>
      </c>
      <c r="AL431" s="524">
        <v>877</v>
      </c>
      <c r="AM431" s="524">
        <v>10</v>
      </c>
      <c r="AN431" s="61"/>
      <c r="AO431" s="61">
        <v>31</v>
      </c>
      <c r="AP431" s="532"/>
      <c r="AQ431" s="532"/>
      <c r="AR431" s="532"/>
      <c r="AS431" s="532"/>
      <c r="AT431" s="2">
        <v>0</v>
      </c>
      <c r="AU431" s="58" t="s">
        <v>38</v>
      </c>
      <c r="AV431" s="462"/>
      <c r="AW431" s="531"/>
      <c r="AX431" s="531"/>
      <c r="AY431" s="531"/>
      <c r="AZ431" s="531"/>
      <c r="BA431" s="531"/>
      <c r="BB431" s="531"/>
      <c r="BC431" s="531"/>
      <c r="BD431" s="531"/>
      <c r="BE431" s="531"/>
      <c r="BF431" s="531"/>
      <c r="BG431" s="464"/>
      <c r="BH431" s="464">
        <v>2020</v>
      </c>
      <c r="BI431" s="271" t="s">
        <v>2375</v>
      </c>
    </row>
    <row r="432" spans="1:61" s="204" customFormat="1" ht="33" customHeight="1">
      <c r="A432" s="248" t="s">
        <v>509</v>
      </c>
      <c r="B432" s="520" t="s">
        <v>1940</v>
      </c>
      <c r="C432" s="55" t="s">
        <v>2252</v>
      </c>
      <c r="D432" s="33" t="s">
        <v>1015</v>
      </c>
      <c r="E432" s="659"/>
      <c r="F432" s="78">
        <v>4</v>
      </c>
      <c r="G432" s="78"/>
      <c r="H432" s="533" t="s">
        <v>2236</v>
      </c>
      <c r="I432" s="549" t="s">
        <v>2254</v>
      </c>
      <c r="J432" s="549" t="s">
        <v>2253</v>
      </c>
      <c r="K432" s="529"/>
      <c r="L432" s="530"/>
      <c r="M432" s="60"/>
      <c r="N432" s="227">
        <v>51</v>
      </c>
      <c r="O432" s="60"/>
      <c r="P432" s="61">
        <f>(1937684886+1926644179-145823738)</f>
        <v>3718505327</v>
      </c>
      <c r="Q432" s="61"/>
      <c r="R432" s="158"/>
      <c r="S432" s="61"/>
      <c r="T432" s="529"/>
      <c r="U432" s="94">
        <v>1937684886</v>
      </c>
      <c r="V432" s="61">
        <v>20</v>
      </c>
      <c r="W432" s="460">
        <v>43950</v>
      </c>
      <c r="X432" s="460"/>
      <c r="Y432" s="460"/>
      <c r="Z432" s="61">
        <v>1780820441</v>
      </c>
      <c r="AA432" s="521">
        <v>20</v>
      </c>
      <c r="AB432" s="311">
        <v>44012</v>
      </c>
      <c r="AC432" s="311"/>
      <c r="AD432" s="268"/>
      <c r="AE432" s="158"/>
      <c r="AF432" s="158">
        <f t="shared" si="124"/>
        <v>3718505327</v>
      </c>
      <c r="AG432" s="61"/>
      <c r="AH432" s="61"/>
      <c r="AI432" s="61">
        <v>3718505327</v>
      </c>
      <c r="AJ432" s="61"/>
      <c r="AK432" s="666">
        <f t="shared" si="120"/>
        <v>0</v>
      </c>
      <c r="AL432" s="667">
        <v>877</v>
      </c>
      <c r="AM432" s="667">
        <v>20</v>
      </c>
      <c r="AN432" s="61"/>
      <c r="AO432" s="61">
        <v>51</v>
      </c>
      <c r="AP432" s="532"/>
      <c r="AQ432" s="532"/>
      <c r="AR432" s="532"/>
      <c r="AS432" s="532"/>
      <c r="AT432" s="2">
        <v>0.52159999999999995</v>
      </c>
      <c r="AU432" s="58" t="s">
        <v>38</v>
      </c>
      <c r="AV432" s="462" t="s">
        <v>2260</v>
      </c>
      <c r="AW432" s="531"/>
      <c r="AX432" s="531"/>
      <c r="AY432" s="531"/>
      <c r="AZ432" s="531"/>
      <c r="BA432" s="531"/>
      <c r="BB432" s="531"/>
      <c r="BC432" s="531"/>
      <c r="BD432" s="531"/>
      <c r="BE432" s="531"/>
      <c r="BF432" s="531"/>
      <c r="BG432" s="464"/>
      <c r="BH432" s="712">
        <v>2020</v>
      </c>
      <c r="BI432" s="271" t="s">
        <v>2375</v>
      </c>
    </row>
    <row r="433" spans="1:61" s="204" customFormat="1" ht="33" customHeight="1">
      <c r="A433" s="248" t="s">
        <v>509</v>
      </c>
      <c r="B433" s="520" t="s">
        <v>1940</v>
      </c>
      <c r="C433" s="55" t="s">
        <v>2252</v>
      </c>
      <c r="D433" s="33" t="s">
        <v>1015</v>
      </c>
      <c r="E433" s="533" t="s">
        <v>2236</v>
      </c>
      <c r="F433" s="549" t="s">
        <v>2254</v>
      </c>
      <c r="G433" s="78"/>
      <c r="H433" s="533" t="s">
        <v>2236</v>
      </c>
      <c r="I433" s="549" t="s">
        <v>2254</v>
      </c>
      <c r="J433" s="549" t="s">
        <v>2253</v>
      </c>
      <c r="K433" s="529"/>
      <c r="L433" s="530"/>
      <c r="M433" s="60"/>
      <c r="N433" s="60">
        <v>2</v>
      </c>
      <c r="O433" s="60"/>
      <c r="P433" s="61">
        <v>145823738</v>
      </c>
      <c r="Q433" s="61"/>
      <c r="R433" s="158"/>
      <c r="S433" s="61"/>
      <c r="T433" s="529"/>
      <c r="U433" s="94"/>
      <c r="V433" s="61"/>
      <c r="W433" s="460"/>
      <c r="X433" s="460"/>
      <c r="Y433" s="460"/>
      <c r="Z433" s="61"/>
      <c r="AA433" s="521"/>
      <c r="AB433" s="311"/>
      <c r="AC433" s="311"/>
      <c r="AD433" s="268"/>
      <c r="AE433" s="158"/>
      <c r="AF433" s="158"/>
      <c r="AG433" s="61"/>
      <c r="AH433" s="61"/>
      <c r="AI433" s="61">
        <v>145823738</v>
      </c>
      <c r="AJ433" s="61"/>
      <c r="AK433" s="666">
        <f t="shared" si="120"/>
        <v>145823738</v>
      </c>
      <c r="AL433" s="667">
        <v>877</v>
      </c>
      <c r="AM433" s="667">
        <v>20</v>
      </c>
      <c r="AN433" s="61">
        <v>2</v>
      </c>
      <c r="AO433" s="61"/>
      <c r="AP433" s="532"/>
      <c r="AQ433" s="532"/>
      <c r="AR433" s="532"/>
      <c r="AS433" s="532"/>
      <c r="AT433" s="2">
        <v>0</v>
      </c>
      <c r="AU433" s="58" t="s">
        <v>521</v>
      </c>
      <c r="AV433" s="462"/>
      <c r="AW433" s="531"/>
      <c r="AX433" s="531"/>
      <c r="AY433" s="531"/>
      <c r="AZ433" s="531"/>
      <c r="BA433" s="531"/>
      <c r="BB433" s="531"/>
      <c r="BC433" s="531"/>
      <c r="BD433" s="531"/>
      <c r="BE433" s="531"/>
      <c r="BF433" s="531"/>
      <c r="BG433" s="464"/>
      <c r="BH433" s="464">
        <v>2020</v>
      </c>
      <c r="BI433" s="271" t="s">
        <v>2375</v>
      </c>
    </row>
    <row r="434" spans="1:61" s="204" customFormat="1" ht="33" customHeight="1">
      <c r="A434" s="248" t="s">
        <v>509</v>
      </c>
      <c r="B434" s="58" t="s">
        <v>173</v>
      </c>
      <c r="C434" s="55" t="s">
        <v>2411</v>
      </c>
      <c r="D434" s="33" t="s">
        <v>1167</v>
      </c>
      <c r="E434" s="659"/>
      <c r="F434" s="78">
        <v>4</v>
      </c>
      <c r="G434" s="78"/>
      <c r="H434" s="533" t="s">
        <v>2236</v>
      </c>
      <c r="I434" s="551" t="s">
        <v>2262</v>
      </c>
      <c r="J434" s="549" t="s">
        <v>2263</v>
      </c>
      <c r="K434" s="529"/>
      <c r="L434" s="530"/>
      <c r="M434" s="60"/>
      <c r="N434" s="227">
        <v>14</v>
      </c>
      <c r="O434" s="60"/>
      <c r="P434" s="61">
        <f>(559839049+460927352)</f>
        <v>1020766401</v>
      </c>
      <c r="Q434" s="61"/>
      <c r="R434" s="158"/>
      <c r="S434" s="61"/>
      <c r="T434" s="529"/>
      <c r="U434" s="94">
        <v>559839049</v>
      </c>
      <c r="V434" s="61">
        <v>20</v>
      </c>
      <c r="W434" s="460">
        <v>43951</v>
      </c>
      <c r="X434" s="460"/>
      <c r="Y434" s="460"/>
      <c r="Z434" s="61"/>
      <c r="AA434" s="521">
        <v>20</v>
      </c>
      <c r="AB434" s="311"/>
      <c r="AC434" s="311"/>
      <c r="AD434" s="268"/>
      <c r="AE434" s="158"/>
      <c r="AF434" s="158">
        <f>P434</f>
        <v>1020766401</v>
      </c>
      <c r="AG434" s="61"/>
      <c r="AH434" s="61"/>
      <c r="AI434" s="61">
        <v>1020766401</v>
      </c>
      <c r="AJ434" s="61"/>
      <c r="AK434" s="666">
        <f t="shared" si="120"/>
        <v>460927352</v>
      </c>
      <c r="AL434" s="667">
        <v>877</v>
      </c>
      <c r="AM434" s="667">
        <v>20</v>
      </c>
      <c r="AN434" s="61"/>
      <c r="AO434" s="61">
        <v>14</v>
      </c>
      <c r="AP434" s="532"/>
      <c r="AQ434" s="532"/>
      <c r="AR434" s="532"/>
      <c r="AS434" s="532"/>
      <c r="AT434" s="2">
        <v>0</v>
      </c>
      <c r="AU434" s="58" t="s">
        <v>38</v>
      </c>
      <c r="AV434" s="462" t="s">
        <v>2260</v>
      </c>
      <c r="AW434" s="531"/>
      <c r="AX434" s="531"/>
      <c r="AY434" s="531"/>
      <c r="AZ434" s="531"/>
      <c r="BA434" s="531"/>
      <c r="BB434" s="531"/>
      <c r="BC434" s="531"/>
      <c r="BD434" s="531"/>
      <c r="BE434" s="531"/>
      <c r="BF434" s="531"/>
      <c r="BG434" s="464"/>
      <c r="BH434" s="712">
        <v>2020</v>
      </c>
      <c r="BI434" s="271" t="s">
        <v>2375</v>
      </c>
    </row>
    <row r="435" spans="1:61" ht="15" customHeight="1">
      <c r="A435" s="371" t="s">
        <v>510</v>
      </c>
      <c r="B435" s="371"/>
      <c r="C435" s="371"/>
      <c r="D435" s="371"/>
      <c r="E435" s="371"/>
      <c r="F435" s="371"/>
      <c r="G435" s="371"/>
      <c r="H435" s="371"/>
      <c r="I435" s="371"/>
      <c r="J435" s="371"/>
      <c r="K435" s="424">
        <f>SUM(K436:K627)</f>
        <v>689</v>
      </c>
      <c r="L435" s="424">
        <f>SUM(L436:L627)</f>
        <v>1029</v>
      </c>
      <c r="M435" s="424">
        <f>SUM(M436:M627)</f>
        <v>903</v>
      </c>
      <c r="N435" s="424">
        <f>SUM(N436:N634)</f>
        <v>1051</v>
      </c>
      <c r="O435" s="424">
        <f>SUM(O436:O634)</f>
        <v>124</v>
      </c>
      <c r="P435" s="371"/>
      <c r="Q435" s="371"/>
      <c r="R435" s="371"/>
      <c r="S435" s="371"/>
      <c r="T435" s="371"/>
      <c r="U435" s="371"/>
      <c r="V435" s="371"/>
      <c r="W435" s="371"/>
      <c r="X435" s="371"/>
      <c r="Y435" s="371"/>
      <c r="Z435" s="371"/>
      <c r="AA435" s="371"/>
      <c r="AB435" s="371"/>
      <c r="AC435" s="371"/>
      <c r="AD435" s="371"/>
      <c r="AE435" s="371"/>
      <c r="AF435" s="371"/>
      <c r="AG435" s="371"/>
      <c r="AH435" s="371"/>
      <c r="AI435" s="371"/>
      <c r="AJ435" s="371"/>
      <c r="AK435" s="371"/>
      <c r="AL435" s="371"/>
      <c r="AM435" s="371"/>
      <c r="AN435" s="424">
        <f t="shared" ref="AN435:AS435" si="125">SUM(AN436:AN634)</f>
        <v>237</v>
      </c>
      <c r="AO435" s="424">
        <f>SUM(AO436:AO634)</f>
        <v>433</v>
      </c>
      <c r="AP435" s="424">
        <f t="shared" si="125"/>
        <v>427</v>
      </c>
      <c r="AQ435" s="424">
        <f t="shared" si="125"/>
        <v>78</v>
      </c>
      <c r="AR435" s="424">
        <f t="shared" si="125"/>
        <v>0</v>
      </c>
      <c r="AS435" s="424">
        <f t="shared" si="125"/>
        <v>0</v>
      </c>
      <c r="AT435" s="371"/>
      <c r="AU435" s="371"/>
      <c r="AV435" s="385"/>
      <c r="AW435" s="424">
        <f t="shared" ref="AW435:AZ435" si="126">SUM(AW436:AW627)</f>
        <v>1162</v>
      </c>
      <c r="AX435" s="424">
        <f t="shared" si="126"/>
        <v>984</v>
      </c>
      <c r="AY435" s="424">
        <f t="shared" si="126"/>
        <v>729</v>
      </c>
      <c r="AZ435" s="424">
        <f t="shared" si="126"/>
        <v>1007</v>
      </c>
      <c r="BA435" s="424">
        <f t="shared" ref="BA435:BE435" si="127">SUM(BA436:BA634)</f>
        <v>427</v>
      </c>
      <c r="BB435" s="424">
        <f t="shared" si="127"/>
        <v>570</v>
      </c>
      <c r="BC435" s="424">
        <f t="shared" si="127"/>
        <v>159</v>
      </c>
      <c r="BD435" s="424">
        <f t="shared" si="127"/>
        <v>1593</v>
      </c>
      <c r="BE435" s="424">
        <f t="shared" si="127"/>
        <v>32</v>
      </c>
      <c r="BF435" s="371"/>
      <c r="BG435" s="371">
        <v>2019</v>
      </c>
      <c r="BH435" s="371">
        <v>2020</v>
      </c>
      <c r="BI435" s="434" t="s">
        <v>2419</v>
      </c>
    </row>
    <row r="436" spans="1:61" s="204" customFormat="1" ht="15" customHeight="1">
      <c r="A436" s="160" t="s">
        <v>510</v>
      </c>
      <c r="B436" s="58" t="s">
        <v>186</v>
      </c>
      <c r="C436" s="148" t="s">
        <v>843</v>
      </c>
      <c r="D436" s="33" t="s">
        <v>61</v>
      </c>
      <c r="E436" s="33"/>
      <c r="F436" s="33"/>
      <c r="G436" s="33"/>
      <c r="H436" s="30"/>
      <c r="I436" s="58"/>
      <c r="J436" s="212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94"/>
      <c r="V436" s="158"/>
      <c r="W436" s="311"/>
      <c r="X436" s="311"/>
      <c r="Y436" s="311"/>
      <c r="Z436" s="94"/>
      <c r="AA436" s="158"/>
      <c r="AB436" s="158"/>
      <c r="AC436" s="158"/>
      <c r="AD436" s="158"/>
      <c r="AE436" s="158"/>
      <c r="AF436" s="158"/>
      <c r="AG436" s="158"/>
      <c r="AH436" s="158"/>
      <c r="AI436" s="158"/>
      <c r="AJ436" s="158"/>
      <c r="AK436" s="158"/>
      <c r="AL436" s="158"/>
      <c r="AM436" s="158"/>
      <c r="AN436" s="158"/>
      <c r="AO436" s="158"/>
      <c r="AP436" s="158"/>
      <c r="AQ436" s="158"/>
      <c r="AR436" s="158"/>
      <c r="AS436" s="158"/>
      <c r="AT436" s="2"/>
      <c r="AU436" s="58"/>
      <c r="AV436" s="102"/>
      <c r="AW436" s="158">
        <v>40</v>
      </c>
      <c r="AX436" s="158"/>
      <c r="AY436" s="158"/>
      <c r="AZ436" s="158"/>
      <c r="BA436" s="158"/>
      <c r="BB436" s="158"/>
      <c r="BC436" s="69"/>
      <c r="BD436" s="69"/>
      <c r="BE436" s="69"/>
      <c r="BF436" s="271">
        <v>2016</v>
      </c>
      <c r="BG436" s="271"/>
      <c r="BH436" s="271"/>
      <c r="BI436" s="271" t="s">
        <v>2376</v>
      </c>
    </row>
    <row r="437" spans="1:61" s="204" customFormat="1" ht="15" customHeight="1">
      <c r="A437" s="160" t="s">
        <v>510</v>
      </c>
      <c r="B437" s="58" t="s">
        <v>205</v>
      </c>
      <c r="C437" s="148" t="s">
        <v>844</v>
      </c>
      <c r="D437" s="33" t="s">
        <v>191</v>
      </c>
      <c r="E437" s="33"/>
      <c r="F437" s="33"/>
      <c r="G437" s="33"/>
      <c r="H437" s="115" t="s">
        <v>673</v>
      </c>
      <c r="I437" s="30"/>
      <c r="J437" s="212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94"/>
      <c r="V437" s="158"/>
      <c r="W437" s="311"/>
      <c r="X437" s="311"/>
      <c r="Y437" s="311"/>
      <c r="Z437" s="94"/>
      <c r="AA437" s="158"/>
      <c r="AB437" s="158"/>
      <c r="AC437" s="158"/>
      <c r="AD437" s="158"/>
      <c r="AE437" s="158"/>
      <c r="AF437" s="158"/>
      <c r="AG437" s="158"/>
      <c r="AH437" s="158"/>
      <c r="AI437" s="158"/>
      <c r="AJ437" s="158"/>
      <c r="AK437" s="158"/>
      <c r="AL437" s="158"/>
      <c r="AM437" s="158"/>
      <c r="AN437" s="158"/>
      <c r="AO437" s="158"/>
      <c r="AP437" s="158"/>
      <c r="AQ437" s="158"/>
      <c r="AR437" s="158"/>
      <c r="AS437" s="158"/>
      <c r="AT437" s="2">
        <v>1</v>
      </c>
      <c r="AU437" s="58" t="s">
        <v>646</v>
      </c>
      <c r="AV437" s="105"/>
      <c r="AW437" s="158"/>
      <c r="AX437" s="158">
        <v>23</v>
      </c>
      <c r="AY437" s="158"/>
      <c r="AZ437" s="158"/>
      <c r="BA437" s="158"/>
      <c r="BB437" s="158"/>
      <c r="BC437" s="69"/>
      <c r="BD437" s="69"/>
      <c r="BE437" s="69"/>
      <c r="BF437" s="271">
        <v>2017</v>
      </c>
      <c r="BG437" s="271"/>
      <c r="BH437" s="271"/>
      <c r="BI437" s="271" t="s">
        <v>2376</v>
      </c>
    </row>
    <row r="438" spans="1:61" s="204" customFormat="1" ht="15" customHeight="1">
      <c r="A438" s="160" t="s">
        <v>510</v>
      </c>
      <c r="B438" s="58" t="s">
        <v>188</v>
      </c>
      <c r="C438" s="148" t="s">
        <v>187</v>
      </c>
      <c r="D438" s="33" t="s">
        <v>61</v>
      </c>
      <c r="E438" s="33"/>
      <c r="F438" s="33"/>
      <c r="G438" s="33"/>
      <c r="H438" s="30"/>
      <c r="I438" s="58"/>
      <c r="J438" s="212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94"/>
      <c r="V438" s="158"/>
      <c r="W438" s="311"/>
      <c r="X438" s="311"/>
      <c r="Y438" s="311"/>
      <c r="Z438" s="94"/>
      <c r="AA438" s="158"/>
      <c r="AB438" s="158"/>
      <c r="AC438" s="158"/>
      <c r="AD438" s="158"/>
      <c r="AE438" s="158"/>
      <c r="AF438" s="158"/>
      <c r="AG438" s="158"/>
      <c r="AH438" s="158"/>
      <c r="AI438" s="158"/>
      <c r="AJ438" s="158"/>
      <c r="AK438" s="158"/>
      <c r="AL438" s="158"/>
      <c r="AM438" s="158"/>
      <c r="AN438" s="158"/>
      <c r="AO438" s="158"/>
      <c r="AP438" s="158"/>
      <c r="AQ438" s="158"/>
      <c r="AR438" s="158"/>
      <c r="AS438" s="158"/>
      <c r="AT438" s="2"/>
      <c r="AU438" s="58"/>
      <c r="AV438" s="105"/>
      <c r="AW438" s="158">
        <v>25</v>
      </c>
      <c r="AX438" s="158"/>
      <c r="AY438" s="158"/>
      <c r="AZ438" s="158"/>
      <c r="BA438" s="158"/>
      <c r="BB438" s="158"/>
      <c r="BC438" s="69"/>
      <c r="BD438" s="69"/>
      <c r="BE438" s="69"/>
      <c r="BF438" s="271">
        <v>2016</v>
      </c>
      <c r="BG438" s="271"/>
      <c r="BH438" s="271"/>
      <c r="BI438" s="271" t="s">
        <v>2376</v>
      </c>
    </row>
    <row r="439" spans="1:61" s="204" customFormat="1" ht="15" customHeight="1">
      <c r="A439" s="160" t="s">
        <v>510</v>
      </c>
      <c r="B439" s="58" t="s">
        <v>262</v>
      </c>
      <c r="C439" s="148" t="s">
        <v>554</v>
      </c>
      <c r="D439" s="33" t="s">
        <v>555</v>
      </c>
      <c r="E439" s="33"/>
      <c r="F439" s="33"/>
      <c r="G439" s="33"/>
      <c r="H439" s="30" t="s">
        <v>647</v>
      </c>
      <c r="I439" s="30"/>
      <c r="J439" s="212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94"/>
      <c r="V439" s="158"/>
      <c r="W439" s="311"/>
      <c r="X439" s="311"/>
      <c r="Y439" s="311"/>
      <c r="Z439" s="94"/>
      <c r="AA439" s="158"/>
      <c r="AB439" s="158"/>
      <c r="AC439" s="158"/>
      <c r="AD439" s="158"/>
      <c r="AE439" s="158"/>
      <c r="AF439" s="158"/>
      <c r="AG439" s="158"/>
      <c r="AH439" s="158"/>
      <c r="AI439" s="158"/>
      <c r="AJ439" s="158"/>
      <c r="AK439" s="158"/>
      <c r="AL439" s="158"/>
      <c r="AM439" s="158"/>
      <c r="AN439" s="158"/>
      <c r="AO439" s="158"/>
      <c r="AP439" s="158"/>
      <c r="AQ439" s="158"/>
      <c r="AR439" s="158"/>
      <c r="AS439" s="158"/>
      <c r="AT439" s="2">
        <v>1</v>
      </c>
      <c r="AU439" s="58" t="s">
        <v>646</v>
      </c>
      <c r="AV439" s="105"/>
      <c r="AW439" s="158"/>
      <c r="AX439" s="158">
        <v>37</v>
      </c>
      <c r="AY439" s="158"/>
      <c r="AZ439" s="158"/>
      <c r="BA439" s="158"/>
      <c r="BB439" s="158"/>
      <c r="BC439" s="69"/>
      <c r="BD439" s="69"/>
      <c r="BE439" s="69"/>
      <c r="BF439" s="271">
        <v>2017</v>
      </c>
      <c r="BG439" s="271"/>
      <c r="BH439" s="271"/>
      <c r="BI439" s="271" t="s">
        <v>2376</v>
      </c>
    </row>
    <row r="440" spans="1:61" s="204" customFormat="1" ht="15" customHeight="1">
      <c r="A440" s="160" t="s">
        <v>510</v>
      </c>
      <c r="B440" s="58" t="s">
        <v>188</v>
      </c>
      <c r="C440" s="148" t="s">
        <v>189</v>
      </c>
      <c r="D440" s="33" t="s">
        <v>190</v>
      </c>
      <c r="E440" s="33"/>
      <c r="F440" s="33"/>
      <c r="G440" s="33"/>
      <c r="H440" s="30"/>
      <c r="I440" s="58"/>
      <c r="J440" s="212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94"/>
      <c r="V440" s="158"/>
      <c r="W440" s="311"/>
      <c r="X440" s="311"/>
      <c r="Y440" s="311"/>
      <c r="Z440" s="94"/>
      <c r="AA440" s="158"/>
      <c r="AB440" s="158"/>
      <c r="AC440" s="158"/>
      <c r="AD440" s="158"/>
      <c r="AE440" s="158"/>
      <c r="AF440" s="158"/>
      <c r="AG440" s="158"/>
      <c r="AH440" s="158"/>
      <c r="AI440" s="158"/>
      <c r="AJ440" s="158"/>
      <c r="AK440" s="158"/>
      <c r="AL440" s="158"/>
      <c r="AM440" s="158"/>
      <c r="AN440" s="158"/>
      <c r="AO440" s="158"/>
      <c r="AP440" s="158"/>
      <c r="AQ440" s="158"/>
      <c r="AR440" s="158"/>
      <c r="AS440" s="158"/>
      <c r="AT440" s="2"/>
      <c r="AU440" s="58"/>
      <c r="AV440" s="105"/>
      <c r="AW440" s="158">
        <v>26</v>
      </c>
      <c r="AX440" s="158"/>
      <c r="AY440" s="158"/>
      <c r="AZ440" s="158"/>
      <c r="BA440" s="158"/>
      <c r="BB440" s="158"/>
      <c r="BC440" s="69"/>
      <c r="BD440" s="69"/>
      <c r="BE440" s="69"/>
      <c r="BF440" s="271">
        <v>2016</v>
      </c>
      <c r="BG440" s="271"/>
      <c r="BH440" s="271"/>
      <c r="BI440" s="271" t="s">
        <v>2376</v>
      </c>
    </row>
    <row r="441" spans="1:61" s="204" customFormat="1" ht="15" customHeight="1">
      <c r="A441" s="160" t="s">
        <v>510</v>
      </c>
      <c r="B441" s="58" t="s">
        <v>192</v>
      </c>
      <c r="C441" s="148" t="s">
        <v>692</v>
      </c>
      <c r="D441" s="33" t="s">
        <v>191</v>
      </c>
      <c r="E441" s="33"/>
      <c r="F441" s="33"/>
      <c r="G441" s="33"/>
      <c r="H441" s="30" t="s">
        <v>647</v>
      </c>
      <c r="I441" s="30"/>
      <c r="J441" s="212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94"/>
      <c r="V441" s="158"/>
      <c r="W441" s="311"/>
      <c r="X441" s="311"/>
      <c r="Y441" s="311"/>
      <c r="Z441" s="94"/>
      <c r="AA441" s="158"/>
      <c r="AB441" s="158"/>
      <c r="AC441" s="158"/>
      <c r="AD441" s="158"/>
      <c r="AE441" s="158"/>
      <c r="AF441" s="158"/>
      <c r="AG441" s="158"/>
      <c r="AH441" s="158"/>
      <c r="AI441" s="158"/>
      <c r="AJ441" s="158"/>
      <c r="AK441" s="158"/>
      <c r="AL441" s="158"/>
      <c r="AM441" s="158"/>
      <c r="AN441" s="158"/>
      <c r="AO441" s="158"/>
      <c r="AP441" s="158"/>
      <c r="AQ441" s="158"/>
      <c r="AR441" s="158"/>
      <c r="AS441" s="158"/>
      <c r="AT441" s="2">
        <v>1</v>
      </c>
      <c r="AU441" s="58" t="s">
        <v>646</v>
      </c>
      <c r="AV441" s="105"/>
      <c r="AW441" s="158" t="s">
        <v>0</v>
      </c>
      <c r="AX441" s="158">
        <v>10</v>
      </c>
      <c r="AY441" s="158"/>
      <c r="AZ441" s="158"/>
      <c r="BA441" s="158"/>
      <c r="BB441" s="158"/>
      <c r="BC441" s="69"/>
      <c r="BD441" s="69"/>
      <c r="BE441" s="69"/>
      <c r="BF441" s="271">
        <v>2017</v>
      </c>
      <c r="BG441" s="271"/>
      <c r="BH441" s="271"/>
      <c r="BI441" s="271" t="s">
        <v>2376</v>
      </c>
    </row>
    <row r="442" spans="1:61" s="204" customFormat="1" ht="18" customHeight="1">
      <c r="A442" s="160" t="s">
        <v>510</v>
      </c>
      <c r="B442" s="58" t="s">
        <v>546</v>
      </c>
      <c r="C442" s="148" t="s">
        <v>193</v>
      </c>
      <c r="D442" s="33" t="s">
        <v>7</v>
      </c>
      <c r="E442" s="33"/>
      <c r="F442" s="33"/>
      <c r="G442" s="33"/>
      <c r="H442" s="30" t="s">
        <v>647</v>
      </c>
      <c r="I442" s="115" t="s">
        <v>1456</v>
      </c>
      <c r="J442" s="215" t="s">
        <v>1457</v>
      </c>
      <c r="K442" s="158"/>
      <c r="L442" s="158">
        <v>38</v>
      </c>
      <c r="M442" s="158"/>
      <c r="N442" s="158"/>
      <c r="O442" s="158"/>
      <c r="P442" s="158"/>
      <c r="Q442" s="158"/>
      <c r="R442" s="158"/>
      <c r="S442" s="158"/>
      <c r="T442" s="158"/>
      <c r="U442" s="94"/>
      <c r="V442" s="158"/>
      <c r="W442" s="311"/>
      <c r="X442" s="311"/>
      <c r="Y442" s="311"/>
      <c r="Z442" s="94">
        <v>1195020433</v>
      </c>
      <c r="AA442" s="158">
        <v>10</v>
      </c>
      <c r="AB442" s="311">
        <v>43344</v>
      </c>
      <c r="AC442" s="158"/>
      <c r="AD442" s="158"/>
      <c r="AE442" s="158"/>
      <c r="AF442" s="158">
        <f>P442-U442-Z442</f>
        <v>-1195020433</v>
      </c>
      <c r="AG442" s="158"/>
      <c r="AH442" s="94">
        <v>0</v>
      </c>
      <c r="AI442" s="94">
        <v>0</v>
      </c>
      <c r="AJ442" s="94"/>
      <c r="AK442" s="158">
        <f t="shared" ref="AK442:AK443" si="128">AF442+AH442</f>
        <v>-1195020433</v>
      </c>
      <c r="AL442" s="158"/>
      <c r="AM442" s="158"/>
      <c r="AN442" s="158"/>
      <c r="AO442" s="158"/>
      <c r="AP442" s="158"/>
      <c r="AQ442" s="158"/>
      <c r="AR442" s="158"/>
      <c r="AS442" s="158"/>
      <c r="AT442" s="2">
        <v>1</v>
      </c>
      <c r="AU442" s="58" t="s">
        <v>646</v>
      </c>
      <c r="AV442" s="386"/>
      <c r="AW442" s="158" t="s">
        <v>0</v>
      </c>
      <c r="AX442" s="158"/>
      <c r="AY442" s="158"/>
      <c r="AZ442" s="158">
        <v>38</v>
      </c>
      <c r="BA442" s="158"/>
      <c r="BB442" s="158"/>
      <c r="BC442" s="69"/>
      <c r="BD442" s="69">
        <f>+AZ442</f>
        <v>38</v>
      </c>
      <c r="BE442" s="69"/>
      <c r="BF442" s="271">
        <v>2019</v>
      </c>
      <c r="BG442" s="271">
        <v>2019</v>
      </c>
      <c r="BH442" s="271"/>
      <c r="BI442" s="271" t="s">
        <v>2375</v>
      </c>
    </row>
    <row r="443" spans="1:61" s="204" customFormat="1" ht="18" customHeight="1">
      <c r="A443" s="160" t="s">
        <v>510</v>
      </c>
      <c r="B443" s="58" t="s">
        <v>546</v>
      </c>
      <c r="C443" s="148" t="s">
        <v>193</v>
      </c>
      <c r="D443" s="33" t="s">
        <v>7</v>
      </c>
      <c r="E443" s="33"/>
      <c r="F443" s="33"/>
      <c r="G443" s="33"/>
      <c r="H443" s="30" t="s">
        <v>647</v>
      </c>
      <c r="I443" s="115" t="s">
        <v>1456</v>
      </c>
      <c r="J443" s="215" t="s">
        <v>1457</v>
      </c>
      <c r="K443" s="158"/>
      <c r="L443" s="158">
        <v>6</v>
      </c>
      <c r="M443" s="158"/>
      <c r="N443" s="158"/>
      <c r="O443" s="158"/>
      <c r="P443" s="158">
        <v>329484075</v>
      </c>
      <c r="Q443" s="158"/>
      <c r="R443" s="158"/>
      <c r="S443" s="158"/>
      <c r="T443" s="158"/>
      <c r="U443" s="94">
        <v>152385047</v>
      </c>
      <c r="V443" s="158"/>
      <c r="W443" s="311"/>
      <c r="X443" s="311"/>
      <c r="Y443" s="311"/>
      <c r="Z443" s="94">
        <v>177099028</v>
      </c>
      <c r="AA443" s="158">
        <v>10</v>
      </c>
      <c r="AB443" s="311">
        <v>43497</v>
      </c>
      <c r="AC443" s="311"/>
      <c r="AD443" s="158"/>
      <c r="AE443" s="158"/>
      <c r="AF443" s="158">
        <f>P443-U443-Z443</f>
        <v>0</v>
      </c>
      <c r="AG443" s="158"/>
      <c r="AH443" s="94">
        <v>0</v>
      </c>
      <c r="AI443" s="94">
        <v>0</v>
      </c>
      <c r="AJ443" s="94"/>
      <c r="AK443" s="158">
        <f t="shared" si="128"/>
        <v>0</v>
      </c>
      <c r="AL443" s="158">
        <v>877</v>
      </c>
      <c r="AM443" s="158">
        <v>10</v>
      </c>
      <c r="AN443" s="158"/>
      <c r="AO443" s="158"/>
      <c r="AP443" s="158"/>
      <c r="AQ443" s="158"/>
      <c r="AR443" s="158"/>
      <c r="AS443" s="158"/>
      <c r="AT443" s="2">
        <v>1</v>
      </c>
      <c r="AU443" s="58" t="s">
        <v>646</v>
      </c>
      <c r="AV443" s="7" t="s">
        <v>1343</v>
      </c>
      <c r="AW443" s="158"/>
      <c r="AX443" s="158"/>
      <c r="AY443" s="158"/>
      <c r="AZ443" s="158">
        <v>6</v>
      </c>
      <c r="BA443" s="158"/>
      <c r="BB443" s="158"/>
      <c r="BC443" s="69"/>
      <c r="BD443" s="69">
        <v>6</v>
      </c>
      <c r="BE443" s="69"/>
      <c r="BF443" s="271">
        <v>2019</v>
      </c>
      <c r="BG443" s="271">
        <v>2019</v>
      </c>
      <c r="BH443" s="271"/>
      <c r="BI443" s="271" t="s">
        <v>2375</v>
      </c>
    </row>
    <row r="444" spans="1:61" s="204" customFormat="1" ht="15" customHeight="1">
      <c r="A444" s="160" t="s">
        <v>510</v>
      </c>
      <c r="B444" s="58" t="s">
        <v>207</v>
      </c>
      <c r="C444" s="148" t="s">
        <v>1104</v>
      </c>
      <c r="D444" s="33" t="s">
        <v>170</v>
      </c>
      <c r="E444" s="33"/>
      <c r="F444" s="33"/>
      <c r="G444" s="33"/>
      <c r="H444" s="30" t="s">
        <v>657</v>
      </c>
      <c r="I444" s="30"/>
      <c r="J444" s="212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94"/>
      <c r="V444" s="158"/>
      <c r="W444" s="311"/>
      <c r="X444" s="311"/>
      <c r="Y444" s="311"/>
      <c r="Z444" s="94"/>
      <c r="AA444" s="158"/>
      <c r="AB444" s="158"/>
      <c r="AC444" s="158"/>
      <c r="AD444" s="158"/>
      <c r="AE444" s="158"/>
      <c r="AF444" s="158"/>
      <c r="AG444" s="158"/>
      <c r="AH444" s="158"/>
      <c r="AI444" s="158"/>
      <c r="AJ444" s="158"/>
      <c r="AK444" s="158"/>
      <c r="AL444" s="158"/>
      <c r="AM444" s="158"/>
      <c r="AN444" s="158"/>
      <c r="AO444" s="158"/>
      <c r="AP444" s="158"/>
      <c r="AQ444" s="158"/>
      <c r="AR444" s="158"/>
      <c r="AS444" s="158"/>
      <c r="AT444" s="2">
        <v>1</v>
      </c>
      <c r="AU444" s="58" t="s">
        <v>646</v>
      </c>
      <c r="AV444" s="105"/>
      <c r="AW444" s="158"/>
      <c r="AX444" s="158"/>
      <c r="AY444" s="72">
        <v>40</v>
      </c>
      <c r="AZ444" s="158"/>
      <c r="BA444" s="158"/>
      <c r="BB444" s="158">
        <v>40</v>
      </c>
      <c r="BC444" s="69"/>
      <c r="BD444" s="69"/>
      <c r="BE444" s="69"/>
      <c r="BF444" s="271">
        <v>2018</v>
      </c>
      <c r="BG444" s="271"/>
      <c r="BH444" s="271"/>
      <c r="BI444" s="271" t="s">
        <v>2376</v>
      </c>
    </row>
    <row r="445" spans="1:61" s="204" customFormat="1" ht="18" customHeight="1">
      <c r="A445" s="160" t="s">
        <v>510</v>
      </c>
      <c r="B445" s="58" t="s">
        <v>207</v>
      </c>
      <c r="C445" s="148" t="s">
        <v>1104</v>
      </c>
      <c r="D445" s="33" t="s">
        <v>170</v>
      </c>
      <c r="E445" s="33"/>
      <c r="F445" s="33"/>
      <c r="G445" s="33"/>
      <c r="H445" s="30" t="s">
        <v>657</v>
      </c>
      <c r="I445" s="30">
        <v>1855</v>
      </c>
      <c r="J445" s="212">
        <v>42978</v>
      </c>
      <c r="K445" s="158"/>
      <c r="L445" s="158"/>
      <c r="M445" s="158">
        <v>2</v>
      </c>
      <c r="N445" s="158"/>
      <c r="O445" s="158"/>
      <c r="P445" s="158"/>
      <c r="Q445" s="158"/>
      <c r="R445" s="158"/>
      <c r="S445" s="158"/>
      <c r="T445" s="158"/>
      <c r="U445" s="94"/>
      <c r="V445" s="158"/>
      <c r="W445" s="311"/>
      <c r="X445" s="311"/>
      <c r="Y445" s="311"/>
      <c r="Z445" s="94"/>
      <c r="AA445" s="158"/>
      <c r="AB445" s="5"/>
      <c r="AC445" s="5"/>
      <c r="AD445" s="5"/>
      <c r="AE445" s="158"/>
      <c r="AF445" s="158">
        <f>P445-U445-Z445</f>
        <v>0</v>
      </c>
      <c r="AG445" s="158"/>
      <c r="AH445" s="94">
        <v>0</v>
      </c>
      <c r="AI445" s="94">
        <v>0</v>
      </c>
      <c r="AJ445" s="94"/>
      <c r="AK445" s="158">
        <f t="shared" ref="AK445" si="129">AF445+AH445</f>
        <v>0</v>
      </c>
      <c r="AL445" s="158"/>
      <c r="AM445" s="158"/>
      <c r="AN445" s="158"/>
      <c r="AO445" s="158"/>
      <c r="AP445" s="158"/>
      <c r="AQ445" s="158"/>
      <c r="AR445" s="158"/>
      <c r="AS445" s="158"/>
      <c r="AT445" s="2">
        <v>0</v>
      </c>
      <c r="AU445" s="58" t="s">
        <v>687</v>
      </c>
      <c r="AV445" s="387" t="s">
        <v>1363</v>
      </c>
      <c r="AW445" s="158"/>
      <c r="AX445" s="158"/>
      <c r="AY445" s="158"/>
      <c r="AZ445" s="158"/>
      <c r="BA445" s="158"/>
      <c r="BB445" s="158"/>
      <c r="BC445" s="69"/>
      <c r="BD445" s="69"/>
      <c r="BE445" s="69">
        <v>2</v>
      </c>
      <c r="BF445" s="271" t="s">
        <v>1706</v>
      </c>
      <c r="BG445" s="271">
        <v>2019</v>
      </c>
      <c r="BH445" s="271"/>
      <c r="BI445" s="271" t="s">
        <v>2375</v>
      </c>
    </row>
    <row r="446" spans="1:61" s="204" customFormat="1" ht="37.5" customHeight="1">
      <c r="A446" s="160" t="s">
        <v>510</v>
      </c>
      <c r="B446" s="58" t="s">
        <v>194</v>
      </c>
      <c r="C446" s="148" t="s">
        <v>847</v>
      </c>
      <c r="D446" s="33" t="s">
        <v>191</v>
      </c>
      <c r="E446" s="33"/>
      <c r="F446" s="33"/>
      <c r="G446" s="33"/>
      <c r="H446" s="30" t="s">
        <v>647</v>
      </c>
      <c r="I446" s="272" t="s">
        <v>1675</v>
      </c>
      <c r="J446" s="215" t="s">
        <v>1676</v>
      </c>
      <c r="K446" s="158"/>
      <c r="L446" s="158"/>
      <c r="M446" s="158"/>
      <c r="N446" s="158"/>
      <c r="O446" s="158"/>
      <c r="P446" s="158">
        <f>397823873-3590247</f>
        <v>394233626</v>
      </c>
      <c r="Q446" s="158"/>
      <c r="R446" s="158"/>
      <c r="S446" s="158"/>
      <c r="T446" s="158"/>
      <c r="U446" s="94">
        <v>178527450</v>
      </c>
      <c r="V446" s="158"/>
      <c r="W446" s="311"/>
      <c r="X446" s="311"/>
      <c r="Y446" s="311"/>
      <c r="Z446" s="94">
        <v>215706176</v>
      </c>
      <c r="AA446" s="69"/>
      <c r="AB446" s="69"/>
      <c r="AC446" s="69"/>
      <c r="AD446" s="69"/>
      <c r="AE446" s="158"/>
      <c r="AF446" s="158">
        <f>P446-U446-Z446</f>
        <v>0</v>
      </c>
      <c r="AG446" s="158"/>
      <c r="AH446" s="158"/>
      <c r="AI446" s="158"/>
      <c r="AJ446" s="158"/>
      <c r="AK446" s="158"/>
      <c r="AL446" s="158">
        <v>877</v>
      </c>
      <c r="AM446" s="158">
        <v>10</v>
      </c>
      <c r="AN446" s="158"/>
      <c r="AO446" s="158"/>
      <c r="AP446" s="158"/>
      <c r="AQ446" s="158"/>
      <c r="AR446" s="158"/>
      <c r="AS446" s="158"/>
      <c r="AT446" s="2"/>
      <c r="AU446" s="58"/>
      <c r="AV446" s="105" t="s">
        <v>1677</v>
      </c>
      <c r="AW446" s="158">
        <v>7</v>
      </c>
      <c r="AX446" s="158"/>
      <c r="AY446" s="158"/>
      <c r="AZ446" s="158"/>
      <c r="BA446" s="158"/>
      <c r="BB446" s="158"/>
      <c r="BC446" s="69"/>
      <c r="BD446" s="69"/>
      <c r="BE446" s="69"/>
      <c r="BF446" s="271">
        <v>2016</v>
      </c>
      <c r="BG446" s="271"/>
      <c r="BH446" s="271"/>
      <c r="BI446" s="271" t="s">
        <v>2376</v>
      </c>
    </row>
    <row r="447" spans="1:61" s="204" customFormat="1" ht="18" customHeight="1">
      <c r="A447" s="248" t="s">
        <v>510</v>
      </c>
      <c r="B447" s="58" t="s">
        <v>280</v>
      </c>
      <c r="C447" s="148" t="s">
        <v>845</v>
      </c>
      <c r="D447" s="33" t="s">
        <v>27</v>
      </c>
      <c r="E447" s="33"/>
      <c r="F447" s="33"/>
      <c r="G447" s="33"/>
      <c r="H447" s="30" t="s">
        <v>647</v>
      </c>
      <c r="I447" s="30">
        <v>748</v>
      </c>
      <c r="J447" s="212">
        <v>41782</v>
      </c>
      <c r="K447" s="158"/>
      <c r="L447" s="158"/>
      <c r="M447" s="158">
        <v>21</v>
      </c>
      <c r="N447" s="158"/>
      <c r="O447" s="158">
        <v>21</v>
      </c>
      <c r="P447" s="158"/>
      <c r="Q447" s="158"/>
      <c r="R447" s="158"/>
      <c r="S447" s="158"/>
      <c r="T447" s="158"/>
      <c r="U447" s="94"/>
      <c r="V447" s="158"/>
      <c r="W447" s="311"/>
      <c r="X447" s="311"/>
      <c r="Y447" s="311"/>
      <c r="Z447" s="94"/>
      <c r="AA447" s="158"/>
      <c r="AB447" s="92"/>
      <c r="AC447" s="92"/>
      <c r="AD447" s="92"/>
      <c r="AE447" s="158"/>
      <c r="AF447" s="158">
        <f>P447-U447-Z447</f>
        <v>0</v>
      </c>
      <c r="AG447" s="158"/>
      <c r="AH447" s="94">
        <v>0</v>
      </c>
      <c r="AI447" s="94">
        <v>0</v>
      </c>
      <c r="AJ447" s="94"/>
      <c r="AK447" s="158">
        <f t="shared" ref="AK447:AK448" si="130">P447-R447-U447-Z447</f>
        <v>0</v>
      </c>
      <c r="AL447" s="158"/>
      <c r="AM447" s="158"/>
      <c r="AN447" s="158">
        <v>21</v>
      </c>
      <c r="AO447" s="158"/>
      <c r="AP447" s="158"/>
      <c r="AQ447" s="158"/>
      <c r="AR447" s="158"/>
      <c r="AS447" s="158"/>
      <c r="AT447" s="2">
        <v>0</v>
      </c>
      <c r="AU447" s="58" t="s">
        <v>521</v>
      </c>
      <c r="AV447" s="453" t="s">
        <v>1304</v>
      </c>
      <c r="AW447" s="158" t="s">
        <v>0</v>
      </c>
      <c r="AX447" s="158"/>
      <c r="AY447" s="158"/>
      <c r="AZ447" s="158"/>
      <c r="BA447" s="158"/>
      <c r="BB447" s="158"/>
      <c r="BC447" s="69"/>
      <c r="BD447" s="69"/>
      <c r="BE447" s="69"/>
      <c r="BF447" s="271"/>
      <c r="BG447" s="271">
        <v>2019</v>
      </c>
      <c r="BH447" s="271">
        <v>2020</v>
      </c>
      <c r="BI447" s="271" t="s">
        <v>2375</v>
      </c>
    </row>
    <row r="448" spans="1:61" s="204" customFormat="1" ht="18" customHeight="1">
      <c r="A448" s="160" t="s">
        <v>510</v>
      </c>
      <c r="B448" s="58" t="s">
        <v>280</v>
      </c>
      <c r="C448" s="148" t="s">
        <v>846</v>
      </c>
      <c r="D448" s="33" t="s">
        <v>27</v>
      </c>
      <c r="E448" s="33"/>
      <c r="F448" s="33"/>
      <c r="G448" s="33"/>
      <c r="H448" s="30" t="s">
        <v>647</v>
      </c>
      <c r="I448" s="30">
        <v>748</v>
      </c>
      <c r="J448" s="212">
        <v>41782</v>
      </c>
      <c r="K448" s="158"/>
      <c r="L448" s="158"/>
      <c r="M448" s="158">
        <v>21</v>
      </c>
      <c r="N448" s="158"/>
      <c r="O448" s="158">
        <v>21</v>
      </c>
      <c r="P448" s="158"/>
      <c r="Q448" s="158"/>
      <c r="R448" s="158"/>
      <c r="S448" s="158"/>
      <c r="T448" s="158"/>
      <c r="U448" s="94"/>
      <c r="V448" s="158"/>
      <c r="W448" s="311"/>
      <c r="X448" s="311"/>
      <c r="Y448" s="311"/>
      <c r="Z448" s="94"/>
      <c r="AA448" s="158"/>
      <c r="AB448" s="158"/>
      <c r="AC448" s="158"/>
      <c r="AD448" s="158"/>
      <c r="AE448" s="158"/>
      <c r="AF448" s="158">
        <f>P448-U448-Z448</f>
        <v>0</v>
      </c>
      <c r="AG448" s="158"/>
      <c r="AH448" s="94">
        <v>0</v>
      </c>
      <c r="AI448" s="94">
        <v>0</v>
      </c>
      <c r="AJ448" s="94"/>
      <c r="AK448" s="158">
        <f t="shared" si="130"/>
        <v>0</v>
      </c>
      <c r="AL448" s="158"/>
      <c r="AM448" s="158"/>
      <c r="AN448" s="158">
        <v>21</v>
      </c>
      <c r="AO448" s="158"/>
      <c r="AP448" s="158"/>
      <c r="AQ448" s="158"/>
      <c r="AR448" s="158"/>
      <c r="AS448" s="158"/>
      <c r="AT448" s="2">
        <v>0</v>
      </c>
      <c r="AU448" s="58" t="s">
        <v>521</v>
      </c>
      <c r="AV448" s="453" t="s">
        <v>1304</v>
      </c>
      <c r="AW448" s="158" t="s">
        <v>0</v>
      </c>
      <c r="AX448" s="158"/>
      <c r="AY448" s="158"/>
      <c r="AZ448" s="158"/>
      <c r="BA448" s="158"/>
      <c r="BB448" s="158"/>
      <c r="BC448" s="69"/>
      <c r="BD448" s="69"/>
      <c r="BE448" s="69"/>
      <c r="BF448" s="271"/>
      <c r="BG448" s="271">
        <v>2019</v>
      </c>
      <c r="BH448" s="271">
        <v>2020</v>
      </c>
      <c r="BI448" s="271" t="s">
        <v>2375</v>
      </c>
    </row>
    <row r="449" spans="1:61" s="204" customFormat="1" ht="15" customHeight="1">
      <c r="A449" s="160" t="s">
        <v>510</v>
      </c>
      <c r="B449" s="58" t="s">
        <v>262</v>
      </c>
      <c r="C449" s="148" t="s">
        <v>195</v>
      </c>
      <c r="D449" s="33" t="s">
        <v>196</v>
      </c>
      <c r="E449" s="33"/>
      <c r="F449" s="33"/>
      <c r="G449" s="33"/>
      <c r="H449" s="30" t="s">
        <v>647</v>
      </c>
      <c r="I449" s="30"/>
      <c r="J449" s="212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94"/>
      <c r="V449" s="158"/>
      <c r="W449" s="311"/>
      <c r="X449" s="311"/>
      <c r="Y449" s="311"/>
      <c r="Z449" s="94"/>
      <c r="AA449" s="158"/>
      <c r="AB449" s="158"/>
      <c r="AC449" s="158"/>
      <c r="AD449" s="158"/>
      <c r="AE449" s="158"/>
      <c r="AF449" s="158"/>
      <c r="AG449" s="158"/>
      <c r="AH449" s="158"/>
      <c r="AI449" s="158"/>
      <c r="AJ449" s="158"/>
      <c r="AK449" s="158"/>
      <c r="AL449" s="158"/>
      <c r="AM449" s="158"/>
      <c r="AN449" s="158"/>
      <c r="AO449" s="158"/>
      <c r="AP449" s="158"/>
      <c r="AQ449" s="158"/>
      <c r="AR449" s="158"/>
      <c r="AS449" s="158"/>
      <c r="AT449" s="2">
        <v>1</v>
      </c>
      <c r="AU449" s="58" t="s">
        <v>646</v>
      </c>
      <c r="AV449" s="105"/>
      <c r="AW449" s="158" t="s">
        <v>0</v>
      </c>
      <c r="AX449" s="158">
        <v>43</v>
      </c>
      <c r="AY449" s="158"/>
      <c r="AZ449" s="158"/>
      <c r="BA449" s="158"/>
      <c r="BB449" s="158"/>
      <c r="BC449" s="69"/>
      <c r="BD449" s="69"/>
      <c r="BE449" s="69"/>
      <c r="BF449" s="271">
        <v>2017</v>
      </c>
      <c r="BG449" s="271"/>
      <c r="BH449" s="271"/>
      <c r="BI449" s="271" t="s">
        <v>2376</v>
      </c>
    </row>
    <row r="450" spans="1:61" s="204" customFormat="1" ht="15" customHeight="1">
      <c r="A450" s="160" t="s">
        <v>510</v>
      </c>
      <c r="B450" s="58" t="s">
        <v>262</v>
      </c>
      <c r="C450" s="148" t="s">
        <v>195</v>
      </c>
      <c r="D450" s="33" t="s">
        <v>196</v>
      </c>
      <c r="E450" s="33"/>
      <c r="F450" s="33"/>
      <c r="G450" s="33"/>
      <c r="H450" s="30" t="s">
        <v>647</v>
      </c>
      <c r="I450" s="30"/>
      <c r="J450" s="212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94"/>
      <c r="V450" s="158"/>
      <c r="W450" s="311"/>
      <c r="X450" s="311"/>
      <c r="Y450" s="311"/>
      <c r="Z450" s="94"/>
      <c r="AA450" s="158"/>
      <c r="AB450" s="158"/>
      <c r="AC450" s="158"/>
      <c r="AD450" s="158"/>
      <c r="AE450" s="158"/>
      <c r="AF450" s="158"/>
      <c r="AG450" s="158"/>
      <c r="AH450" s="158"/>
      <c r="AI450" s="158"/>
      <c r="AJ450" s="158"/>
      <c r="AK450" s="158"/>
      <c r="AL450" s="158"/>
      <c r="AM450" s="158"/>
      <c r="AN450" s="158"/>
      <c r="AO450" s="158"/>
      <c r="AP450" s="158"/>
      <c r="AQ450" s="158"/>
      <c r="AR450" s="158"/>
      <c r="AS450" s="158"/>
      <c r="AT450" s="2">
        <v>1</v>
      </c>
      <c r="AU450" s="58" t="s">
        <v>646</v>
      </c>
      <c r="AV450" s="105"/>
      <c r="AW450" s="158" t="s">
        <v>0</v>
      </c>
      <c r="AX450" s="158">
        <v>2</v>
      </c>
      <c r="AY450" s="158"/>
      <c r="AZ450" s="158"/>
      <c r="BA450" s="158"/>
      <c r="BB450" s="158"/>
      <c r="BC450" s="69"/>
      <c r="BD450" s="69"/>
      <c r="BE450" s="69"/>
      <c r="BF450" s="271">
        <v>2017</v>
      </c>
      <c r="BG450" s="271"/>
      <c r="BH450" s="271"/>
      <c r="BI450" s="271" t="s">
        <v>2376</v>
      </c>
    </row>
    <row r="451" spans="1:61" s="204" customFormat="1" ht="15" customHeight="1">
      <c r="A451" s="160" t="s">
        <v>510</v>
      </c>
      <c r="B451" s="58" t="s">
        <v>211</v>
      </c>
      <c r="C451" s="148" t="s">
        <v>209</v>
      </c>
      <c r="D451" s="33" t="s">
        <v>210</v>
      </c>
      <c r="E451" s="33"/>
      <c r="F451" s="33"/>
      <c r="G451" s="33"/>
      <c r="H451" s="30"/>
      <c r="I451" s="58"/>
      <c r="J451" s="212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94"/>
      <c r="V451" s="158"/>
      <c r="W451" s="311"/>
      <c r="X451" s="311"/>
      <c r="Y451" s="311"/>
      <c r="Z451" s="94"/>
      <c r="AA451" s="158"/>
      <c r="AB451" s="158"/>
      <c r="AC451" s="158"/>
      <c r="AD451" s="158"/>
      <c r="AE451" s="158"/>
      <c r="AF451" s="158"/>
      <c r="AG451" s="158"/>
      <c r="AH451" s="158"/>
      <c r="AI451" s="158"/>
      <c r="AJ451" s="158"/>
      <c r="AK451" s="158"/>
      <c r="AL451" s="158"/>
      <c r="AM451" s="158"/>
      <c r="AN451" s="158"/>
      <c r="AO451" s="158"/>
      <c r="AP451" s="158"/>
      <c r="AQ451" s="158"/>
      <c r="AR451" s="158"/>
      <c r="AS451" s="158"/>
      <c r="AT451" s="2"/>
      <c r="AU451" s="58"/>
      <c r="AV451" s="105"/>
      <c r="AW451" s="158">
        <v>28</v>
      </c>
      <c r="AX451" s="158"/>
      <c r="AY451" s="158"/>
      <c r="AZ451" s="158"/>
      <c r="BA451" s="158"/>
      <c r="BB451" s="158"/>
      <c r="BC451" s="69"/>
      <c r="BD451" s="69"/>
      <c r="BE451" s="69"/>
      <c r="BF451" s="271">
        <v>2016</v>
      </c>
      <c r="BG451" s="271"/>
      <c r="BH451" s="271"/>
      <c r="BI451" s="271" t="s">
        <v>2376</v>
      </c>
    </row>
    <row r="452" spans="1:61" s="204" customFormat="1" ht="15" customHeight="1">
      <c r="A452" s="160" t="s">
        <v>510</v>
      </c>
      <c r="B452" s="58" t="s">
        <v>280</v>
      </c>
      <c r="C452" s="148" t="s">
        <v>212</v>
      </c>
      <c r="D452" s="33" t="s">
        <v>149</v>
      </c>
      <c r="E452" s="33"/>
      <c r="F452" s="33"/>
      <c r="G452" s="33"/>
      <c r="H452" s="30" t="s">
        <v>691</v>
      </c>
      <c r="I452" s="30"/>
      <c r="J452" s="212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94"/>
      <c r="V452" s="158"/>
      <c r="W452" s="311"/>
      <c r="X452" s="311"/>
      <c r="Y452" s="311"/>
      <c r="Z452" s="94"/>
      <c r="AA452" s="158"/>
      <c r="AB452" s="158"/>
      <c r="AC452" s="158"/>
      <c r="AD452" s="158"/>
      <c r="AE452" s="158"/>
      <c r="AF452" s="158"/>
      <c r="AG452" s="158"/>
      <c r="AH452" s="158"/>
      <c r="AI452" s="158"/>
      <c r="AJ452" s="158"/>
      <c r="AK452" s="158"/>
      <c r="AL452" s="158"/>
      <c r="AM452" s="158"/>
      <c r="AN452" s="158"/>
      <c r="AO452" s="158"/>
      <c r="AP452" s="158"/>
      <c r="AQ452" s="158"/>
      <c r="AR452" s="158"/>
      <c r="AS452" s="158"/>
      <c r="AT452" s="2">
        <v>1</v>
      </c>
      <c r="AU452" s="58" t="s">
        <v>646</v>
      </c>
      <c r="AV452" s="105"/>
      <c r="AW452" s="158" t="s">
        <v>0</v>
      </c>
      <c r="AX452" s="158">
        <v>2</v>
      </c>
      <c r="AY452" s="158"/>
      <c r="AZ452" s="158"/>
      <c r="BA452" s="158"/>
      <c r="BB452" s="158"/>
      <c r="BC452" s="69"/>
      <c r="BD452" s="69"/>
      <c r="BE452" s="69"/>
      <c r="BF452" s="271">
        <v>2017</v>
      </c>
      <c r="BG452" s="271"/>
      <c r="BH452" s="271"/>
      <c r="BI452" s="271" t="s">
        <v>2376</v>
      </c>
    </row>
    <row r="453" spans="1:61" s="204" customFormat="1" ht="15" customHeight="1">
      <c r="A453" s="160" t="s">
        <v>510</v>
      </c>
      <c r="B453" s="58" t="s">
        <v>188</v>
      </c>
      <c r="C453" s="148" t="s">
        <v>848</v>
      </c>
      <c r="D453" s="33" t="s">
        <v>27</v>
      </c>
      <c r="E453" s="33"/>
      <c r="F453" s="33"/>
      <c r="G453" s="33"/>
      <c r="H453" s="30"/>
      <c r="I453" s="58"/>
      <c r="J453" s="212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94"/>
      <c r="V453" s="158"/>
      <c r="W453" s="311"/>
      <c r="X453" s="311"/>
      <c r="Y453" s="311"/>
      <c r="Z453" s="94"/>
      <c r="AA453" s="158"/>
      <c r="AB453" s="158"/>
      <c r="AC453" s="158"/>
      <c r="AD453" s="158"/>
      <c r="AE453" s="158"/>
      <c r="AF453" s="158"/>
      <c r="AG453" s="158"/>
      <c r="AH453" s="158"/>
      <c r="AI453" s="158"/>
      <c r="AJ453" s="158"/>
      <c r="AK453" s="158"/>
      <c r="AL453" s="158"/>
      <c r="AM453" s="158"/>
      <c r="AN453" s="158"/>
      <c r="AO453" s="158"/>
      <c r="AP453" s="158"/>
      <c r="AQ453" s="158"/>
      <c r="AR453" s="158"/>
      <c r="AS453" s="158"/>
      <c r="AT453" s="2">
        <v>1</v>
      </c>
      <c r="AU453" s="58" t="s">
        <v>646</v>
      </c>
      <c r="AV453" s="105"/>
      <c r="AW453" s="158">
        <v>39</v>
      </c>
      <c r="AX453" s="158"/>
      <c r="AY453" s="158"/>
      <c r="AZ453" s="158"/>
      <c r="BA453" s="158"/>
      <c r="BB453" s="158"/>
      <c r="BC453" s="69"/>
      <c r="BD453" s="69"/>
      <c r="BE453" s="69"/>
      <c r="BF453" s="271">
        <v>2016</v>
      </c>
      <c r="BG453" s="271"/>
      <c r="BH453" s="271"/>
      <c r="BI453" s="271" t="s">
        <v>2376</v>
      </c>
    </row>
    <row r="454" spans="1:61" s="204" customFormat="1" ht="15" customHeight="1">
      <c r="A454" s="160" t="s">
        <v>510</v>
      </c>
      <c r="B454" s="58" t="s">
        <v>262</v>
      </c>
      <c r="C454" s="148" t="s">
        <v>213</v>
      </c>
      <c r="D454" s="33" t="s">
        <v>214</v>
      </c>
      <c r="E454" s="33"/>
      <c r="F454" s="33"/>
      <c r="G454" s="33"/>
      <c r="H454" s="30"/>
      <c r="I454" s="58"/>
      <c r="J454" s="212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94"/>
      <c r="V454" s="158"/>
      <c r="W454" s="311"/>
      <c r="X454" s="311"/>
      <c r="Y454" s="311"/>
      <c r="Z454" s="94"/>
      <c r="AA454" s="158"/>
      <c r="AB454" s="158"/>
      <c r="AC454" s="158"/>
      <c r="AD454" s="158"/>
      <c r="AE454" s="158"/>
      <c r="AF454" s="158"/>
      <c r="AG454" s="158"/>
      <c r="AH454" s="158"/>
      <c r="AI454" s="158"/>
      <c r="AJ454" s="158"/>
      <c r="AK454" s="158"/>
      <c r="AL454" s="158"/>
      <c r="AM454" s="158"/>
      <c r="AN454" s="158"/>
      <c r="AO454" s="158"/>
      <c r="AP454" s="158"/>
      <c r="AQ454" s="158"/>
      <c r="AR454" s="158"/>
      <c r="AS454" s="158"/>
      <c r="AT454" s="2"/>
      <c r="AU454" s="58"/>
      <c r="AV454" s="105"/>
      <c r="AW454" s="158">
        <v>31</v>
      </c>
      <c r="AX454" s="158"/>
      <c r="AY454" s="158"/>
      <c r="AZ454" s="158"/>
      <c r="BA454" s="158"/>
      <c r="BB454" s="158"/>
      <c r="BC454" s="69"/>
      <c r="BD454" s="69"/>
      <c r="BE454" s="69"/>
      <c r="BF454" s="271">
        <v>2016</v>
      </c>
      <c r="BG454" s="271"/>
      <c r="BH454" s="271"/>
      <c r="BI454" s="271" t="s">
        <v>2376</v>
      </c>
    </row>
    <row r="455" spans="1:61" s="204" customFormat="1" ht="15" customHeight="1">
      <c r="A455" s="160" t="s">
        <v>510</v>
      </c>
      <c r="B455" s="58" t="s">
        <v>547</v>
      </c>
      <c r="C455" s="148" t="s">
        <v>217</v>
      </c>
      <c r="D455" s="33" t="s">
        <v>91</v>
      </c>
      <c r="E455" s="33"/>
      <c r="F455" s="33"/>
      <c r="G455" s="33"/>
      <c r="H455" s="30"/>
      <c r="I455" s="58"/>
      <c r="J455" s="212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94"/>
      <c r="V455" s="158"/>
      <c r="W455" s="311"/>
      <c r="X455" s="311"/>
      <c r="Y455" s="311"/>
      <c r="Z455" s="94"/>
      <c r="AA455" s="158"/>
      <c r="AB455" s="158"/>
      <c r="AC455" s="158"/>
      <c r="AD455" s="158"/>
      <c r="AE455" s="158"/>
      <c r="AF455" s="158"/>
      <c r="AG455" s="158"/>
      <c r="AH455" s="158"/>
      <c r="AI455" s="158"/>
      <c r="AJ455" s="158"/>
      <c r="AK455" s="158"/>
      <c r="AL455" s="158"/>
      <c r="AM455" s="158"/>
      <c r="AN455" s="158"/>
      <c r="AO455" s="158"/>
      <c r="AP455" s="158"/>
      <c r="AQ455" s="158"/>
      <c r="AR455" s="158"/>
      <c r="AS455" s="158"/>
      <c r="AT455" s="2">
        <v>1</v>
      </c>
      <c r="AU455" s="58" t="s">
        <v>646</v>
      </c>
      <c r="AV455" s="106"/>
      <c r="AW455" s="158">
        <v>34</v>
      </c>
      <c r="AX455" s="158"/>
      <c r="AY455" s="158"/>
      <c r="AZ455" s="158"/>
      <c r="BA455" s="158"/>
      <c r="BB455" s="158"/>
      <c r="BC455" s="69"/>
      <c r="BD455" s="69"/>
      <c r="BE455" s="69"/>
      <c r="BF455" s="271">
        <v>2016</v>
      </c>
      <c r="BG455" s="271"/>
      <c r="BH455" s="271"/>
      <c r="BI455" s="271" t="s">
        <v>2376</v>
      </c>
    </row>
    <row r="456" spans="1:61" s="204" customFormat="1" ht="15" customHeight="1">
      <c r="A456" s="160" t="s">
        <v>510</v>
      </c>
      <c r="B456" s="58" t="s">
        <v>547</v>
      </c>
      <c r="C456" s="148" t="s">
        <v>218</v>
      </c>
      <c r="D456" s="33" t="s">
        <v>7</v>
      </c>
      <c r="E456" s="33"/>
      <c r="F456" s="33"/>
      <c r="G456" s="33"/>
      <c r="H456" s="30" t="s">
        <v>693</v>
      </c>
      <c r="I456" s="30"/>
      <c r="J456" s="212"/>
      <c r="K456" s="1"/>
      <c r="L456" s="1"/>
      <c r="M456" s="1"/>
      <c r="N456" s="1"/>
      <c r="O456" s="1"/>
      <c r="P456" s="1"/>
      <c r="Q456" s="1"/>
      <c r="R456" s="158"/>
      <c r="S456" s="158"/>
      <c r="T456" s="1"/>
      <c r="U456" s="94"/>
      <c r="V456" s="1"/>
      <c r="W456" s="311"/>
      <c r="X456" s="311"/>
      <c r="Y456" s="311"/>
      <c r="Z456" s="94"/>
      <c r="AA456" s="1"/>
      <c r="AB456" s="1"/>
      <c r="AC456" s="1"/>
      <c r="AD456" s="1"/>
      <c r="AE456" s="158"/>
      <c r="AF456" s="158"/>
      <c r="AG456" s="158"/>
      <c r="AH456" s="158"/>
      <c r="AI456" s="158"/>
      <c r="AJ456" s="158"/>
      <c r="AK456" s="158"/>
      <c r="AL456" s="158"/>
      <c r="AM456" s="158"/>
      <c r="AN456" s="158"/>
      <c r="AO456" s="158"/>
      <c r="AP456" s="1"/>
      <c r="AQ456" s="1"/>
      <c r="AR456" s="1"/>
      <c r="AS456" s="1"/>
      <c r="AT456" s="2">
        <v>1</v>
      </c>
      <c r="AU456" s="58" t="s">
        <v>646</v>
      </c>
      <c r="AV456" s="106"/>
      <c r="AW456" s="158">
        <v>15</v>
      </c>
      <c r="AX456" s="1"/>
      <c r="AY456" s="1"/>
      <c r="AZ456" s="1"/>
      <c r="BA456" s="1"/>
      <c r="BB456" s="1"/>
      <c r="BC456" s="287"/>
      <c r="BD456" s="287"/>
      <c r="BE456" s="287"/>
      <c r="BF456" s="271">
        <v>2016</v>
      </c>
      <c r="BG456" s="271"/>
      <c r="BH456" s="271"/>
      <c r="BI456" s="271" t="s">
        <v>2376</v>
      </c>
    </row>
    <row r="457" spans="1:61" s="204" customFormat="1" ht="15" customHeight="1">
      <c r="A457" s="160" t="s">
        <v>510</v>
      </c>
      <c r="B457" s="58" t="s">
        <v>547</v>
      </c>
      <c r="C457" s="148" t="s">
        <v>218</v>
      </c>
      <c r="D457" s="33" t="s">
        <v>7</v>
      </c>
      <c r="E457" s="33"/>
      <c r="F457" s="33"/>
      <c r="G457" s="33"/>
      <c r="H457" s="30" t="s">
        <v>693</v>
      </c>
      <c r="I457" s="30"/>
      <c r="J457" s="212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94"/>
      <c r="V457" s="158"/>
      <c r="W457" s="311"/>
      <c r="X457" s="311"/>
      <c r="Y457" s="311"/>
      <c r="Z457" s="94"/>
      <c r="AA457" s="158"/>
      <c r="AB457" s="158"/>
      <c r="AC457" s="158"/>
      <c r="AD457" s="158"/>
      <c r="AE457" s="158"/>
      <c r="AF457" s="158"/>
      <c r="AG457" s="158"/>
      <c r="AH457" s="158"/>
      <c r="AI457" s="158"/>
      <c r="AJ457" s="158"/>
      <c r="AK457" s="158"/>
      <c r="AL457" s="158"/>
      <c r="AM457" s="158"/>
      <c r="AN457" s="158"/>
      <c r="AO457" s="158"/>
      <c r="AP457" s="158"/>
      <c r="AQ457" s="158"/>
      <c r="AR457" s="158"/>
      <c r="AS457" s="158"/>
      <c r="AT457" s="2">
        <v>0</v>
      </c>
      <c r="AU457" s="58" t="s">
        <v>687</v>
      </c>
      <c r="AV457" s="162" t="s">
        <v>1371</v>
      </c>
      <c r="AW457" s="1"/>
      <c r="AX457" s="158"/>
      <c r="AY457" s="158"/>
      <c r="AZ457" s="158"/>
      <c r="BA457" s="158"/>
      <c r="BB457" s="158"/>
      <c r="BC457" s="69"/>
      <c r="BD457" s="69"/>
      <c r="BE457" s="69">
        <v>1</v>
      </c>
      <c r="BF457" s="271" t="s">
        <v>1703</v>
      </c>
      <c r="BG457" s="271"/>
      <c r="BH457" s="271"/>
      <c r="BI457" s="271" t="s">
        <v>2376</v>
      </c>
    </row>
    <row r="458" spans="1:61" s="204" customFormat="1" ht="15" customHeight="1">
      <c r="A458" s="160" t="s">
        <v>510</v>
      </c>
      <c r="B458" s="58" t="s">
        <v>216</v>
      </c>
      <c r="C458" s="148" t="s">
        <v>219</v>
      </c>
      <c r="D458" s="33" t="s">
        <v>220</v>
      </c>
      <c r="E458" s="33"/>
      <c r="F458" s="33"/>
      <c r="G458" s="33"/>
      <c r="H458" s="30"/>
      <c r="I458" s="58"/>
      <c r="J458" s="212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94"/>
      <c r="V458" s="158"/>
      <c r="W458" s="311"/>
      <c r="X458" s="311"/>
      <c r="Y458" s="311"/>
      <c r="Z458" s="94"/>
      <c r="AA458" s="158"/>
      <c r="AB458" s="158"/>
      <c r="AC458" s="158"/>
      <c r="AD458" s="158"/>
      <c r="AE458" s="158"/>
      <c r="AF458" s="158"/>
      <c r="AG458" s="158"/>
      <c r="AH458" s="158"/>
      <c r="AI458" s="158"/>
      <c r="AJ458" s="158"/>
      <c r="AK458" s="158"/>
      <c r="AL458" s="158"/>
      <c r="AM458" s="158"/>
      <c r="AN458" s="158"/>
      <c r="AO458" s="158"/>
      <c r="AP458" s="158"/>
      <c r="AQ458" s="158"/>
      <c r="AR458" s="158"/>
      <c r="AS458" s="158"/>
      <c r="AT458" s="2">
        <v>1</v>
      </c>
      <c r="AU458" s="58" t="s">
        <v>646</v>
      </c>
      <c r="AV458" s="105"/>
      <c r="AW458" s="158">
        <v>19</v>
      </c>
      <c r="AX458" s="158"/>
      <c r="AY458" s="158"/>
      <c r="AZ458" s="158"/>
      <c r="BA458" s="158"/>
      <c r="BB458" s="158"/>
      <c r="BC458" s="69"/>
      <c r="BD458" s="69"/>
      <c r="BE458" s="69"/>
      <c r="BF458" s="271">
        <v>2016</v>
      </c>
      <c r="BG458" s="271"/>
      <c r="BH458" s="271"/>
      <c r="BI458" s="271" t="s">
        <v>2376</v>
      </c>
    </row>
    <row r="459" spans="1:61" s="204" customFormat="1" ht="15" customHeight="1">
      <c r="A459" s="160" t="s">
        <v>510</v>
      </c>
      <c r="B459" s="58" t="s">
        <v>223</v>
      </c>
      <c r="C459" s="148" t="s">
        <v>221</v>
      </c>
      <c r="D459" s="33" t="s">
        <v>222</v>
      </c>
      <c r="E459" s="33"/>
      <c r="F459" s="33"/>
      <c r="G459" s="33"/>
      <c r="H459" s="30" t="s">
        <v>674</v>
      </c>
      <c r="I459" s="30"/>
      <c r="J459" s="212"/>
      <c r="K459" s="1"/>
      <c r="L459" s="1"/>
      <c r="M459" s="1"/>
      <c r="N459" s="1"/>
      <c r="O459" s="1"/>
      <c r="P459" s="158">
        <f>5115379833-1591451503</f>
        <v>3523928330</v>
      </c>
      <c r="Q459" s="158"/>
      <c r="R459" s="158"/>
      <c r="S459" s="158"/>
      <c r="T459" s="1"/>
      <c r="U459" s="94">
        <v>1578666123</v>
      </c>
      <c r="V459" s="1"/>
      <c r="W459" s="311"/>
      <c r="X459" s="311"/>
      <c r="Y459" s="311"/>
      <c r="Z459" s="94">
        <v>1945262207</v>
      </c>
      <c r="AA459" s="1"/>
      <c r="AB459" s="1"/>
      <c r="AC459" s="1"/>
      <c r="AD459" s="1"/>
      <c r="AE459" s="158"/>
      <c r="AF459" s="158">
        <f t="shared" ref="AF459:AF460" si="131">P459-U459-Z459</f>
        <v>0</v>
      </c>
      <c r="AG459" s="158"/>
      <c r="AH459" s="158"/>
      <c r="AI459" s="158"/>
      <c r="AJ459" s="158"/>
      <c r="AK459" s="158"/>
      <c r="AL459" s="158">
        <v>877</v>
      </c>
      <c r="AM459" s="158">
        <v>10</v>
      </c>
      <c r="AN459" s="158"/>
      <c r="AO459" s="158"/>
      <c r="AP459" s="1"/>
      <c r="AQ459" s="1"/>
      <c r="AR459" s="1"/>
      <c r="AS459" s="1"/>
      <c r="AT459" s="2"/>
      <c r="AU459" s="58"/>
      <c r="AV459" s="105"/>
      <c r="AW459" s="158">
        <f>62</f>
        <v>62</v>
      </c>
      <c r="AX459" s="1"/>
      <c r="AY459" s="1"/>
      <c r="AZ459" s="1"/>
      <c r="BA459" s="1"/>
      <c r="BB459" s="1"/>
      <c r="BC459" s="287"/>
      <c r="BD459" s="287"/>
      <c r="BE459" s="287"/>
      <c r="BF459" s="271">
        <v>2016</v>
      </c>
      <c r="BG459" s="271"/>
      <c r="BH459" s="271"/>
      <c r="BI459" s="271" t="s">
        <v>2376</v>
      </c>
    </row>
    <row r="460" spans="1:61" s="204" customFormat="1" ht="15" customHeight="1">
      <c r="A460" s="230" t="s">
        <v>510</v>
      </c>
      <c r="B460" s="58" t="s">
        <v>223</v>
      </c>
      <c r="C460" s="148" t="s">
        <v>221</v>
      </c>
      <c r="D460" s="33" t="s">
        <v>222</v>
      </c>
      <c r="E460" s="33"/>
      <c r="F460" s="33"/>
      <c r="G460" s="33"/>
      <c r="H460" s="30" t="s">
        <v>674</v>
      </c>
      <c r="I460" s="30"/>
      <c r="J460" s="212"/>
      <c r="K460" s="158"/>
      <c r="L460" s="158"/>
      <c r="M460" s="158"/>
      <c r="N460" s="158"/>
      <c r="O460" s="158"/>
      <c r="P460" s="158">
        <f>1591451503-738888197</f>
        <v>852563306</v>
      </c>
      <c r="Q460" s="158"/>
      <c r="R460" s="158"/>
      <c r="S460" s="158"/>
      <c r="T460" s="158"/>
      <c r="U460" s="94">
        <v>382061159</v>
      </c>
      <c r="V460" s="158">
        <v>10</v>
      </c>
      <c r="W460" s="311"/>
      <c r="X460" s="311"/>
      <c r="Y460" s="311"/>
      <c r="Z460" s="94">
        <v>470502147</v>
      </c>
      <c r="AA460" s="158">
        <v>20</v>
      </c>
      <c r="AB460" s="5"/>
      <c r="AC460" s="5"/>
      <c r="AD460" s="5"/>
      <c r="AE460" s="158"/>
      <c r="AF460" s="158">
        <f t="shared" si="131"/>
        <v>0</v>
      </c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2">
        <v>1</v>
      </c>
      <c r="AU460" s="58" t="s">
        <v>646</v>
      </c>
      <c r="AV460" s="206" t="s">
        <v>1103</v>
      </c>
      <c r="AW460" s="1"/>
      <c r="AX460" s="158"/>
      <c r="AY460" s="158">
        <f>28-13</f>
        <v>15</v>
      </c>
      <c r="AZ460" s="11"/>
      <c r="BA460" s="11"/>
      <c r="BB460" s="158"/>
      <c r="BC460" s="69">
        <v>15</v>
      </c>
      <c r="BD460" s="69">
        <f>28-13</f>
        <v>15</v>
      </c>
      <c r="BE460" s="69"/>
      <c r="BF460" s="271">
        <v>2018</v>
      </c>
      <c r="BG460" s="271"/>
      <c r="BH460" s="271"/>
      <c r="BI460" s="271" t="s">
        <v>2375</v>
      </c>
    </row>
    <row r="461" spans="1:61" s="204" customFormat="1" ht="27" customHeight="1">
      <c r="A461" s="160" t="s">
        <v>510</v>
      </c>
      <c r="B461" s="58" t="s">
        <v>223</v>
      </c>
      <c r="C461" s="148" t="s">
        <v>221</v>
      </c>
      <c r="D461" s="33" t="s">
        <v>222</v>
      </c>
      <c r="E461" s="33"/>
      <c r="F461" s="33"/>
      <c r="G461" s="33"/>
      <c r="H461" s="30" t="s">
        <v>674</v>
      </c>
      <c r="I461" s="115" t="s">
        <v>1459</v>
      </c>
      <c r="J461" s="215" t="s">
        <v>1458</v>
      </c>
      <c r="K461" s="158"/>
      <c r="L461" s="158">
        <v>13</v>
      </c>
      <c r="M461" s="158"/>
      <c r="N461" s="158">
        <v>0</v>
      </c>
      <c r="O461" s="158"/>
      <c r="P461" s="158">
        <f>738888197</f>
        <v>738888197</v>
      </c>
      <c r="Q461" s="158"/>
      <c r="R461" s="158"/>
      <c r="S461" s="158"/>
      <c r="T461" s="158"/>
      <c r="U461" s="94">
        <v>326455263</v>
      </c>
      <c r="V461" s="158">
        <v>10</v>
      </c>
      <c r="W461" s="311">
        <v>43374</v>
      </c>
      <c r="X461" s="311"/>
      <c r="Y461" s="311"/>
      <c r="Z461" s="94">
        <v>409128326</v>
      </c>
      <c r="AA461" s="69">
        <v>10</v>
      </c>
      <c r="AB461" s="311">
        <v>43525</v>
      </c>
      <c r="AC461" s="577"/>
      <c r="AD461" s="69"/>
      <c r="AE461" s="158"/>
      <c r="AF461" s="158">
        <f>P461-U461-Z461</f>
        <v>3304608</v>
      </c>
      <c r="AG461" s="158"/>
      <c r="AH461" s="94">
        <v>0</v>
      </c>
      <c r="AI461" s="674">
        <v>3304608</v>
      </c>
      <c r="AJ461" s="94"/>
      <c r="AK461" s="602">
        <f t="shared" ref="AK461" si="132">P461-R461-U461-Z461</f>
        <v>3304608</v>
      </c>
      <c r="AL461" s="72">
        <v>877</v>
      </c>
      <c r="AM461" s="72">
        <v>10</v>
      </c>
      <c r="AN461" s="158"/>
      <c r="AO461" s="158"/>
      <c r="AP461" s="158"/>
      <c r="AQ461" s="158"/>
      <c r="AR461" s="158"/>
      <c r="AS461" s="158"/>
      <c r="AT461" s="2">
        <v>1</v>
      </c>
      <c r="AU461" s="58" t="s">
        <v>646</v>
      </c>
      <c r="AV461" s="348" t="s">
        <v>1103</v>
      </c>
      <c r="AW461" s="1"/>
      <c r="AX461" s="158"/>
      <c r="AY461" s="158"/>
      <c r="AZ461" s="158">
        <v>13</v>
      </c>
      <c r="BA461" s="158"/>
      <c r="BB461" s="158"/>
      <c r="BC461" s="69"/>
      <c r="BD461" s="69">
        <v>13</v>
      </c>
      <c r="BE461" s="69"/>
      <c r="BF461" s="271">
        <v>2019</v>
      </c>
      <c r="BG461" s="271">
        <v>2019</v>
      </c>
      <c r="BH461" s="430" t="s">
        <v>2194</v>
      </c>
      <c r="BI461" s="271" t="s">
        <v>2375</v>
      </c>
    </row>
    <row r="462" spans="1:61" s="204" customFormat="1" ht="15" customHeight="1">
      <c r="A462" s="248" t="s">
        <v>510</v>
      </c>
      <c r="B462" s="58" t="s">
        <v>546</v>
      </c>
      <c r="C462" s="148" t="s">
        <v>224</v>
      </c>
      <c r="D462" s="33" t="s">
        <v>3</v>
      </c>
      <c r="E462" s="33"/>
      <c r="F462" s="33"/>
      <c r="G462" s="33"/>
      <c r="H462" s="30"/>
      <c r="I462" s="58"/>
      <c r="J462" s="212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94"/>
      <c r="V462" s="158"/>
      <c r="W462" s="311"/>
      <c r="X462" s="311"/>
      <c r="Y462" s="311"/>
      <c r="Z462" s="94"/>
      <c r="AA462" s="158"/>
      <c r="AB462" s="92"/>
      <c r="AC462" s="92"/>
      <c r="AD462" s="92"/>
      <c r="AE462" s="158"/>
      <c r="AF462" s="158"/>
      <c r="AG462" s="158"/>
      <c r="AH462" s="158"/>
      <c r="AI462" s="158"/>
      <c r="AJ462" s="158"/>
      <c r="AK462" s="158"/>
      <c r="AL462" s="158"/>
      <c r="AM462" s="158"/>
      <c r="AN462" s="158"/>
      <c r="AO462" s="158"/>
      <c r="AP462" s="158"/>
      <c r="AQ462" s="158"/>
      <c r="AR462" s="158"/>
      <c r="AS462" s="158"/>
      <c r="AT462" s="2">
        <v>1</v>
      </c>
      <c r="AU462" s="58" t="s">
        <v>646</v>
      </c>
      <c r="AV462" s="105"/>
      <c r="AW462" s="158">
        <v>10</v>
      </c>
      <c r="AX462" s="158"/>
      <c r="AY462" s="158"/>
      <c r="AZ462" s="158"/>
      <c r="BA462" s="158"/>
      <c r="BB462" s="158"/>
      <c r="BC462" s="69"/>
      <c r="BD462" s="69"/>
      <c r="BE462" s="69"/>
      <c r="BF462" s="271">
        <v>2016</v>
      </c>
      <c r="BG462" s="271"/>
      <c r="BH462" s="271"/>
      <c r="BI462" s="271" t="s">
        <v>2376</v>
      </c>
    </row>
    <row r="463" spans="1:61" s="204" customFormat="1" ht="15" customHeight="1">
      <c r="A463" s="160" t="s">
        <v>510</v>
      </c>
      <c r="B463" s="58" t="s">
        <v>226</v>
      </c>
      <c r="C463" s="148" t="s">
        <v>225</v>
      </c>
      <c r="D463" s="33" t="s">
        <v>7</v>
      </c>
      <c r="E463" s="33"/>
      <c r="F463" s="33"/>
      <c r="G463" s="33"/>
      <c r="H463" s="30"/>
      <c r="I463" s="58"/>
      <c r="J463" s="212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94"/>
      <c r="V463" s="158"/>
      <c r="W463" s="311"/>
      <c r="X463" s="311"/>
      <c r="Y463" s="311"/>
      <c r="Z463" s="94"/>
      <c r="AA463" s="158"/>
      <c r="AB463" s="158"/>
      <c r="AC463" s="158"/>
      <c r="AD463" s="158"/>
      <c r="AE463" s="158"/>
      <c r="AF463" s="158"/>
      <c r="AG463" s="158"/>
      <c r="AH463" s="158"/>
      <c r="AI463" s="158"/>
      <c r="AJ463" s="158"/>
      <c r="AK463" s="158"/>
      <c r="AL463" s="158"/>
      <c r="AM463" s="158"/>
      <c r="AN463" s="158"/>
      <c r="AO463" s="158"/>
      <c r="AP463" s="158"/>
      <c r="AQ463" s="158"/>
      <c r="AR463" s="158"/>
      <c r="AS463" s="158"/>
      <c r="AT463" s="2">
        <v>1</v>
      </c>
      <c r="AU463" s="58" t="s">
        <v>646</v>
      </c>
      <c r="AV463" s="105"/>
      <c r="AW463" s="158">
        <v>17</v>
      </c>
      <c r="AX463" s="158"/>
      <c r="AY463" s="158"/>
      <c r="AZ463" s="158"/>
      <c r="BA463" s="158"/>
      <c r="BB463" s="158"/>
      <c r="BC463" s="69"/>
      <c r="BD463" s="69"/>
      <c r="BE463" s="69"/>
      <c r="BF463" s="271">
        <v>2016</v>
      </c>
      <c r="BG463" s="271"/>
      <c r="BH463" s="271"/>
      <c r="BI463" s="271" t="s">
        <v>2376</v>
      </c>
    </row>
    <row r="464" spans="1:61" s="204" customFormat="1" ht="15" customHeight="1">
      <c r="A464" s="160" t="s">
        <v>510</v>
      </c>
      <c r="B464" s="58" t="s">
        <v>216</v>
      </c>
      <c r="C464" s="148" t="s">
        <v>227</v>
      </c>
      <c r="D464" s="33" t="s">
        <v>30</v>
      </c>
      <c r="E464" s="33"/>
      <c r="F464" s="33"/>
      <c r="G464" s="33"/>
      <c r="H464" s="30"/>
      <c r="I464" s="58"/>
      <c r="J464" s="212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94"/>
      <c r="V464" s="158"/>
      <c r="W464" s="311"/>
      <c r="X464" s="311"/>
      <c r="Y464" s="311"/>
      <c r="Z464" s="94"/>
      <c r="AA464" s="158"/>
      <c r="AB464" s="158"/>
      <c r="AC464" s="158"/>
      <c r="AD464" s="158"/>
      <c r="AE464" s="158"/>
      <c r="AF464" s="158"/>
      <c r="AG464" s="158"/>
      <c r="AH464" s="158"/>
      <c r="AI464" s="158"/>
      <c r="AJ464" s="158"/>
      <c r="AK464" s="158"/>
      <c r="AL464" s="158"/>
      <c r="AM464" s="158"/>
      <c r="AN464" s="158"/>
      <c r="AO464" s="158"/>
      <c r="AP464" s="158"/>
      <c r="AQ464" s="158"/>
      <c r="AR464" s="158"/>
      <c r="AS464" s="158"/>
      <c r="AT464" s="2">
        <v>1</v>
      </c>
      <c r="AU464" s="58" t="s">
        <v>646</v>
      </c>
      <c r="AV464" s="105"/>
      <c r="AW464" s="158">
        <v>24</v>
      </c>
      <c r="AX464" s="158"/>
      <c r="AY464" s="158"/>
      <c r="AZ464" s="158"/>
      <c r="BA464" s="158"/>
      <c r="BB464" s="158"/>
      <c r="BC464" s="69"/>
      <c r="BD464" s="69"/>
      <c r="BE464" s="69"/>
      <c r="BF464" s="271">
        <v>2016</v>
      </c>
      <c r="BG464" s="271"/>
      <c r="BH464" s="271"/>
      <c r="BI464" s="271" t="s">
        <v>2376</v>
      </c>
    </row>
    <row r="465" spans="1:61" s="204" customFormat="1" ht="15" customHeight="1">
      <c r="A465" s="160" t="s">
        <v>510</v>
      </c>
      <c r="B465" s="58" t="s">
        <v>216</v>
      </c>
      <c r="C465" s="148" t="s">
        <v>228</v>
      </c>
      <c r="D465" s="33" t="s">
        <v>229</v>
      </c>
      <c r="E465" s="33"/>
      <c r="F465" s="33"/>
      <c r="G465" s="33"/>
      <c r="H465" s="30"/>
      <c r="I465" s="58"/>
      <c r="J465" s="212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94"/>
      <c r="V465" s="158"/>
      <c r="W465" s="311"/>
      <c r="X465" s="311"/>
      <c r="Y465" s="311"/>
      <c r="Z465" s="94"/>
      <c r="AA465" s="158"/>
      <c r="AB465" s="158"/>
      <c r="AC465" s="158"/>
      <c r="AD465" s="158"/>
      <c r="AE465" s="158"/>
      <c r="AF465" s="158"/>
      <c r="AG465" s="158"/>
      <c r="AH465" s="158"/>
      <c r="AI465" s="158"/>
      <c r="AJ465" s="158"/>
      <c r="AK465" s="158"/>
      <c r="AL465" s="158"/>
      <c r="AM465" s="158"/>
      <c r="AN465" s="158"/>
      <c r="AO465" s="158"/>
      <c r="AP465" s="158"/>
      <c r="AQ465" s="158"/>
      <c r="AR465" s="158"/>
      <c r="AS465" s="158"/>
      <c r="AT465" s="2">
        <v>1</v>
      </c>
      <c r="AU465" s="58" t="s">
        <v>646</v>
      </c>
      <c r="AV465" s="105"/>
      <c r="AW465" s="158">
        <v>22</v>
      </c>
      <c r="AX465" s="158" t="s">
        <v>0</v>
      </c>
      <c r="AY465" s="158"/>
      <c r="AZ465" s="158"/>
      <c r="BA465" s="158"/>
      <c r="BB465" s="158"/>
      <c r="BC465" s="69"/>
      <c r="BD465" s="69"/>
      <c r="BE465" s="69"/>
      <c r="BF465" s="271">
        <v>2016</v>
      </c>
      <c r="BG465" s="271"/>
      <c r="BH465" s="271"/>
      <c r="BI465" s="271" t="s">
        <v>2376</v>
      </c>
    </row>
    <row r="466" spans="1:61" s="204" customFormat="1" ht="15" customHeight="1">
      <c r="A466" s="160" t="s">
        <v>510</v>
      </c>
      <c r="B466" s="58" t="s">
        <v>216</v>
      </c>
      <c r="C466" s="148" t="s">
        <v>230</v>
      </c>
      <c r="D466" s="33" t="s">
        <v>61</v>
      </c>
      <c r="E466" s="33"/>
      <c r="F466" s="33"/>
      <c r="G466" s="33"/>
      <c r="H466" s="30"/>
      <c r="I466" s="58"/>
      <c r="J466" s="212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94"/>
      <c r="V466" s="158"/>
      <c r="W466" s="311"/>
      <c r="X466" s="311"/>
      <c r="Y466" s="311"/>
      <c r="Z466" s="94"/>
      <c r="AA466" s="158"/>
      <c r="AB466" s="158"/>
      <c r="AC466" s="158"/>
      <c r="AD466" s="158"/>
      <c r="AE466" s="158"/>
      <c r="AF466" s="158"/>
      <c r="AG466" s="158"/>
      <c r="AH466" s="158"/>
      <c r="AI466" s="158"/>
      <c r="AJ466" s="158"/>
      <c r="AK466" s="158"/>
      <c r="AL466" s="158"/>
      <c r="AM466" s="158"/>
      <c r="AN466" s="158"/>
      <c r="AO466" s="158"/>
      <c r="AP466" s="158"/>
      <c r="AQ466" s="158"/>
      <c r="AR466" s="158"/>
      <c r="AS466" s="158"/>
      <c r="AT466" s="2">
        <v>1</v>
      </c>
      <c r="AU466" s="58" t="s">
        <v>646</v>
      </c>
      <c r="AV466" s="105"/>
      <c r="AW466" s="158">
        <v>13</v>
      </c>
      <c r="AX466" s="158"/>
      <c r="AY466" s="158"/>
      <c r="AZ466" s="158"/>
      <c r="BA466" s="158"/>
      <c r="BB466" s="158"/>
      <c r="BC466" s="69"/>
      <c r="BD466" s="69"/>
      <c r="BE466" s="69"/>
      <c r="BF466" s="271">
        <v>2016</v>
      </c>
      <c r="BG466" s="271"/>
      <c r="BH466" s="271"/>
      <c r="BI466" s="271" t="s">
        <v>2376</v>
      </c>
    </row>
    <row r="467" spans="1:61" s="204" customFormat="1" ht="15" customHeight="1">
      <c r="A467" s="160" t="s">
        <v>510</v>
      </c>
      <c r="B467" s="58" t="s">
        <v>262</v>
      </c>
      <c r="C467" s="148" t="s">
        <v>231</v>
      </c>
      <c r="D467" s="33" t="s">
        <v>91</v>
      </c>
      <c r="E467" s="33"/>
      <c r="F467" s="33"/>
      <c r="G467" s="33"/>
      <c r="H467" s="30"/>
      <c r="I467" s="58"/>
      <c r="J467" s="212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94"/>
      <c r="V467" s="158"/>
      <c r="W467" s="311"/>
      <c r="X467" s="311"/>
      <c r="Y467" s="311"/>
      <c r="Z467" s="94"/>
      <c r="AA467" s="158"/>
      <c r="AB467" s="158"/>
      <c r="AC467" s="158"/>
      <c r="AD467" s="158"/>
      <c r="AE467" s="158"/>
      <c r="AF467" s="158"/>
      <c r="AG467" s="158"/>
      <c r="AH467" s="158"/>
      <c r="AI467" s="158"/>
      <c r="AJ467" s="158"/>
      <c r="AK467" s="158"/>
      <c r="AL467" s="158"/>
      <c r="AM467" s="158"/>
      <c r="AN467" s="158"/>
      <c r="AO467" s="158"/>
      <c r="AP467" s="158"/>
      <c r="AQ467" s="158"/>
      <c r="AR467" s="158"/>
      <c r="AS467" s="158"/>
      <c r="AT467" s="2">
        <v>1</v>
      </c>
      <c r="AU467" s="58" t="s">
        <v>646</v>
      </c>
      <c r="AV467" s="105"/>
      <c r="AW467" s="158">
        <v>48</v>
      </c>
      <c r="AX467" s="158"/>
      <c r="AY467" s="158"/>
      <c r="AZ467" s="158"/>
      <c r="BA467" s="158"/>
      <c r="BB467" s="158"/>
      <c r="BC467" s="69"/>
      <c r="BD467" s="69"/>
      <c r="BE467" s="69"/>
      <c r="BF467" s="271">
        <v>2016</v>
      </c>
      <c r="BG467" s="271"/>
      <c r="BH467" s="271"/>
      <c r="BI467" s="271" t="s">
        <v>2376</v>
      </c>
    </row>
    <row r="468" spans="1:61" s="204" customFormat="1" ht="15" customHeight="1">
      <c r="A468" s="160" t="s">
        <v>510</v>
      </c>
      <c r="B468" s="58" t="s">
        <v>280</v>
      </c>
      <c r="C468" s="148" t="s">
        <v>232</v>
      </c>
      <c r="D468" s="33" t="s">
        <v>30</v>
      </c>
      <c r="E468" s="33"/>
      <c r="F468" s="33"/>
      <c r="G468" s="33"/>
      <c r="H468" s="30"/>
      <c r="I468" s="58"/>
      <c r="J468" s="212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94"/>
      <c r="V468" s="158"/>
      <c r="W468" s="311"/>
      <c r="X468" s="311"/>
      <c r="Y468" s="311"/>
      <c r="Z468" s="94"/>
      <c r="AA468" s="158"/>
      <c r="AB468" s="158"/>
      <c r="AC468" s="158"/>
      <c r="AD468" s="158"/>
      <c r="AE468" s="158"/>
      <c r="AF468" s="158"/>
      <c r="AG468" s="158"/>
      <c r="AH468" s="158"/>
      <c r="AI468" s="158"/>
      <c r="AJ468" s="158"/>
      <c r="AK468" s="158"/>
      <c r="AL468" s="158"/>
      <c r="AM468" s="158"/>
      <c r="AN468" s="158"/>
      <c r="AO468" s="158"/>
      <c r="AP468" s="158"/>
      <c r="AQ468" s="158"/>
      <c r="AR468" s="158"/>
      <c r="AS468" s="158"/>
      <c r="AT468" s="2">
        <v>1</v>
      </c>
      <c r="AU468" s="58" t="s">
        <v>646</v>
      </c>
      <c r="AV468" s="105"/>
      <c r="AW468" s="158">
        <v>54</v>
      </c>
      <c r="AX468" s="158"/>
      <c r="AY468" s="158"/>
      <c r="AZ468" s="158"/>
      <c r="BA468" s="158"/>
      <c r="BB468" s="158"/>
      <c r="BC468" s="69"/>
      <c r="BD468" s="69"/>
      <c r="BE468" s="69"/>
      <c r="BF468" s="271">
        <v>2016</v>
      </c>
      <c r="BG468" s="271"/>
      <c r="BH468" s="271"/>
      <c r="BI468" s="271" t="s">
        <v>2376</v>
      </c>
    </row>
    <row r="469" spans="1:61" s="204" customFormat="1" ht="15" customHeight="1">
      <c r="A469" s="160" t="s">
        <v>510</v>
      </c>
      <c r="B469" s="58" t="s">
        <v>186</v>
      </c>
      <c r="C469" s="148" t="s">
        <v>694</v>
      </c>
      <c r="D469" s="33" t="s">
        <v>46</v>
      </c>
      <c r="E469" s="33"/>
      <c r="F469" s="33"/>
      <c r="G469" s="33"/>
      <c r="H469" s="30"/>
      <c r="I469" s="58"/>
      <c r="J469" s="212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94"/>
      <c r="V469" s="158"/>
      <c r="W469" s="311"/>
      <c r="X469" s="311"/>
      <c r="Y469" s="311"/>
      <c r="Z469" s="94"/>
      <c r="AA469" s="158"/>
      <c r="AB469" s="158"/>
      <c r="AC469" s="158"/>
      <c r="AD469" s="158"/>
      <c r="AE469" s="158"/>
      <c r="AF469" s="158"/>
      <c r="AG469" s="158"/>
      <c r="AH469" s="158"/>
      <c r="AI469" s="158"/>
      <c r="AJ469" s="158"/>
      <c r="AK469" s="158"/>
      <c r="AL469" s="158"/>
      <c r="AM469" s="158"/>
      <c r="AN469" s="158"/>
      <c r="AO469" s="158"/>
      <c r="AP469" s="158"/>
      <c r="AQ469" s="158"/>
      <c r="AR469" s="158"/>
      <c r="AS469" s="158"/>
      <c r="AT469" s="2">
        <v>1</v>
      </c>
      <c r="AU469" s="58" t="s">
        <v>646</v>
      </c>
      <c r="AV469" s="105"/>
      <c r="AW469" s="158">
        <v>28</v>
      </c>
      <c r="AX469" s="158"/>
      <c r="AY469" s="158"/>
      <c r="AZ469" s="158"/>
      <c r="BA469" s="158"/>
      <c r="BB469" s="158"/>
      <c r="BC469" s="69"/>
      <c r="BD469" s="69"/>
      <c r="BE469" s="69"/>
      <c r="BF469" s="271">
        <v>2016</v>
      </c>
      <c r="BG469" s="271"/>
      <c r="BH469" s="271"/>
      <c r="BI469" s="271" t="s">
        <v>2376</v>
      </c>
    </row>
    <row r="470" spans="1:61" s="204" customFormat="1" ht="15" customHeight="1">
      <c r="A470" s="160" t="s">
        <v>510</v>
      </c>
      <c r="B470" s="58" t="s">
        <v>186</v>
      </c>
      <c r="C470" s="148" t="s">
        <v>694</v>
      </c>
      <c r="D470" s="33" t="s">
        <v>46</v>
      </c>
      <c r="E470" s="33"/>
      <c r="F470" s="33"/>
      <c r="G470" s="33"/>
      <c r="H470" s="30" t="s">
        <v>658</v>
      </c>
      <c r="I470" s="30"/>
      <c r="J470" s="212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94"/>
      <c r="V470" s="158"/>
      <c r="W470" s="311"/>
      <c r="X470" s="311"/>
      <c r="Y470" s="311"/>
      <c r="Z470" s="94"/>
      <c r="AA470" s="158"/>
      <c r="AB470" s="158"/>
      <c r="AC470" s="158"/>
      <c r="AD470" s="158"/>
      <c r="AE470" s="158"/>
      <c r="AF470" s="158"/>
      <c r="AG470" s="158"/>
      <c r="AH470" s="158"/>
      <c r="AI470" s="158"/>
      <c r="AJ470" s="158"/>
      <c r="AK470" s="158"/>
      <c r="AL470" s="158"/>
      <c r="AM470" s="158"/>
      <c r="AN470" s="158"/>
      <c r="AO470" s="158"/>
      <c r="AP470" s="158"/>
      <c r="AQ470" s="158"/>
      <c r="AR470" s="158"/>
      <c r="AS470" s="158"/>
      <c r="AT470" s="2">
        <v>0</v>
      </c>
      <c r="AU470" s="58" t="s">
        <v>687</v>
      </c>
      <c r="AV470" s="162" t="s">
        <v>1371</v>
      </c>
      <c r="AW470" s="158"/>
      <c r="AX470" s="158"/>
      <c r="AY470" s="158"/>
      <c r="AZ470" s="158"/>
      <c r="BA470" s="158"/>
      <c r="BB470" s="158"/>
      <c r="BC470" s="69"/>
      <c r="BD470" s="69"/>
      <c r="BE470" s="69">
        <v>1</v>
      </c>
      <c r="BF470" s="271" t="s">
        <v>1703</v>
      </c>
      <c r="BG470" s="271"/>
      <c r="BH470" s="271"/>
      <c r="BI470" s="271" t="s">
        <v>2376</v>
      </c>
    </row>
    <row r="471" spans="1:61" s="204" customFormat="1" ht="15" customHeight="1">
      <c r="A471" s="160" t="s">
        <v>510</v>
      </c>
      <c r="B471" s="58" t="s">
        <v>546</v>
      </c>
      <c r="C471" s="148" t="s">
        <v>233</v>
      </c>
      <c r="D471" s="33" t="s">
        <v>234</v>
      </c>
      <c r="E471" s="33"/>
      <c r="F471" s="33"/>
      <c r="G471" s="33"/>
      <c r="H471" s="30"/>
      <c r="I471" s="30"/>
      <c r="J471" s="212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94"/>
      <c r="V471" s="158"/>
      <c r="W471" s="311"/>
      <c r="X471" s="311"/>
      <c r="Y471" s="311"/>
      <c r="Z471" s="94"/>
      <c r="AA471" s="158"/>
      <c r="AB471" s="158"/>
      <c r="AC471" s="158"/>
      <c r="AD471" s="158"/>
      <c r="AE471" s="158"/>
      <c r="AF471" s="158"/>
      <c r="AG471" s="158"/>
      <c r="AH471" s="158"/>
      <c r="AI471" s="158"/>
      <c r="AJ471" s="158"/>
      <c r="AK471" s="158"/>
      <c r="AL471" s="158"/>
      <c r="AM471" s="158"/>
      <c r="AN471" s="158"/>
      <c r="AO471" s="158"/>
      <c r="AP471" s="158"/>
      <c r="AQ471" s="158"/>
      <c r="AR471" s="158"/>
      <c r="AS471" s="158"/>
      <c r="AT471" s="2"/>
      <c r="AU471" s="58"/>
      <c r="AV471" s="105"/>
      <c r="AW471" s="158">
        <v>35</v>
      </c>
      <c r="AX471" s="158"/>
      <c r="AY471" s="158"/>
      <c r="AZ471" s="158"/>
      <c r="BA471" s="158"/>
      <c r="BB471" s="158"/>
      <c r="BC471" s="69"/>
      <c r="BD471" s="69"/>
      <c r="BE471" s="69"/>
      <c r="BF471" s="271">
        <v>2016</v>
      </c>
      <c r="BG471" s="271"/>
      <c r="BH471" s="271"/>
      <c r="BI471" s="271" t="s">
        <v>2376</v>
      </c>
    </row>
    <row r="472" spans="1:61" s="204" customFormat="1" ht="15" customHeight="1">
      <c r="A472" s="160" t="s">
        <v>510</v>
      </c>
      <c r="B472" s="58" t="s">
        <v>197</v>
      </c>
      <c r="C472" s="148" t="s">
        <v>235</v>
      </c>
      <c r="D472" s="33" t="s">
        <v>524</v>
      </c>
      <c r="E472" s="33"/>
      <c r="F472" s="33"/>
      <c r="G472" s="33"/>
      <c r="H472" s="30" t="s">
        <v>653</v>
      </c>
      <c r="I472" s="30">
        <v>2904</v>
      </c>
      <c r="J472" s="212">
        <v>42359</v>
      </c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94"/>
      <c r="V472" s="158"/>
      <c r="W472" s="311"/>
      <c r="X472" s="311"/>
      <c r="Y472" s="311"/>
      <c r="Z472" s="94"/>
      <c r="AA472" s="158"/>
      <c r="AB472" s="158"/>
      <c r="AC472" s="158"/>
      <c r="AD472" s="158"/>
      <c r="AE472" s="158"/>
      <c r="AF472" s="158"/>
      <c r="AG472" s="158"/>
      <c r="AH472" s="158"/>
      <c r="AI472" s="158"/>
      <c r="AJ472" s="158"/>
      <c r="AK472" s="158"/>
      <c r="AL472" s="158"/>
      <c r="AM472" s="158"/>
      <c r="AN472" s="158"/>
      <c r="AO472" s="158"/>
      <c r="AP472" s="158"/>
      <c r="AQ472" s="158"/>
      <c r="AR472" s="158"/>
      <c r="AS472" s="158"/>
      <c r="AT472" s="2">
        <v>1</v>
      </c>
      <c r="AU472" s="58" t="s">
        <v>646</v>
      </c>
      <c r="AV472" s="105"/>
      <c r="AW472" s="158" t="s">
        <v>0</v>
      </c>
      <c r="AX472" s="158">
        <v>50</v>
      </c>
      <c r="AY472" s="158"/>
      <c r="AZ472" s="158"/>
      <c r="BA472" s="158"/>
      <c r="BB472" s="158"/>
      <c r="BC472" s="69"/>
      <c r="BD472" s="69"/>
      <c r="BE472" s="69"/>
      <c r="BF472" s="271">
        <v>2017</v>
      </c>
      <c r="BG472" s="271"/>
      <c r="BH472" s="271"/>
      <c r="BI472" s="271" t="s">
        <v>2376</v>
      </c>
    </row>
    <row r="473" spans="1:61" s="204" customFormat="1" ht="15" customHeight="1">
      <c r="A473" s="160" t="s">
        <v>510</v>
      </c>
      <c r="B473" s="58" t="s">
        <v>197</v>
      </c>
      <c r="C473" s="148" t="s">
        <v>235</v>
      </c>
      <c r="D473" s="33" t="s">
        <v>524</v>
      </c>
      <c r="E473" s="33"/>
      <c r="F473" s="33"/>
      <c r="G473" s="33"/>
      <c r="H473" s="30" t="s">
        <v>653</v>
      </c>
      <c r="I473" s="30">
        <v>2904</v>
      </c>
      <c r="J473" s="212">
        <v>42359</v>
      </c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94"/>
      <c r="V473" s="158"/>
      <c r="W473" s="311"/>
      <c r="X473" s="311"/>
      <c r="Y473" s="311"/>
      <c r="Z473" s="94"/>
      <c r="AA473" s="158"/>
      <c r="AB473" s="158"/>
      <c r="AC473" s="158"/>
      <c r="AD473" s="158"/>
      <c r="AE473" s="158"/>
      <c r="AF473" s="158"/>
      <c r="AG473" s="158"/>
      <c r="AH473" s="158"/>
      <c r="AI473" s="158"/>
      <c r="AJ473" s="158"/>
      <c r="AK473" s="158"/>
      <c r="AL473" s="158"/>
      <c r="AM473" s="158"/>
      <c r="AN473" s="158"/>
      <c r="AO473" s="158"/>
      <c r="AP473" s="12"/>
      <c r="AQ473" s="12"/>
      <c r="AR473" s="12"/>
      <c r="AS473" s="12"/>
      <c r="AT473" s="2">
        <v>1</v>
      </c>
      <c r="AU473" s="58" t="s">
        <v>646</v>
      </c>
      <c r="AV473" s="206" t="s">
        <v>1103</v>
      </c>
      <c r="AW473" s="158"/>
      <c r="AX473" s="11"/>
      <c r="AY473" s="688">
        <v>60</v>
      </c>
      <c r="AZ473" s="12"/>
      <c r="BA473" s="12"/>
      <c r="BB473" s="12">
        <v>60</v>
      </c>
      <c r="BC473" s="285"/>
      <c r="BD473" s="285"/>
      <c r="BE473" s="285"/>
      <c r="BF473" s="271">
        <v>2018</v>
      </c>
      <c r="BG473" s="271"/>
      <c r="BH473" s="271"/>
      <c r="BI473" s="271" t="s">
        <v>2376</v>
      </c>
    </row>
    <row r="474" spans="1:61" s="204" customFormat="1" ht="15" customHeight="1">
      <c r="A474" s="160" t="s">
        <v>510</v>
      </c>
      <c r="B474" s="58" t="s">
        <v>197</v>
      </c>
      <c r="C474" s="148" t="s">
        <v>235</v>
      </c>
      <c r="D474" s="33" t="s">
        <v>524</v>
      </c>
      <c r="E474" s="33"/>
      <c r="F474" s="33"/>
      <c r="G474" s="33"/>
      <c r="H474" s="30" t="s">
        <v>653</v>
      </c>
      <c r="I474" s="30">
        <v>2904</v>
      </c>
      <c r="J474" s="212">
        <v>42359</v>
      </c>
      <c r="K474" s="158"/>
      <c r="L474" s="158"/>
      <c r="M474" s="158"/>
      <c r="N474" s="158"/>
      <c r="O474" s="158"/>
      <c r="P474" s="158"/>
      <c r="Q474" s="158"/>
      <c r="R474" s="158"/>
      <c r="S474" s="158"/>
      <c r="T474" s="158"/>
      <c r="U474" s="94"/>
      <c r="V474" s="158"/>
      <c r="W474" s="311"/>
      <c r="X474" s="311"/>
      <c r="Y474" s="311"/>
      <c r="Z474" s="94"/>
      <c r="AA474" s="158"/>
      <c r="AB474" s="158"/>
      <c r="AC474" s="158"/>
      <c r="AD474" s="158"/>
      <c r="AE474" s="158"/>
      <c r="AF474" s="158"/>
      <c r="AG474" s="158"/>
      <c r="AH474" s="158"/>
      <c r="AI474" s="158"/>
      <c r="AJ474" s="158"/>
      <c r="AK474" s="158"/>
      <c r="AL474" s="158"/>
      <c r="AM474" s="158"/>
      <c r="AN474" s="158"/>
      <c r="AO474" s="158"/>
      <c r="AP474" s="12"/>
      <c r="AQ474" s="12"/>
      <c r="AR474" s="12"/>
      <c r="AS474" s="12"/>
      <c r="AT474" s="2">
        <v>1</v>
      </c>
      <c r="AU474" s="58" t="s">
        <v>646</v>
      </c>
      <c r="AV474" s="206" t="s">
        <v>1103</v>
      </c>
      <c r="AW474" s="158"/>
      <c r="AX474" s="11"/>
      <c r="AY474" s="688">
        <v>50</v>
      </c>
      <c r="AZ474" s="12"/>
      <c r="BA474" s="12"/>
      <c r="BB474" s="12">
        <v>50</v>
      </c>
      <c r="BC474" s="285"/>
      <c r="BD474" s="285"/>
      <c r="BE474" s="285"/>
      <c r="BF474" s="271">
        <v>2018</v>
      </c>
      <c r="BG474" s="271"/>
      <c r="BH474" s="271"/>
      <c r="BI474" s="271" t="s">
        <v>2376</v>
      </c>
    </row>
    <row r="475" spans="1:61" s="204" customFormat="1" ht="18" customHeight="1">
      <c r="A475" s="160" t="s">
        <v>510</v>
      </c>
      <c r="B475" s="58" t="s">
        <v>197</v>
      </c>
      <c r="C475" s="148" t="s">
        <v>235</v>
      </c>
      <c r="D475" s="33" t="s">
        <v>524</v>
      </c>
      <c r="E475" s="33"/>
      <c r="F475" s="33"/>
      <c r="G475" s="33"/>
      <c r="H475" s="30" t="s">
        <v>653</v>
      </c>
      <c r="I475" s="30">
        <v>2904</v>
      </c>
      <c r="J475" s="212">
        <v>42359</v>
      </c>
      <c r="K475" s="158"/>
      <c r="L475" s="158"/>
      <c r="M475" s="158">
        <f>30-4</f>
        <v>26</v>
      </c>
      <c r="N475" s="158">
        <v>26</v>
      </c>
      <c r="O475" s="158"/>
      <c r="P475" s="158">
        <f>2052017822-273858641</f>
        <v>1778159181</v>
      </c>
      <c r="Q475" s="158"/>
      <c r="R475" s="158">
        <v>317255657</v>
      </c>
      <c r="S475" s="158"/>
      <c r="T475" s="158"/>
      <c r="U475" s="94"/>
      <c r="V475" s="158"/>
      <c r="W475" s="311"/>
      <c r="X475" s="311"/>
      <c r="Y475" s="311"/>
      <c r="Z475" s="94"/>
      <c r="AA475" s="158"/>
      <c r="AB475" s="158"/>
      <c r="AC475" s="158"/>
      <c r="AD475" s="158"/>
      <c r="AE475" s="158"/>
      <c r="AF475" s="158">
        <f>P475-R475-U475-Z475-1460903524</f>
        <v>0</v>
      </c>
      <c r="AG475" s="158"/>
      <c r="AH475" s="158">
        <v>1460903524</v>
      </c>
      <c r="AI475" s="158">
        <v>1460903524</v>
      </c>
      <c r="AJ475" s="158"/>
      <c r="AK475" s="602">
        <f t="shared" ref="AK475" si="133">P475-R475-U475-Z475</f>
        <v>1460903524</v>
      </c>
      <c r="AL475" s="72">
        <v>877</v>
      </c>
      <c r="AM475" s="72">
        <v>10</v>
      </c>
      <c r="AN475" s="158">
        <v>26</v>
      </c>
      <c r="AO475" s="158"/>
      <c r="AP475" s="158"/>
      <c r="AQ475" s="158"/>
      <c r="AR475" s="158"/>
      <c r="AS475" s="158"/>
      <c r="AT475" s="2">
        <v>0</v>
      </c>
      <c r="AU475" s="58" t="s">
        <v>521</v>
      </c>
      <c r="AV475" s="348"/>
      <c r="AW475" s="158"/>
      <c r="AX475" s="11"/>
      <c r="AY475" s="12"/>
      <c r="AZ475" s="12"/>
      <c r="BA475" s="12"/>
      <c r="BB475" s="12"/>
      <c r="BC475" s="285"/>
      <c r="BD475" s="285"/>
      <c r="BE475" s="285"/>
      <c r="BF475" s="271"/>
      <c r="BG475" s="271">
        <v>2019</v>
      </c>
      <c r="BH475" s="271">
        <v>2020</v>
      </c>
      <c r="BI475" s="271" t="s">
        <v>2375</v>
      </c>
    </row>
    <row r="476" spans="1:61" s="204" customFormat="1" ht="15" customHeight="1">
      <c r="A476" s="160" t="s">
        <v>510</v>
      </c>
      <c r="B476" s="58" t="s">
        <v>197</v>
      </c>
      <c r="C476" s="148" t="s">
        <v>235</v>
      </c>
      <c r="D476" s="33" t="s">
        <v>524</v>
      </c>
      <c r="E476" s="33"/>
      <c r="F476" s="33"/>
      <c r="G476" s="33"/>
      <c r="H476" s="30" t="s">
        <v>653</v>
      </c>
      <c r="I476" s="30">
        <v>2904</v>
      </c>
      <c r="J476" s="212">
        <v>42359</v>
      </c>
      <c r="K476" s="158"/>
      <c r="L476" s="158"/>
      <c r="M476" s="158"/>
      <c r="N476" s="158"/>
      <c r="O476" s="158"/>
      <c r="P476" s="158">
        <v>273858641</v>
      </c>
      <c r="Q476" s="158"/>
      <c r="R476" s="158">
        <v>48808563</v>
      </c>
      <c r="S476" s="158"/>
      <c r="T476" s="158"/>
      <c r="U476" s="94">
        <v>225050078</v>
      </c>
      <c r="V476" s="158">
        <v>10</v>
      </c>
      <c r="W476" s="311">
        <v>43374</v>
      </c>
      <c r="X476" s="311"/>
      <c r="Y476" s="311"/>
      <c r="Z476" s="94"/>
      <c r="AA476" s="158"/>
      <c r="AB476" s="158"/>
      <c r="AC476" s="158"/>
      <c r="AD476" s="158"/>
      <c r="AE476" s="158"/>
      <c r="AF476" s="158">
        <f>P476-R476-U476-Z476</f>
        <v>0</v>
      </c>
      <c r="AG476" s="158"/>
      <c r="AH476" s="158"/>
      <c r="AI476" s="158"/>
      <c r="AJ476" s="158"/>
      <c r="AK476" s="158"/>
      <c r="AL476" s="158">
        <v>877</v>
      </c>
      <c r="AM476" s="158">
        <v>10</v>
      </c>
      <c r="AN476" s="158"/>
      <c r="AO476" s="158"/>
      <c r="AP476" s="12"/>
      <c r="AQ476" s="12"/>
      <c r="AR476" s="12"/>
      <c r="AS476" s="12"/>
      <c r="AT476" s="2">
        <v>1</v>
      </c>
      <c r="AU476" s="58" t="s">
        <v>646</v>
      </c>
      <c r="AV476" s="206" t="s">
        <v>1103</v>
      </c>
      <c r="AW476" s="158"/>
      <c r="AX476" s="11"/>
      <c r="AY476" s="688">
        <v>4</v>
      </c>
      <c r="AZ476" s="12"/>
      <c r="BA476" s="12"/>
      <c r="BB476" s="12">
        <v>4</v>
      </c>
      <c r="BC476" s="285"/>
      <c r="BD476" s="285"/>
      <c r="BE476" s="285"/>
      <c r="BF476" s="271">
        <v>2018</v>
      </c>
      <c r="BG476" s="271"/>
      <c r="BH476" s="271"/>
      <c r="BI476" s="271" t="s">
        <v>2376</v>
      </c>
    </row>
    <row r="477" spans="1:61" s="204" customFormat="1" ht="39" customHeight="1">
      <c r="A477" s="230" t="s">
        <v>510</v>
      </c>
      <c r="B477" s="58" t="s">
        <v>546</v>
      </c>
      <c r="C477" s="148" t="s">
        <v>236</v>
      </c>
      <c r="D477" s="33" t="s">
        <v>237</v>
      </c>
      <c r="E477" s="33"/>
      <c r="F477" s="33"/>
      <c r="G477" s="33"/>
      <c r="H477" s="30" t="s">
        <v>653</v>
      </c>
      <c r="I477" s="272" t="s">
        <v>1680</v>
      </c>
      <c r="J477" s="215" t="s">
        <v>1679</v>
      </c>
      <c r="K477" s="158"/>
      <c r="L477" s="158"/>
      <c r="M477" s="158"/>
      <c r="N477" s="158"/>
      <c r="O477" s="158"/>
      <c r="P477" s="158">
        <f>1133412736-56670633</f>
        <v>1076742103</v>
      </c>
      <c r="Q477" s="158"/>
      <c r="R477" s="158"/>
      <c r="S477" s="158"/>
      <c r="T477" s="158"/>
      <c r="U477" s="94">
        <v>355098220</v>
      </c>
      <c r="V477" s="158"/>
      <c r="W477" s="311"/>
      <c r="X477" s="311"/>
      <c r="Y477" s="311"/>
      <c r="Z477" s="94">
        <v>721643883</v>
      </c>
      <c r="AA477" s="158"/>
      <c r="AB477" s="5"/>
      <c r="AC477" s="5"/>
      <c r="AD477" s="5"/>
      <c r="AE477" s="158"/>
      <c r="AF477" s="158">
        <f>P477-U477-Z477-AD477</f>
        <v>0</v>
      </c>
      <c r="AG477" s="158"/>
      <c r="AH477" s="158"/>
      <c r="AI477" s="158"/>
      <c r="AJ477" s="158"/>
      <c r="AK477" s="158"/>
      <c r="AL477" s="158"/>
      <c r="AM477" s="158"/>
      <c r="AN477" s="158"/>
      <c r="AO477" s="158"/>
      <c r="AP477" s="158"/>
      <c r="AQ477" s="158"/>
      <c r="AR477" s="158"/>
      <c r="AS477" s="158"/>
      <c r="AT477" s="2">
        <v>1</v>
      </c>
      <c r="AU477" s="58" t="s">
        <v>646</v>
      </c>
      <c r="AV477" s="105"/>
      <c r="AW477" s="158">
        <v>19</v>
      </c>
      <c r="AX477" s="158"/>
      <c r="AY477" s="158"/>
      <c r="AZ477" s="158"/>
      <c r="BA477" s="158"/>
      <c r="BB477" s="158"/>
      <c r="BC477" s="69"/>
      <c r="BD477" s="69"/>
      <c r="BE477" s="69"/>
      <c r="BF477" s="271">
        <v>2016</v>
      </c>
      <c r="BG477" s="271"/>
      <c r="BH477" s="271"/>
      <c r="BI477" s="271" t="s">
        <v>2376</v>
      </c>
    </row>
    <row r="478" spans="1:61" s="204" customFormat="1" ht="39" customHeight="1">
      <c r="A478" s="160" t="s">
        <v>510</v>
      </c>
      <c r="B478" s="58" t="s">
        <v>546</v>
      </c>
      <c r="C478" s="148" t="s">
        <v>236</v>
      </c>
      <c r="D478" s="33" t="s">
        <v>237</v>
      </c>
      <c r="E478" s="33"/>
      <c r="F478" s="33"/>
      <c r="G478" s="33"/>
      <c r="H478" s="30" t="s">
        <v>653</v>
      </c>
      <c r="I478" s="272" t="s">
        <v>1680</v>
      </c>
      <c r="J478" s="215" t="s">
        <v>1679</v>
      </c>
      <c r="K478" s="158"/>
      <c r="L478" s="158"/>
      <c r="M478" s="158"/>
      <c r="N478" s="158"/>
      <c r="O478" s="158"/>
      <c r="P478" s="158">
        <v>56670633</v>
      </c>
      <c r="Q478" s="158"/>
      <c r="R478" s="158"/>
      <c r="S478" s="158"/>
      <c r="T478" s="158"/>
      <c r="U478" s="94"/>
      <c r="V478" s="158"/>
      <c r="W478" s="311"/>
      <c r="X478" s="311"/>
      <c r="Y478" s="311"/>
      <c r="Z478" s="94"/>
      <c r="AA478" s="69"/>
      <c r="AB478" s="69"/>
      <c r="AC478" s="69"/>
      <c r="AD478" s="69">
        <v>56670633</v>
      </c>
      <c r="AE478" s="158"/>
      <c r="AF478" s="158">
        <f>P478-U478-Z478-AD478</f>
        <v>0</v>
      </c>
      <c r="AG478" s="158"/>
      <c r="AH478" s="158"/>
      <c r="AI478" s="158"/>
      <c r="AJ478" s="158"/>
      <c r="AK478" s="158"/>
      <c r="AL478" s="158">
        <v>877</v>
      </c>
      <c r="AM478" s="158">
        <v>10</v>
      </c>
      <c r="AN478" s="158"/>
      <c r="AO478" s="158"/>
      <c r="AP478" s="158"/>
      <c r="AQ478" s="158"/>
      <c r="AR478" s="158"/>
      <c r="AS478" s="96"/>
      <c r="AT478" s="2">
        <v>0</v>
      </c>
      <c r="AU478" s="58" t="s">
        <v>687</v>
      </c>
      <c r="AV478" s="346" t="s">
        <v>1678</v>
      </c>
      <c r="AW478" s="158"/>
      <c r="AX478" s="158"/>
      <c r="AY478" s="158"/>
      <c r="AZ478" s="158"/>
      <c r="BA478" s="158"/>
      <c r="BB478" s="158"/>
      <c r="BC478" s="69"/>
      <c r="BD478" s="69"/>
      <c r="BE478" s="69">
        <v>1</v>
      </c>
      <c r="BF478" s="271" t="s">
        <v>1704</v>
      </c>
      <c r="BG478" s="271"/>
      <c r="BH478" s="271"/>
      <c r="BI478" s="271" t="s">
        <v>2376</v>
      </c>
    </row>
    <row r="479" spans="1:61" s="204" customFormat="1" ht="15" customHeight="1">
      <c r="A479" s="248" t="s">
        <v>510</v>
      </c>
      <c r="B479" s="58" t="s">
        <v>197</v>
      </c>
      <c r="C479" s="148" t="s">
        <v>238</v>
      </c>
      <c r="D479" s="33" t="s">
        <v>215</v>
      </c>
      <c r="E479" s="33"/>
      <c r="F479" s="33"/>
      <c r="G479" s="33"/>
      <c r="H479" s="30"/>
      <c r="I479" s="58"/>
      <c r="J479" s="212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94"/>
      <c r="V479" s="158"/>
      <c r="W479" s="311"/>
      <c r="X479" s="311"/>
      <c r="Y479" s="311"/>
      <c r="Z479" s="94"/>
      <c r="AA479" s="158"/>
      <c r="AB479" s="92"/>
      <c r="AC479" s="92"/>
      <c r="AD479" s="92"/>
      <c r="AE479" s="158"/>
      <c r="AF479" s="158"/>
      <c r="AG479" s="158"/>
      <c r="AH479" s="158"/>
      <c r="AI479" s="158"/>
      <c r="AJ479" s="158"/>
      <c r="AK479" s="158"/>
      <c r="AL479" s="158"/>
      <c r="AM479" s="158"/>
      <c r="AN479" s="158"/>
      <c r="AO479" s="158"/>
      <c r="AP479" s="158"/>
      <c r="AQ479" s="158"/>
      <c r="AR479" s="158"/>
      <c r="AS479" s="158"/>
      <c r="AT479" s="2">
        <v>1</v>
      </c>
      <c r="AU479" s="58" t="s">
        <v>646</v>
      </c>
      <c r="AV479" s="105"/>
      <c r="AW479" s="158">
        <v>48</v>
      </c>
      <c r="AX479" s="158"/>
      <c r="AY479" s="158"/>
      <c r="AZ479" s="158"/>
      <c r="BA479" s="158"/>
      <c r="BB479" s="158"/>
      <c r="BC479" s="69"/>
      <c r="BD479" s="69"/>
      <c r="BE479" s="69"/>
      <c r="BF479" s="351">
        <v>2016</v>
      </c>
      <c r="BG479" s="351"/>
      <c r="BH479" s="271"/>
      <c r="BI479" s="271" t="s">
        <v>2376</v>
      </c>
    </row>
    <row r="480" spans="1:61" s="204" customFormat="1" ht="15" customHeight="1">
      <c r="A480" s="160" t="s">
        <v>510</v>
      </c>
      <c r="B480" s="58" t="s">
        <v>208</v>
      </c>
      <c r="C480" s="148" t="s">
        <v>206</v>
      </c>
      <c r="D480" s="33" t="s">
        <v>170</v>
      </c>
      <c r="E480" s="33"/>
      <c r="F480" s="33"/>
      <c r="G480" s="33"/>
      <c r="H480" s="30"/>
      <c r="I480" s="58"/>
      <c r="J480" s="212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94"/>
      <c r="V480" s="158"/>
      <c r="W480" s="311"/>
      <c r="X480" s="311"/>
      <c r="Y480" s="311"/>
      <c r="Z480" s="94"/>
      <c r="AA480" s="158"/>
      <c r="AB480" s="158"/>
      <c r="AC480" s="158"/>
      <c r="AD480" s="158"/>
      <c r="AE480" s="158"/>
      <c r="AF480" s="158"/>
      <c r="AG480" s="158"/>
      <c r="AH480" s="158"/>
      <c r="AI480" s="158"/>
      <c r="AJ480" s="158"/>
      <c r="AK480" s="158"/>
      <c r="AL480" s="158"/>
      <c r="AM480" s="158"/>
      <c r="AN480" s="158"/>
      <c r="AO480" s="158"/>
      <c r="AP480" s="158"/>
      <c r="AQ480" s="158"/>
      <c r="AR480" s="158"/>
      <c r="AS480" s="158"/>
      <c r="AT480" s="2">
        <v>1</v>
      </c>
      <c r="AU480" s="58" t="s">
        <v>646</v>
      </c>
      <c r="AV480" s="105"/>
      <c r="AW480" s="158">
        <v>12</v>
      </c>
      <c r="AX480" s="158"/>
      <c r="AY480" s="158"/>
      <c r="AZ480" s="158"/>
      <c r="BA480" s="158"/>
      <c r="BB480" s="158"/>
      <c r="BC480" s="69"/>
      <c r="BD480" s="69"/>
      <c r="BE480" s="69"/>
      <c r="BF480" s="351">
        <v>2016</v>
      </c>
      <c r="BG480" s="351"/>
      <c r="BH480" s="271"/>
      <c r="BI480" s="271" t="s">
        <v>2376</v>
      </c>
    </row>
    <row r="481" spans="1:61" s="204" customFormat="1" ht="15" customHeight="1">
      <c r="A481" s="160" t="s">
        <v>510</v>
      </c>
      <c r="B481" s="58" t="s">
        <v>280</v>
      </c>
      <c r="C481" s="148" t="s">
        <v>239</v>
      </c>
      <c r="D481" s="33" t="s">
        <v>30</v>
      </c>
      <c r="E481" s="33"/>
      <c r="F481" s="33"/>
      <c r="G481" s="33"/>
      <c r="H481" s="30"/>
      <c r="I481" s="58"/>
      <c r="J481" s="212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94"/>
      <c r="V481" s="158"/>
      <c r="W481" s="311"/>
      <c r="X481" s="311"/>
      <c r="Y481" s="311"/>
      <c r="Z481" s="94"/>
      <c r="AA481" s="158"/>
      <c r="AB481" s="158"/>
      <c r="AC481" s="158"/>
      <c r="AD481" s="158"/>
      <c r="AE481" s="158"/>
      <c r="AF481" s="158"/>
      <c r="AG481" s="158"/>
      <c r="AH481" s="158"/>
      <c r="AI481" s="158"/>
      <c r="AJ481" s="158"/>
      <c r="AK481" s="158"/>
      <c r="AL481" s="158"/>
      <c r="AM481" s="158"/>
      <c r="AN481" s="158"/>
      <c r="AO481" s="158"/>
      <c r="AP481" s="158"/>
      <c r="AQ481" s="158"/>
      <c r="AR481" s="158"/>
      <c r="AS481" s="158"/>
      <c r="AT481" s="2">
        <v>1</v>
      </c>
      <c r="AU481" s="58" t="s">
        <v>646</v>
      </c>
      <c r="AV481" s="105"/>
      <c r="AW481" s="158">
        <v>19</v>
      </c>
      <c r="AX481" s="158"/>
      <c r="AY481" s="158"/>
      <c r="AZ481" s="158"/>
      <c r="BA481" s="158"/>
      <c r="BB481" s="158"/>
      <c r="BC481" s="69"/>
      <c r="BD481" s="69"/>
      <c r="BE481" s="69"/>
      <c r="BF481" s="351">
        <v>2016</v>
      </c>
      <c r="BG481" s="351"/>
      <c r="BH481" s="271"/>
      <c r="BI481" s="271" t="s">
        <v>2376</v>
      </c>
    </row>
    <row r="482" spans="1:61" s="204" customFormat="1" ht="15" customHeight="1">
      <c r="A482" s="160" t="s">
        <v>510</v>
      </c>
      <c r="B482" s="58" t="s">
        <v>546</v>
      </c>
      <c r="C482" s="148" t="s">
        <v>240</v>
      </c>
      <c r="D482" s="33" t="s">
        <v>40</v>
      </c>
      <c r="E482" s="33"/>
      <c r="F482" s="33"/>
      <c r="G482" s="33"/>
      <c r="H482" s="30" t="s">
        <v>664</v>
      </c>
      <c r="I482" s="30"/>
      <c r="J482" s="212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94"/>
      <c r="V482" s="158"/>
      <c r="W482" s="311"/>
      <c r="X482" s="311"/>
      <c r="Y482" s="311"/>
      <c r="Z482" s="94"/>
      <c r="AA482" s="158"/>
      <c r="AB482" s="158"/>
      <c r="AC482" s="158"/>
      <c r="AD482" s="158"/>
      <c r="AE482" s="158"/>
      <c r="AF482" s="158"/>
      <c r="AG482" s="158"/>
      <c r="AH482" s="158"/>
      <c r="AI482" s="158"/>
      <c r="AJ482" s="158"/>
      <c r="AK482" s="158"/>
      <c r="AL482" s="158"/>
      <c r="AM482" s="158"/>
      <c r="AN482" s="158"/>
      <c r="AO482" s="158"/>
      <c r="AP482" s="158"/>
      <c r="AQ482" s="158"/>
      <c r="AR482" s="158"/>
      <c r="AS482" s="158"/>
      <c r="AT482" s="2">
        <v>1</v>
      </c>
      <c r="AU482" s="58" t="s">
        <v>646</v>
      </c>
      <c r="AV482" s="105"/>
      <c r="AW482" s="158" t="s">
        <v>0</v>
      </c>
      <c r="AX482" s="158">
        <v>80</v>
      </c>
      <c r="AY482" s="158"/>
      <c r="AZ482" s="158"/>
      <c r="BA482" s="158"/>
      <c r="BB482" s="158"/>
      <c r="BC482" s="69"/>
      <c r="BD482" s="69"/>
      <c r="BE482" s="69"/>
      <c r="BF482" s="351">
        <v>2017</v>
      </c>
      <c r="BG482" s="351"/>
      <c r="BH482" s="271"/>
      <c r="BI482" s="271" t="s">
        <v>2376</v>
      </c>
    </row>
    <row r="483" spans="1:61" s="204" customFormat="1" ht="15" customHeight="1">
      <c r="A483" s="160" t="s">
        <v>510</v>
      </c>
      <c r="B483" s="58" t="s">
        <v>199</v>
      </c>
      <c r="C483" s="148" t="s">
        <v>241</v>
      </c>
      <c r="D483" s="33" t="s">
        <v>30</v>
      </c>
      <c r="E483" s="33"/>
      <c r="F483" s="33"/>
      <c r="G483" s="33"/>
      <c r="H483" s="30"/>
      <c r="I483" s="58"/>
      <c r="J483" s="212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94"/>
      <c r="V483" s="158"/>
      <c r="W483" s="311"/>
      <c r="X483" s="311"/>
      <c r="Y483" s="311"/>
      <c r="Z483" s="94"/>
      <c r="AA483" s="158"/>
      <c r="AB483" s="158"/>
      <c r="AC483" s="158"/>
      <c r="AD483" s="158"/>
      <c r="AE483" s="158"/>
      <c r="AF483" s="158"/>
      <c r="AG483" s="158"/>
      <c r="AH483" s="158"/>
      <c r="AI483" s="158"/>
      <c r="AJ483" s="158"/>
      <c r="AK483" s="158"/>
      <c r="AL483" s="158"/>
      <c r="AM483" s="158"/>
      <c r="AN483" s="158"/>
      <c r="AO483" s="158"/>
      <c r="AP483" s="158"/>
      <c r="AQ483" s="158"/>
      <c r="AR483" s="158"/>
      <c r="AS483" s="158"/>
      <c r="AT483" s="2">
        <v>1</v>
      </c>
      <c r="AU483" s="58" t="s">
        <v>646</v>
      </c>
      <c r="AV483" s="105"/>
      <c r="AW483" s="158">
        <v>14</v>
      </c>
      <c r="AX483" s="158"/>
      <c r="AY483" s="158"/>
      <c r="AZ483" s="158"/>
      <c r="BA483" s="158"/>
      <c r="BB483" s="158"/>
      <c r="BC483" s="69"/>
      <c r="BD483" s="69"/>
      <c r="BE483" s="69"/>
      <c r="BF483" s="351">
        <v>2016</v>
      </c>
      <c r="BG483" s="351"/>
      <c r="BH483" s="271"/>
      <c r="BI483" s="271" t="s">
        <v>2376</v>
      </c>
    </row>
    <row r="484" spans="1:61" s="204" customFormat="1" ht="15" customHeight="1">
      <c r="A484" s="160" t="s">
        <v>510</v>
      </c>
      <c r="B484" s="58" t="s">
        <v>207</v>
      </c>
      <c r="C484" s="148" t="s">
        <v>242</v>
      </c>
      <c r="D484" s="33" t="s">
        <v>7</v>
      </c>
      <c r="E484" s="33"/>
      <c r="F484" s="33"/>
      <c r="G484" s="33"/>
      <c r="H484" s="30"/>
      <c r="I484" s="58"/>
      <c r="J484" s="212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94"/>
      <c r="V484" s="158"/>
      <c r="W484" s="311"/>
      <c r="X484" s="311"/>
      <c r="Y484" s="311"/>
      <c r="Z484" s="94"/>
      <c r="AA484" s="158"/>
      <c r="AB484" s="158"/>
      <c r="AC484" s="158"/>
      <c r="AD484" s="158"/>
      <c r="AE484" s="158"/>
      <c r="AF484" s="158"/>
      <c r="AG484" s="158"/>
      <c r="AH484" s="158"/>
      <c r="AI484" s="158"/>
      <c r="AJ484" s="158"/>
      <c r="AK484" s="158"/>
      <c r="AL484" s="158"/>
      <c r="AM484" s="158"/>
      <c r="AN484" s="158"/>
      <c r="AO484" s="158"/>
      <c r="AP484" s="158"/>
      <c r="AQ484" s="158"/>
      <c r="AR484" s="158"/>
      <c r="AS484" s="158"/>
      <c r="AT484" s="2">
        <v>1</v>
      </c>
      <c r="AU484" s="58" t="s">
        <v>646</v>
      </c>
      <c r="AV484" s="105"/>
      <c r="AW484" s="158">
        <v>37</v>
      </c>
      <c r="AX484" s="158"/>
      <c r="AY484" s="158"/>
      <c r="AZ484" s="158"/>
      <c r="BA484" s="158"/>
      <c r="BB484" s="158"/>
      <c r="BC484" s="69"/>
      <c r="BD484" s="69"/>
      <c r="BE484" s="69"/>
      <c r="BF484" s="351">
        <v>2016</v>
      </c>
      <c r="BG484" s="351"/>
      <c r="BH484" s="271"/>
      <c r="BI484" s="271" t="s">
        <v>2376</v>
      </c>
    </row>
    <row r="485" spans="1:61" s="204" customFormat="1" ht="15" customHeight="1">
      <c r="A485" s="160" t="s">
        <v>510</v>
      </c>
      <c r="B485" s="58" t="s">
        <v>197</v>
      </c>
      <c r="C485" s="148" t="s">
        <v>243</v>
      </c>
      <c r="D485" s="33" t="s">
        <v>170</v>
      </c>
      <c r="E485" s="33"/>
      <c r="F485" s="33"/>
      <c r="G485" s="33"/>
      <c r="H485" s="30"/>
      <c r="I485" s="58"/>
      <c r="J485" s="212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94"/>
      <c r="V485" s="158"/>
      <c r="W485" s="311"/>
      <c r="X485" s="311"/>
      <c r="Y485" s="311"/>
      <c r="Z485" s="94"/>
      <c r="AA485" s="158"/>
      <c r="AB485" s="158"/>
      <c r="AC485" s="158"/>
      <c r="AD485" s="158"/>
      <c r="AE485" s="158"/>
      <c r="AF485" s="158"/>
      <c r="AG485" s="158"/>
      <c r="AH485" s="158"/>
      <c r="AI485" s="158"/>
      <c r="AJ485" s="158"/>
      <c r="AK485" s="158"/>
      <c r="AL485" s="158"/>
      <c r="AM485" s="158"/>
      <c r="AN485" s="158"/>
      <c r="AO485" s="158"/>
      <c r="AP485" s="158"/>
      <c r="AQ485" s="158"/>
      <c r="AR485" s="158"/>
      <c r="AS485" s="158"/>
      <c r="AT485" s="2">
        <v>1</v>
      </c>
      <c r="AU485" s="58" t="s">
        <v>646</v>
      </c>
      <c r="AV485" s="105"/>
      <c r="AW485" s="158">
        <v>38</v>
      </c>
      <c r="AX485" s="158"/>
      <c r="AY485" s="158"/>
      <c r="AZ485" s="158"/>
      <c r="BA485" s="158"/>
      <c r="BB485" s="158"/>
      <c r="BC485" s="69"/>
      <c r="BD485" s="69"/>
      <c r="BE485" s="69"/>
      <c r="BF485" s="351">
        <v>2016</v>
      </c>
      <c r="BG485" s="351"/>
      <c r="BH485" s="271"/>
      <c r="BI485" s="271" t="s">
        <v>2376</v>
      </c>
    </row>
    <row r="486" spans="1:61" s="204" customFormat="1" ht="26.25" customHeight="1">
      <c r="A486" s="160" t="s">
        <v>510</v>
      </c>
      <c r="B486" s="58" t="s">
        <v>264</v>
      </c>
      <c r="C486" s="55" t="s">
        <v>244</v>
      </c>
      <c r="D486" s="33" t="s">
        <v>198</v>
      </c>
      <c r="E486" s="33"/>
      <c r="F486" s="33"/>
      <c r="G486" s="33"/>
      <c r="H486" s="30" t="s">
        <v>664</v>
      </c>
      <c r="I486" s="30">
        <v>411</v>
      </c>
      <c r="J486" s="212">
        <v>42425</v>
      </c>
      <c r="K486" s="158"/>
      <c r="L486" s="158"/>
      <c r="M486" s="158">
        <f>30-12</f>
        <v>18</v>
      </c>
      <c r="N486" s="158"/>
      <c r="O486" s="158"/>
      <c r="P486" s="158">
        <f>1700075097-680156137</f>
        <v>1019918960</v>
      </c>
      <c r="Q486" s="158"/>
      <c r="R486" s="158"/>
      <c r="S486" s="158"/>
      <c r="T486" s="158"/>
      <c r="U486" s="94">
        <v>652612938</v>
      </c>
      <c r="V486" s="158"/>
      <c r="W486" s="311"/>
      <c r="X486" s="311"/>
      <c r="Y486" s="311"/>
      <c r="Z486" s="94">
        <v>367306022</v>
      </c>
      <c r="AA486" s="158"/>
      <c r="AB486" s="158"/>
      <c r="AC486" s="158"/>
      <c r="AD486" s="158"/>
      <c r="AE486" s="158"/>
      <c r="AF486" s="158">
        <f>P486-U486-Z486</f>
        <v>0</v>
      </c>
      <c r="AG486" s="158"/>
      <c r="AH486" s="94">
        <v>0</v>
      </c>
      <c r="AI486" s="94">
        <v>0</v>
      </c>
      <c r="AJ486" s="94"/>
      <c r="AK486" s="158">
        <f t="shared" ref="AK486" si="134">AF486+AH486</f>
        <v>0</v>
      </c>
      <c r="AL486" s="158"/>
      <c r="AM486" s="158"/>
      <c r="AN486" s="158"/>
      <c r="AO486" s="158"/>
      <c r="AP486" s="158"/>
      <c r="AQ486" s="158"/>
      <c r="AR486" s="158"/>
      <c r="AS486" s="158"/>
      <c r="AT486" s="2">
        <v>1</v>
      </c>
      <c r="AU486" s="58" t="s">
        <v>646</v>
      </c>
      <c r="AV486" s="386" t="s">
        <v>1374</v>
      </c>
      <c r="AW486" s="158" t="s">
        <v>0</v>
      </c>
      <c r="AX486" s="158"/>
      <c r="AY486" s="158"/>
      <c r="AZ486" s="158">
        <v>18</v>
      </c>
      <c r="BA486" s="158"/>
      <c r="BB486" s="158"/>
      <c r="BC486" s="158"/>
      <c r="BD486" s="158">
        <v>18</v>
      </c>
      <c r="BE486" s="158"/>
      <c r="BF486" s="351">
        <v>2019</v>
      </c>
      <c r="BG486" s="351">
        <v>2019</v>
      </c>
      <c r="BH486" s="271"/>
      <c r="BI486" s="271" t="s">
        <v>2375</v>
      </c>
    </row>
    <row r="487" spans="1:61" s="204" customFormat="1" ht="42" customHeight="1">
      <c r="A487" s="160" t="s">
        <v>510</v>
      </c>
      <c r="B487" s="58" t="s">
        <v>264</v>
      </c>
      <c r="C487" s="55" t="s">
        <v>244</v>
      </c>
      <c r="D487" s="33" t="s">
        <v>198</v>
      </c>
      <c r="E487" s="33"/>
      <c r="F487" s="33"/>
      <c r="G487" s="33"/>
      <c r="H487" s="30" t="s">
        <v>664</v>
      </c>
      <c r="I487" s="115" t="s">
        <v>2175</v>
      </c>
      <c r="J487" s="212"/>
      <c r="K487" s="158"/>
      <c r="L487" s="158"/>
      <c r="M487" s="158"/>
      <c r="N487" s="158"/>
      <c r="O487" s="158"/>
      <c r="P487" s="158">
        <v>680156137</v>
      </c>
      <c r="Q487" s="158"/>
      <c r="R487" s="158"/>
      <c r="S487" s="158"/>
      <c r="T487" s="158"/>
      <c r="U487" s="94"/>
      <c r="V487" s="158"/>
      <c r="W487" s="311"/>
      <c r="X487" s="311"/>
      <c r="Y487" s="311"/>
      <c r="Z487" s="94"/>
      <c r="AA487" s="158"/>
      <c r="AB487" s="158"/>
      <c r="AC487" s="158"/>
      <c r="AD487" s="158">
        <v>680156137</v>
      </c>
      <c r="AE487" s="158"/>
      <c r="AF487" s="158">
        <f>P487-U487-Z487-AD487</f>
        <v>0</v>
      </c>
      <c r="AG487" s="158"/>
      <c r="AH487" s="158"/>
      <c r="AI487" s="158"/>
      <c r="AJ487" s="158"/>
      <c r="AK487" s="158"/>
      <c r="AL487" s="158">
        <v>877</v>
      </c>
      <c r="AM487" s="158">
        <v>10</v>
      </c>
      <c r="AN487" s="158"/>
      <c r="AO487" s="158"/>
      <c r="AP487" s="158"/>
      <c r="AQ487" s="158"/>
      <c r="AR487" s="158"/>
      <c r="AS487" s="158"/>
      <c r="AT487" s="2">
        <v>0</v>
      </c>
      <c r="AU487" s="58" t="s">
        <v>687</v>
      </c>
      <c r="AV487" s="350" t="s">
        <v>1115</v>
      </c>
      <c r="AW487" s="158"/>
      <c r="AX487" s="158"/>
      <c r="AY487" s="158"/>
      <c r="AZ487" s="158"/>
      <c r="BA487" s="158"/>
      <c r="BB487" s="158"/>
      <c r="BC487" s="69"/>
      <c r="BD487" s="69"/>
      <c r="BE487" s="69">
        <v>12</v>
      </c>
      <c r="BF487" s="351" t="s">
        <v>1704</v>
      </c>
      <c r="BG487" s="351"/>
      <c r="BH487" s="271"/>
      <c r="BI487" s="271" t="s">
        <v>2376</v>
      </c>
    </row>
    <row r="488" spans="1:61" s="204" customFormat="1" ht="15" customHeight="1">
      <c r="A488" s="160" t="s">
        <v>510</v>
      </c>
      <c r="B488" s="58" t="s">
        <v>205</v>
      </c>
      <c r="C488" s="148" t="s">
        <v>245</v>
      </c>
      <c r="D488" s="33" t="s">
        <v>16</v>
      </c>
      <c r="E488" s="33"/>
      <c r="F488" s="33"/>
      <c r="G488" s="33"/>
      <c r="H488" s="30"/>
      <c r="I488" s="58"/>
      <c r="J488" s="212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94"/>
      <c r="V488" s="158"/>
      <c r="W488" s="311"/>
      <c r="X488" s="311"/>
      <c r="Y488" s="311"/>
      <c r="Z488" s="94"/>
      <c r="AA488" s="158"/>
      <c r="AB488" s="158"/>
      <c r="AC488" s="158"/>
      <c r="AD488" s="158"/>
      <c r="AE488" s="158"/>
      <c r="AF488" s="158"/>
      <c r="AG488" s="158"/>
      <c r="AH488" s="158"/>
      <c r="AI488" s="158"/>
      <c r="AJ488" s="158"/>
      <c r="AK488" s="158"/>
      <c r="AL488" s="158"/>
      <c r="AM488" s="158"/>
      <c r="AN488" s="158"/>
      <c r="AO488" s="158"/>
      <c r="AP488" s="158"/>
      <c r="AQ488" s="158"/>
      <c r="AR488" s="158"/>
      <c r="AS488" s="158"/>
      <c r="AT488" s="2"/>
      <c r="AU488" s="58"/>
      <c r="AV488" s="105" t="s">
        <v>1004</v>
      </c>
      <c r="AW488" s="158">
        <v>45</v>
      </c>
      <c r="AX488" s="158"/>
      <c r="AY488" s="158"/>
      <c r="AZ488" s="158"/>
      <c r="BA488" s="158"/>
      <c r="BB488" s="158"/>
      <c r="BC488" s="69"/>
      <c r="BD488" s="69"/>
      <c r="BE488" s="69"/>
      <c r="BF488" s="351">
        <v>2016</v>
      </c>
      <c r="BG488" s="351"/>
      <c r="BH488" s="271"/>
      <c r="BI488" s="271" t="s">
        <v>2376</v>
      </c>
    </row>
    <row r="489" spans="1:61" s="204" customFormat="1" ht="15" customHeight="1">
      <c r="A489" s="160" t="s">
        <v>510</v>
      </c>
      <c r="B489" s="58" t="s">
        <v>203</v>
      </c>
      <c r="C489" s="148" t="s">
        <v>246</v>
      </c>
      <c r="D489" s="33" t="s">
        <v>30</v>
      </c>
      <c r="E489" s="33"/>
      <c r="F489" s="33"/>
      <c r="G489" s="33"/>
      <c r="H489" s="30" t="s">
        <v>664</v>
      </c>
      <c r="I489" s="30"/>
      <c r="J489" s="212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94"/>
      <c r="V489" s="158"/>
      <c r="W489" s="311"/>
      <c r="X489" s="311"/>
      <c r="Y489" s="311"/>
      <c r="Z489" s="94"/>
      <c r="AA489" s="158"/>
      <c r="AB489" s="158"/>
      <c r="AC489" s="158"/>
      <c r="AD489" s="158"/>
      <c r="AE489" s="158"/>
      <c r="AF489" s="158"/>
      <c r="AG489" s="158"/>
      <c r="AH489" s="158"/>
      <c r="AI489" s="158"/>
      <c r="AJ489" s="158"/>
      <c r="AK489" s="158"/>
      <c r="AL489" s="158"/>
      <c r="AM489" s="158"/>
      <c r="AN489" s="158"/>
      <c r="AO489" s="158"/>
      <c r="AP489" s="158"/>
      <c r="AQ489" s="158"/>
      <c r="AR489" s="158"/>
      <c r="AS489" s="158"/>
      <c r="AT489" s="2">
        <v>1</v>
      </c>
      <c r="AU489" s="58" t="s">
        <v>646</v>
      </c>
      <c r="AV489" s="105"/>
      <c r="AW489" s="158">
        <v>38</v>
      </c>
      <c r="AX489" s="158"/>
      <c r="AY489" s="158"/>
      <c r="AZ489" s="158"/>
      <c r="BA489" s="158"/>
      <c r="BB489" s="158"/>
      <c r="BC489" s="69"/>
      <c r="BD489" s="69"/>
      <c r="BE489" s="69"/>
      <c r="BF489" s="351">
        <v>2016</v>
      </c>
      <c r="BG489" s="351"/>
      <c r="BH489" s="271"/>
      <c r="BI489" s="271" t="s">
        <v>2376</v>
      </c>
    </row>
    <row r="490" spans="1:61" s="204" customFormat="1" ht="15" customHeight="1">
      <c r="A490" s="160" t="s">
        <v>510</v>
      </c>
      <c r="B490" s="58" t="s">
        <v>203</v>
      </c>
      <c r="C490" s="148" t="s">
        <v>246</v>
      </c>
      <c r="D490" s="33" t="s">
        <v>30</v>
      </c>
      <c r="E490" s="33"/>
      <c r="F490" s="33"/>
      <c r="G490" s="33"/>
      <c r="H490" s="30" t="s">
        <v>664</v>
      </c>
      <c r="I490" s="30"/>
      <c r="J490" s="212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94"/>
      <c r="V490" s="158"/>
      <c r="W490" s="311"/>
      <c r="X490" s="311"/>
      <c r="Y490" s="311"/>
      <c r="Z490" s="94"/>
      <c r="AA490" s="158"/>
      <c r="AB490" s="158"/>
      <c r="AC490" s="158"/>
      <c r="AD490" s="158"/>
      <c r="AE490" s="158"/>
      <c r="AF490" s="158"/>
      <c r="AG490" s="158"/>
      <c r="AH490" s="158"/>
      <c r="AI490" s="158"/>
      <c r="AJ490" s="158"/>
      <c r="AK490" s="158"/>
      <c r="AL490" s="158"/>
      <c r="AM490" s="158"/>
      <c r="AN490" s="158"/>
      <c r="AO490" s="158"/>
      <c r="AP490" s="158"/>
      <c r="AQ490" s="158"/>
      <c r="AR490" s="158"/>
      <c r="AS490" s="158"/>
      <c r="AT490" s="2">
        <v>0</v>
      </c>
      <c r="AU490" s="58" t="s">
        <v>687</v>
      </c>
      <c r="AV490" s="162" t="s">
        <v>1371</v>
      </c>
      <c r="AW490" s="158"/>
      <c r="AX490" s="158"/>
      <c r="AY490" s="158"/>
      <c r="AZ490" s="158"/>
      <c r="BA490" s="158"/>
      <c r="BB490" s="158"/>
      <c r="BC490" s="69"/>
      <c r="BD490" s="69"/>
      <c r="BE490" s="69">
        <v>2</v>
      </c>
      <c r="BF490" s="351" t="s">
        <v>1703</v>
      </c>
      <c r="BG490" s="351"/>
      <c r="BH490" s="271"/>
      <c r="BI490" s="271" t="s">
        <v>2376</v>
      </c>
    </row>
    <row r="491" spans="1:61" s="204" customFormat="1" ht="15" customHeight="1">
      <c r="A491" s="160" t="s">
        <v>510</v>
      </c>
      <c r="B491" s="58" t="s">
        <v>216</v>
      </c>
      <c r="C491" s="148" t="s">
        <v>247</v>
      </c>
      <c r="D491" s="33" t="s">
        <v>7</v>
      </c>
      <c r="E491" s="33"/>
      <c r="F491" s="33"/>
      <c r="G491" s="33"/>
      <c r="H491" s="30" t="s">
        <v>664</v>
      </c>
      <c r="I491" s="30"/>
      <c r="J491" s="212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94"/>
      <c r="V491" s="158"/>
      <c r="W491" s="311"/>
      <c r="X491" s="311"/>
      <c r="Y491" s="311"/>
      <c r="Z491" s="94"/>
      <c r="AA491" s="158"/>
      <c r="AB491" s="158"/>
      <c r="AC491" s="158"/>
      <c r="AD491" s="158"/>
      <c r="AE491" s="158"/>
      <c r="AF491" s="158"/>
      <c r="AG491" s="158"/>
      <c r="AH491" s="158"/>
      <c r="AI491" s="158"/>
      <c r="AJ491" s="158"/>
      <c r="AK491" s="158"/>
      <c r="AL491" s="158"/>
      <c r="AM491" s="158"/>
      <c r="AN491" s="158"/>
      <c r="AO491" s="158"/>
      <c r="AP491" s="158"/>
      <c r="AQ491" s="158"/>
      <c r="AR491" s="158"/>
      <c r="AS491" s="158"/>
      <c r="AT491" s="2">
        <v>1</v>
      </c>
      <c r="AU491" s="58" t="s">
        <v>646</v>
      </c>
      <c r="AV491" s="105"/>
      <c r="AW491" s="158" t="s">
        <v>0</v>
      </c>
      <c r="AX491" s="158">
        <v>42</v>
      </c>
      <c r="AY491" s="158"/>
      <c r="AZ491" s="158"/>
      <c r="BA491" s="158"/>
      <c r="BB491" s="158"/>
      <c r="BC491" s="69"/>
      <c r="BD491" s="69"/>
      <c r="BE491" s="69"/>
      <c r="BF491" s="351">
        <v>2017</v>
      </c>
      <c r="BG491" s="351"/>
      <c r="BH491" s="271"/>
      <c r="BI491" s="271" t="s">
        <v>2376</v>
      </c>
    </row>
    <row r="492" spans="1:61" s="204" customFormat="1" ht="18" customHeight="1">
      <c r="A492" s="160" t="s">
        <v>510</v>
      </c>
      <c r="B492" s="58" t="s">
        <v>216</v>
      </c>
      <c r="C492" s="148" t="s">
        <v>247</v>
      </c>
      <c r="D492" s="33" t="s">
        <v>7</v>
      </c>
      <c r="E492" s="33"/>
      <c r="F492" s="33"/>
      <c r="G492" s="33"/>
      <c r="H492" s="30" t="s">
        <v>664</v>
      </c>
      <c r="I492" s="115" t="s">
        <v>1673</v>
      </c>
      <c r="J492" s="215" t="s">
        <v>1674</v>
      </c>
      <c r="K492" s="158"/>
      <c r="L492" s="158"/>
      <c r="M492" s="158">
        <v>4</v>
      </c>
      <c r="N492" s="158"/>
      <c r="O492" s="158"/>
      <c r="P492" s="158">
        <v>227317189</v>
      </c>
      <c r="Q492" s="158"/>
      <c r="R492" s="158"/>
      <c r="S492" s="158"/>
      <c r="T492" s="158"/>
      <c r="U492" s="94"/>
      <c r="V492" s="158"/>
      <c r="W492" s="311"/>
      <c r="X492" s="311"/>
      <c r="Y492" s="311"/>
      <c r="Z492" s="94"/>
      <c r="AA492" s="158"/>
      <c r="AB492" s="158"/>
      <c r="AC492" s="158"/>
      <c r="AD492" s="158">
        <v>227317189</v>
      </c>
      <c r="AE492" s="158"/>
      <c r="AF492" s="158">
        <f>P492-U492-Z492-AD492</f>
        <v>0</v>
      </c>
      <c r="AG492" s="158"/>
      <c r="AH492" s="94">
        <v>0</v>
      </c>
      <c r="AI492" s="94">
        <v>0</v>
      </c>
      <c r="AJ492" s="94"/>
      <c r="AK492" s="158">
        <f t="shared" ref="AK492" si="135">AF492+AH492</f>
        <v>0</v>
      </c>
      <c r="AL492" s="158">
        <v>877</v>
      </c>
      <c r="AM492" s="158">
        <v>10</v>
      </c>
      <c r="AN492" s="158"/>
      <c r="AO492" s="158"/>
      <c r="AP492" s="158"/>
      <c r="AQ492" s="158"/>
      <c r="AR492" s="158"/>
      <c r="AS492" s="158"/>
      <c r="AT492" s="2">
        <v>0</v>
      </c>
      <c r="AU492" s="58" t="s">
        <v>687</v>
      </c>
      <c r="AV492" s="395" t="s">
        <v>1359</v>
      </c>
      <c r="AW492" s="158"/>
      <c r="AX492" s="158"/>
      <c r="AY492" s="158"/>
      <c r="AZ492" s="158"/>
      <c r="BA492" s="158"/>
      <c r="BB492" s="158"/>
      <c r="BC492" s="69"/>
      <c r="BD492" s="69"/>
      <c r="BE492" s="69">
        <v>4</v>
      </c>
      <c r="BF492" s="351" t="s">
        <v>1706</v>
      </c>
      <c r="BG492" s="351">
        <v>2019</v>
      </c>
      <c r="BH492" s="271"/>
      <c r="BI492" s="271" t="s">
        <v>2375</v>
      </c>
    </row>
    <row r="493" spans="1:61" s="204" customFormat="1" ht="15" customHeight="1">
      <c r="A493" s="160" t="s">
        <v>510</v>
      </c>
      <c r="B493" s="58" t="s">
        <v>546</v>
      </c>
      <c r="C493" s="148" t="s">
        <v>248</v>
      </c>
      <c r="D493" s="33" t="s">
        <v>57</v>
      </c>
      <c r="E493" s="33"/>
      <c r="F493" s="33"/>
      <c r="G493" s="33"/>
      <c r="H493" s="30"/>
      <c r="I493" s="58"/>
      <c r="J493" s="212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94"/>
      <c r="V493" s="158"/>
      <c r="W493" s="311"/>
      <c r="X493" s="311"/>
      <c r="Y493" s="311"/>
      <c r="Z493" s="94"/>
      <c r="AA493" s="158"/>
      <c r="AB493" s="158"/>
      <c r="AC493" s="158"/>
      <c r="AD493" s="158"/>
      <c r="AE493" s="158"/>
      <c r="AF493" s="158"/>
      <c r="AG493" s="158"/>
      <c r="AH493" s="158"/>
      <c r="AI493" s="158"/>
      <c r="AJ493" s="158"/>
      <c r="AK493" s="158"/>
      <c r="AL493" s="158"/>
      <c r="AM493" s="158"/>
      <c r="AN493" s="158"/>
      <c r="AO493" s="158"/>
      <c r="AP493" s="158"/>
      <c r="AQ493" s="158"/>
      <c r="AR493" s="158"/>
      <c r="AS493" s="158"/>
      <c r="AT493" s="2"/>
      <c r="AU493" s="58"/>
      <c r="AV493" s="206"/>
      <c r="AW493" s="158">
        <v>56</v>
      </c>
      <c r="AX493" s="158"/>
      <c r="AY493" s="158"/>
      <c r="AZ493" s="158"/>
      <c r="BA493" s="158"/>
      <c r="BB493" s="158"/>
      <c r="BC493" s="69"/>
      <c r="BD493" s="69"/>
      <c r="BE493" s="69"/>
      <c r="BF493" s="271">
        <v>2016</v>
      </c>
      <c r="BG493" s="271"/>
      <c r="BH493" s="271"/>
      <c r="BI493" s="271" t="s">
        <v>2376</v>
      </c>
    </row>
    <row r="494" spans="1:61" s="204" customFormat="1" ht="15" customHeight="1">
      <c r="A494" s="160" t="s">
        <v>510</v>
      </c>
      <c r="B494" s="58" t="s">
        <v>203</v>
      </c>
      <c r="C494" s="148" t="s">
        <v>204</v>
      </c>
      <c r="D494" s="33" t="s">
        <v>200</v>
      </c>
      <c r="E494" s="33"/>
      <c r="F494" s="33"/>
      <c r="G494" s="33"/>
      <c r="H494" s="30"/>
      <c r="I494" s="58"/>
      <c r="J494" s="212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94"/>
      <c r="V494" s="158"/>
      <c r="W494" s="311"/>
      <c r="X494" s="311"/>
      <c r="Y494" s="311"/>
      <c r="Z494" s="94"/>
      <c r="AA494" s="158"/>
      <c r="AB494" s="158"/>
      <c r="AC494" s="158"/>
      <c r="AD494" s="158"/>
      <c r="AE494" s="158"/>
      <c r="AF494" s="158"/>
      <c r="AG494" s="158"/>
      <c r="AH494" s="158"/>
      <c r="AI494" s="158"/>
      <c r="AJ494" s="158"/>
      <c r="AK494" s="158"/>
      <c r="AL494" s="158"/>
      <c r="AM494" s="158"/>
      <c r="AN494" s="158"/>
      <c r="AO494" s="158"/>
      <c r="AP494" s="158"/>
      <c r="AQ494" s="158"/>
      <c r="AR494" s="158"/>
      <c r="AS494" s="158"/>
      <c r="AT494" s="2"/>
      <c r="AU494" s="58"/>
      <c r="AV494" s="206"/>
      <c r="AW494" s="158">
        <v>41</v>
      </c>
      <c r="AX494" s="158"/>
      <c r="AY494" s="158"/>
      <c r="AZ494" s="158"/>
      <c r="BA494" s="158"/>
      <c r="BB494" s="158"/>
      <c r="BC494" s="69"/>
      <c r="BD494" s="69"/>
      <c r="BE494" s="69"/>
      <c r="BF494" s="271">
        <v>2016</v>
      </c>
      <c r="BG494" s="271"/>
      <c r="BH494" s="271"/>
      <c r="BI494" s="271" t="s">
        <v>2376</v>
      </c>
    </row>
    <row r="495" spans="1:61" s="204" customFormat="1" ht="15" customHeight="1">
      <c r="A495" s="160" t="s">
        <v>510</v>
      </c>
      <c r="B495" s="58" t="s">
        <v>203</v>
      </c>
      <c r="C495" s="148" t="s">
        <v>249</v>
      </c>
      <c r="D495" s="33" t="s">
        <v>250</v>
      </c>
      <c r="E495" s="33"/>
      <c r="F495" s="33"/>
      <c r="G495" s="33"/>
      <c r="H495" s="30" t="s">
        <v>651</v>
      </c>
      <c r="I495" s="30"/>
      <c r="J495" s="212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94"/>
      <c r="V495" s="158"/>
      <c r="W495" s="311"/>
      <c r="X495" s="311"/>
      <c r="Y495" s="311"/>
      <c r="Z495" s="94"/>
      <c r="AA495" s="158"/>
      <c r="AB495" s="158"/>
      <c r="AC495" s="158"/>
      <c r="AD495" s="158"/>
      <c r="AE495" s="158"/>
      <c r="AF495" s="158"/>
      <c r="AG495" s="158"/>
      <c r="AH495" s="158"/>
      <c r="AI495" s="158"/>
      <c r="AJ495" s="158"/>
      <c r="AK495" s="158"/>
      <c r="AL495" s="158"/>
      <c r="AM495" s="158"/>
      <c r="AN495" s="158"/>
      <c r="AO495" s="158"/>
      <c r="AP495" s="158"/>
      <c r="AQ495" s="158"/>
      <c r="AR495" s="158"/>
      <c r="AS495" s="158"/>
      <c r="AT495" s="2">
        <v>1</v>
      </c>
      <c r="AU495" s="58" t="s">
        <v>646</v>
      </c>
      <c r="AV495" s="206"/>
      <c r="AW495" s="158" t="s">
        <v>0</v>
      </c>
      <c r="AX495" s="158">
        <v>24</v>
      </c>
      <c r="AY495" s="158"/>
      <c r="AZ495" s="158"/>
      <c r="BA495" s="158"/>
      <c r="BB495" s="158"/>
      <c r="BC495" s="69"/>
      <c r="BD495" s="69"/>
      <c r="BE495" s="69"/>
      <c r="BF495" s="271">
        <v>2017</v>
      </c>
      <c r="BG495" s="271"/>
      <c r="BH495" s="271"/>
      <c r="BI495" s="271" t="s">
        <v>2376</v>
      </c>
    </row>
    <row r="496" spans="1:61" s="204" customFormat="1" ht="15" customHeight="1">
      <c r="A496" s="160" t="s">
        <v>510</v>
      </c>
      <c r="B496" s="58" t="s">
        <v>203</v>
      </c>
      <c r="C496" s="148" t="s">
        <v>249</v>
      </c>
      <c r="D496" s="33" t="s">
        <v>250</v>
      </c>
      <c r="E496" s="33"/>
      <c r="F496" s="33"/>
      <c r="G496" s="33"/>
      <c r="H496" s="30" t="s">
        <v>651</v>
      </c>
      <c r="I496" s="30"/>
      <c r="J496" s="212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94"/>
      <c r="V496" s="158"/>
      <c r="W496" s="311"/>
      <c r="X496" s="311"/>
      <c r="Y496" s="311"/>
      <c r="Z496" s="94"/>
      <c r="AA496" s="158"/>
      <c r="AB496" s="158"/>
      <c r="AC496" s="158"/>
      <c r="AD496" s="158"/>
      <c r="AE496" s="158"/>
      <c r="AF496" s="158"/>
      <c r="AG496" s="158"/>
      <c r="AH496" s="158"/>
      <c r="AI496" s="158"/>
      <c r="AJ496" s="158"/>
      <c r="AK496" s="158"/>
      <c r="AL496" s="158"/>
      <c r="AM496" s="158"/>
      <c r="AN496" s="158"/>
      <c r="AO496" s="158"/>
      <c r="AP496" s="158"/>
      <c r="AQ496" s="158"/>
      <c r="AR496" s="158"/>
      <c r="AS496" s="158"/>
      <c r="AT496" s="2">
        <v>0</v>
      </c>
      <c r="AU496" s="58" t="s">
        <v>687</v>
      </c>
      <c r="AV496" s="162" t="s">
        <v>1371</v>
      </c>
      <c r="AW496" s="158"/>
      <c r="AX496" s="158"/>
      <c r="AY496" s="158"/>
      <c r="AZ496" s="158"/>
      <c r="BA496" s="158"/>
      <c r="BB496" s="158"/>
      <c r="BC496" s="69"/>
      <c r="BD496" s="69"/>
      <c r="BE496" s="69">
        <v>1</v>
      </c>
      <c r="BF496" s="271" t="s">
        <v>1703</v>
      </c>
      <c r="BG496" s="271"/>
      <c r="BH496" s="271"/>
      <c r="BI496" s="271" t="s">
        <v>2376</v>
      </c>
    </row>
    <row r="497" spans="1:61" s="204" customFormat="1" ht="22.5" customHeight="1">
      <c r="A497" s="160" t="s">
        <v>510</v>
      </c>
      <c r="B497" s="58" t="s">
        <v>199</v>
      </c>
      <c r="C497" s="148" t="s">
        <v>251</v>
      </c>
      <c r="D497" s="33" t="s">
        <v>30</v>
      </c>
      <c r="E497" s="33"/>
      <c r="F497" s="33"/>
      <c r="G497" s="33"/>
      <c r="H497" s="30"/>
      <c r="I497" s="58"/>
      <c r="J497" s="212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94"/>
      <c r="V497" s="158"/>
      <c r="W497" s="311"/>
      <c r="X497" s="311"/>
      <c r="Y497" s="311"/>
      <c r="Z497" s="94"/>
      <c r="AA497" s="158"/>
      <c r="AB497" s="158"/>
      <c r="AC497" s="158"/>
      <c r="AD497" s="158"/>
      <c r="AE497" s="158"/>
      <c r="AF497" s="158"/>
      <c r="AG497" s="158"/>
      <c r="AH497" s="158"/>
      <c r="AI497" s="158"/>
      <c r="AJ497" s="158"/>
      <c r="AK497" s="158"/>
      <c r="AL497" s="158"/>
      <c r="AM497" s="158"/>
      <c r="AN497" s="158"/>
      <c r="AO497" s="158"/>
      <c r="AP497" s="158"/>
      <c r="AQ497" s="158"/>
      <c r="AR497" s="158"/>
      <c r="AS497" s="158"/>
      <c r="AT497" s="2"/>
      <c r="AU497" s="58"/>
      <c r="AV497" s="125" t="s">
        <v>1360</v>
      </c>
      <c r="AW497" s="158">
        <v>88</v>
      </c>
      <c r="AX497" s="158"/>
      <c r="AY497" s="158"/>
      <c r="AZ497" s="158"/>
      <c r="BA497" s="158"/>
      <c r="BB497" s="158"/>
      <c r="BC497" s="69"/>
      <c r="BD497" s="69"/>
      <c r="BE497" s="69"/>
      <c r="BF497" s="271">
        <v>2016</v>
      </c>
      <c r="BG497" s="271"/>
      <c r="BH497" s="271"/>
      <c r="BI497" s="271" t="s">
        <v>2376</v>
      </c>
    </row>
    <row r="498" spans="1:61" s="204" customFormat="1" ht="15" customHeight="1">
      <c r="A498" s="160" t="s">
        <v>510</v>
      </c>
      <c r="B498" s="58" t="s">
        <v>280</v>
      </c>
      <c r="C498" s="148" t="s">
        <v>252</v>
      </c>
      <c r="D498" s="33" t="s">
        <v>30</v>
      </c>
      <c r="E498" s="33"/>
      <c r="F498" s="33"/>
      <c r="G498" s="33"/>
      <c r="H498" s="30" t="s">
        <v>651</v>
      </c>
      <c r="I498" s="30">
        <v>897</v>
      </c>
      <c r="J498" s="212">
        <v>42142</v>
      </c>
      <c r="K498" s="158"/>
      <c r="L498" s="158"/>
      <c r="M498" s="158"/>
      <c r="N498" s="158"/>
      <c r="O498" s="158"/>
      <c r="P498" s="158">
        <f>2326629398-113494118</f>
        <v>2213135280</v>
      </c>
      <c r="Q498" s="158"/>
      <c r="R498" s="158"/>
      <c r="S498" s="158"/>
      <c r="T498" s="158"/>
      <c r="U498" s="94">
        <v>976683898</v>
      </c>
      <c r="V498" s="158"/>
      <c r="W498" s="311"/>
      <c r="X498" s="311"/>
      <c r="Y498" s="311"/>
      <c r="Z498" s="94">
        <v>1236451382</v>
      </c>
      <c r="AA498" s="158"/>
      <c r="AB498" s="311"/>
      <c r="AC498" s="311"/>
      <c r="AD498" s="158"/>
      <c r="AE498" s="158"/>
      <c r="AF498" s="158">
        <f>P498-U498-Z498</f>
        <v>0</v>
      </c>
      <c r="AG498" s="158"/>
      <c r="AH498" s="158"/>
      <c r="AI498" s="158"/>
      <c r="AJ498" s="158"/>
      <c r="AK498" s="158"/>
      <c r="AL498" s="158"/>
      <c r="AM498" s="158"/>
      <c r="AN498" s="158"/>
      <c r="AO498" s="158"/>
      <c r="AP498" s="158"/>
      <c r="AQ498" s="158"/>
      <c r="AR498" s="158"/>
      <c r="AS498" s="158"/>
      <c r="AT498" s="2">
        <v>1</v>
      </c>
      <c r="AU498" s="58" t="s">
        <v>646</v>
      </c>
      <c r="AV498" s="206"/>
      <c r="AW498" s="158">
        <v>39</v>
      </c>
      <c r="AX498" s="158"/>
      <c r="AY498" s="158"/>
      <c r="AZ498" s="158"/>
      <c r="BA498" s="158"/>
      <c r="BB498" s="158"/>
      <c r="BC498" s="69"/>
      <c r="BD498" s="69"/>
      <c r="BE498" s="69"/>
      <c r="BF498" s="271">
        <v>2016</v>
      </c>
      <c r="BG498" s="271"/>
      <c r="BH498" s="271"/>
      <c r="BI498" s="271" t="s">
        <v>2376</v>
      </c>
    </row>
    <row r="499" spans="1:61" s="204" customFormat="1" ht="18" customHeight="1">
      <c r="A499" s="160" t="s">
        <v>510</v>
      </c>
      <c r="B499" s="58" t="s">
        <v>280</v>
      </c>
      <c r="C499" s="148" t="s">
        <v>252</v>
      </c>
      <c r="D499" s="33" t="s">
        <v>30</v>
      </c>
      <c r="E499" s="33"/>
      <c r="F499" s="33"/>
      <c r="G499" s="33"/>
      <c r="H499" s="30" t="s">
        <v>651</v>
      </c>
      <c r="I499" s="115" t="s">
        <v>1812</v>
      </c>
      <c r="J499" s="215" t="s">
        <v>1813</v>
      </c>
      <c r="K499" s="158"/>
      <c r="L499" s="158"/>
      <c r="M499" s="158">
        <v>2</v>
      </c>
      <c r="N499" s="158"/>
      <c r="O499" s="158"/>
      <c r="P499" s="158">
        <v>113494118</v>
      </c>
      <c r="Q499" s="158"/>
      <c r="R499" s="158"/>
      <c r="S499" s="158"/>
      <c r="T499" s="225"/>
      <c r="U499" s="94">
        <f>103341018+10153100</f>
        <v>113494118</v>
      </c>
      <c r="V499" s="158" t="s">
        <v>1814</v>
      </c>
      <c r="W499" s="311">
        <v>43739</v>
      </c>
      <c r="X499" s="311"/>
      <c r="Y499" s="311"/>
      <c r="Z499" s="94"/>
      <c r="AA499" s="158"/>
      <c r="AB499" s="158"/>
      <c r="AC499" s="158"/>
      <c r="AD499" s="158"/>
      <c r="AE499" s="158"/>
      <c r="AF499" s="158">
        <f>P499-U499-Z499-AD499</f>
        <v>0</v>
      </c>
      <c r="AG499" s="158"/>
      <c r="AH499" s="94">
        <v>0</v>
      </c>
      <c r="AI499" s="94">
        <v>0</v>
      </c>
      <c r="AJ499" s="94"/>
      <c r="AK499" s="158">
        <f t="shared" ref="AK499" si="136">AF499+AH499</f>
        <v>0</v>
      </c>
      <c r="AL499" s="158" t="s">
        <v>2384</v>
      </c>
      <c r="AM499" s="158" t="s">
        <v>1814</v>
      </c>
      <c r="AN499" s="158"/>
      <c r="AO499" s="158"/>
      <c r="AP499" s="158"/>
      <c r="AQ499" s="158"/>
      <c r="AR499" s="158"/>
      <c r="AS499" s="158"/>
      <c r="AT499" s="2">
        <v>1</v>
      </c>
      <c r="AU499" s="58" t="s">
        <v>646</v>
      </c>
      <c r="AV499" s="348" t="s">
        <v>1816</v>
      </c>
      <c r="AW499" s="158"/>
      <c r="AX499" s="158"/>
      <c r="AY499" s="158"/>
      <c r="AZ499" s="158">
        <v>2</v>
      </c>
      <c r="BA499" s="158"/>
      <c r="BB499" s="158"/>
      <c r="BC499" s="69"/>
      <c r="BD499" s="69">
        <v>2</v>
      </c>
      <c r="BE499" s="69"/>
      <c r="BF499" s="271">
        <v>2019</v>
      </c>
      <c r="BG499" s="271">
        <v>2019</v>
      </c>
      <c r="BH499" s="271"/>
      <c r="BI499" s="271" t="s">
        <v>2375</v>
      </c>
    </row>
    <row r="500" spans="1:61" s="204" customFormat="1" ht="24.75" customHeight="1">
      <c r="A500" s="160" t="s">
        <v>510</v>
      </c>
      <c r="B500" s="58" t="s">
        <v>280</v>
      </c>
      <c r="C500" s="148" t="s">
        <v>253</v>
      </c>
      <c r="D500" s="33" t="s">
        <v>7</v>
      </c>
      <c r="E500" s="33"/>
      <c r="F500" s="33"/>
      <c r="G500" s="33"/>
      <c r="H500" s="30"/>
      <c r="I500" s="58"/>
      <c r="J500" s="212"/>
      <c r="K500" s="158"/>
      <c r="L500" s="158"/>
      <c r="M500" s="158"/>
      <c r="N500" s="158"/>
      <c r="O500" s="158"/>
      <c r="P500" s="158"/>
      <c r="Q500" s="158"/>
      <c r="R500" s="158"/>
      <c r="S500" s="158"/>
      <c r="T500" s="158"/>
      <c r="U500" s="94"/>
      <c r="V500" s="158"/>
      <c r="W500" s="311"/>
      <c r="X500" s="311"/>
      <c r="Y500" s="311"/>
      <c r="Z500" s="94"/>
      <c r="AA500" s="158"/>
      <c r="AB500" s="158"/>
      <c r="AC500" s="158"/>
      <c r="AD500" s="158"/>
      <c r="AE500" s="158"/>
      <c r="AF500" s="158"/>
      <c r="AG500" s="158"/>
      <c r="AH500" s="158"/>
      <c r="AI500" s="158"/>
      <c r="AJ500" s="158"/>
      <c r="AK500" s="158"/>
      <c r="AL500" s="158"/>
      <c r="AM500" s="158"/>
      <c r="AN500" s="158"/>
      <c r="AO500" s="158"/>
      <c r="AP500" s="158"/>
      <c r="AQ500" s="158"/>
      <c r="AR500" s="158"/>
      <c r="AS500" s="158"/>
      <c r="AT500" s="2">
        <v>1</v>
      </c>
      <c r="AU500" s="58" t="s">
        <v>646</v>
      </c>
      <c r="AV500" s="206"/>
      <c r="AW500" s="158">
        <v>31</v>
      </c>
      <c r="AX500" s="158"/>
      <c r="AY500" s="158"/>
      <c r="AZ500" s="158"/>
      <c r="BA500" s="158"/>
      <c r="BB500" s="158"/>
      <c r="BC500" s="69"/>
      <c r="BD500" s="69"/>
      <c r="BE500" s="69"/>
      <c r="BF500" s="271">
        <v>2016</v>
      </c>
      <c r="BG500" s="271"/>
      <c r="BH500" s="271"/>
      <c r="BI500" s="271" t="s">
        <v>2376</v>
      </c>
    </row>
    <row r="501" spans="1:61" s="204" customFormat="1" ht="15" customHeight="1">
      <c r="A501" s="160" t="s">
        <v>510</v>
      </c>
      <c r="B501" s="58" t="s">
        <v>208</v>
      </c>
      <c r="C501" s="148" t="s">
        <v>254</v>
      </c>
      <c r="D501" s="33" t="s">
        <v>30</v>
      </c>
      <c r="E501" s="33"/>
      <c r="F501" s="33"/>
      <c r="G501" s="33"/>
      <c r="H501" s="30" t="s">
        <v>651</v>
      </c>
      <c r="I501" s="30"/>
      <c r="J501" s="212"/>
      <c r="K501" s="12"/>
      <c r="L501" s="12"/>
      <c r="M501" s="12"/>
      <c r="N501" s="12"/>
      <c r="O501" s="12"/>
      <c r="P501" s="12"/>
      <c r="Q501" s="12"/>
      <c r="R501" s="158"/>
      <c r="S501" s="158"/>
      <c r="T501" s="12"/>
      <c r="U501" s="94"/>
      <c r="V501" s="12"/>
      <c r="W501" s="311"/>
      <c r="X501" s="311"/>
      <c r="Y501" s="311"/>
      <c r="Z501" s="94"/>
      <c r="AA501" s="12"/>
      <c r="AB501" s="12"/>
      <c r="AC501" s="12"/>
      <c r="AD501" s="12"/>
      <c r="AE501" s="158"/>
      <c r="AF501" s="158"/>
      <c r="AG501" s="158"/>
      <c r="AH501" s="158"/>
      <c r="AI501" s="158"/>
      <c r="AJ501" s="158"/>
      <c r="AK501" s="158"/>
      <c r="AL501" s="158"/>
      <c r="AM501" s="158"/>
      <c r="AN501" s="158"/>
      <c r="AO501" s="158"/>
      <c r="AP501" s="12"/>
      <c r="AQ501" s="12"/>
      <c r="AR501" s="12"/>
      <c r="AS501" s="12"/>
      <c r="AT501" s="14">
        <v>1</v>
      </c>
      <c r="AU501" s="118" t="s">
        <v>646</v>
      </c>
      <c r="AV501" s="305"/>
      <c r="AW501" s="12" t="s">
        <v>0</v>
      </c>
      <c r="AX501" s="12">
        <v>4</v>
      </c>
      <c r="AY501" s="11"/>
      <c r="AZ501" s="11"/>
      <c r="BA501" s="11"/>
      <c r="BB501" s="11"/>
      <c r="BC501" s="70"/>
      <c r="BD501" s="70"/>
      <c r="BE501" s="70"/>
      <c r="BF501" s="271">
        <v>2017</v>
      </c>
      <c r="BG501" s="271"/>
      <c r="BH501" s="271"/>
      <c r="BI501" s="271" t="s">
        <v>2376</v>
      </c>
    </row>
    <row r="502" spans="1:61" s="204" customFormat="1" ht="15" customHeight="1">
      <c r="A502" s="160" t="s">
        <v>510</v>
      </c>
      <c r="B502" s="58" t="s">
        <v>188</v>
      </c>
      <c r="C502" s="148" t="s">
        <v>695</v>
      </c>
      <c r="D502" s="33" t="s">
        <v>165</v>
      </c>
      <c r="E502" s="33"/>
      <c r="F502" s="33"/>
      <c r="G502" s="33"/>
      <c r="H502" s="30" t="s">
        <v>635</v>
      </c>
      <c r="I502" s="30">
        <v>1856</v>
      </c>
      <c r="J502" s="212">
        <v>42608</v>
      </c>
      <c r="K502" s="12"/>
      <c r="L502" s="12"/>
      <c r="M502" s="12"/>
      <c r="N502" s="12"/>
      <c r="O502" s="12"/>
      <c r="P502" s="158">
        <f>1628982014-56171794</f>
        <v>1572810220</v>
      </c>
      <c r="Q502" s="158"/>
      <c r="R502" s="158"/>
      <c r="S502" s="158"/>
      <c r="T502" s="310"/>
      <c r="U502" s="94">
        <v>680367752</v>
      </c>
      <c r="V502" s="12"/>
      <c r="W502" s="311"/>
      <c r="X502" s="311"/>
      <c r="Y502" s="311"/>
      <c r="Z502" s="94">
        <v>892442468</v>
      </c>
      <c r="AA502" s="12"/>
      <c r="AB502" s="12"/>
      <c r="AC502" s="12"/>
      <c r="AD502" s="12"/>
      <c r="AE502" s="158"/>
      <c r="AF502" s="158">
        <f>P502-U502-Z502</f>
        <v>0</v>
      </c>
      <c r="AG502" s="158"/>
      <c r="AH502" s="158"/>
      <c r="AI502" s="158"/>
      <c r="AJ502" s="158"/>
      <c r="AK502" s="158"/>
      <c r="AL502" s="158">
        <v>877</v>
      </c>
      <c r="AM502" s="158">
        <v>10</v>
      </c>
      <c r="AN502" s="158"/>
      <c r="AO502" s="158"/>
      <c r="AP502" s="12"/>
      <c r="AQ502" s="12"/>
      <c r="AR502" s="12"/>
      <c r="AS502" s="12"/>
      <c r="AT502" s="14">
        <v>1</v>
      </c>
      <c r="AU502" s="118" t="s">
        <v>646</v>
      </c>
      <c r="AV502" s="305"/>
      <c r="AW502" s="12">
        <v>28</v>
      </c>
      <c r="AX502" s="12"/>
      <c r="AY502" s="158"/>
      <c r="AZ502" s="158"/>
      <c r="BA502" s="158"/>
      <c r="BB502" s="158"/>
      <c r="BC502" s="69"/>
      <c r="BD502" s="69"/>
      <c r="BE502" s="69"/>
      <c r="BF502" s="271">
        <v>2016</v>
      </c>
      <c r="BG502" s="271"/>
      <c r="BH502" s="271"/>
      <c r="BI502" s="271" t="s">
        <v>2376</v>
      </c>
    </row>
    <row r="503" spans="1:61" s="204" customFormat="1" ht="41.25" customHeight="1">
      <c r="A503" s="160" t="s">
        <v>510</v>
      </c>
      <c r="B503" s="58" t="s">
        <v>2423</v>
      </c>
      <c r="C503" s="55" t="s">
        <v>695</v>
      </c>
      <c r="D503" s="33" t="s">
        <v>165</v>
      </c>
      <c r="E503" s="33"/>
      <c r="F503" s="33"/>
      <c r="G503" s="33"/>
      <c r="H503" s="30" t="s">
        <v>635</v>
      </c>
      <c r="I503" s="30">
        <v>1856</v>
      </c>
      <c r="J503" s="212">
        <v>42608</v>
      </c>
      <c r="K503" s="158"/>
      <c r="L503" s="158"/>
      <c r="M503" s="158">
        <v>1</v>
      </c>
      <c r="N503" s="158"/>
      <c r="O503" s="158">
        <v>1</v>
      </c>
      <c r="P503" s="158">
        <v>56171794</v>
      </c>
      <c r="Q503" s="158"/>
      <c r="R503" s="158"/>
      <c r="S503" s="158"/>
      <c r="T503" s="12"/>
      <c r="U503" s="94"/>
      <c r="V503" s="12"/>
      <c r="W503" s="311"/>
      <c r="X503" s="311"/>
      <c r="Y503" s="311"/>
      <c r="Z503" s="94"/>
      <c r="AA503" s="12"/>
      <c r="AB503" s="12"/>
      <c r="AC503" s="12"/>
      <c r="AD503" s="12"/>
      <c r="AE503" s="158"/>
      <c r="AF503" s="158">
        <f>P503-U503-Z503-56171794</f>
        <v>0</v>
      </c>
      <c r="AG503" s="158"/>
      <c r="AH503" s="158">
        <v>56171794</v>
      </c>
      <c r="AI503" s="158">
        <v>56171794</v>
      </c>
      <c r="AJ503" s="158"/>
      <c r="AK503" s="602">
        <f t="shared" ref="AK503" si="137">P503-R503-U503-Z503</f>
        <v>56171794</v>
      </c>
      <c r="AL503" s="72">
        <v>877</v>
      </c>
      <c r="AM503" s="72">
        <v>10</v>
      </c>
      <c r="AN503" s="158">
        <v>1</v>
      </c>
      <c r="AO503" s="158"/>
      <c r="AP503" s="158"/>
      <c r="AQ503" s="158"/>
      <c r="AR503" s="158"/>
      <c r="AS503" s="158"/>
      <c r="AT503" s="2">
        <v>0</v>
      </c>
      <c r="AU503" s="58" t="s">
        <v>521</v>
      </c>
      <c r="AV503" s="422" t="s">
        <v>1305</v>
      </c>
      <c r="AW503" s="12"/>
      <c r="AX503" s="12"/>
      <c r="AY503" s="158"/>
      <c r="AZ503" s="158"/>
      <c r="BA503" s="158"/>
      <c r="BB503" s="158"/>
      <c r="BC503" s="69"/>
      <c r="BD503" s="69"/>
      <c r="BE503" s="69"/>
      <c r="BF503" s="271"/>
      <c r="BG503" s="271">
        <v>2019</v>
      </c>
      <c r="BH503" s="271">
        <v>2020</v>
      </c>
      <c r="BI503" s="271" t="s">
        <v>2375</v>
      </c>
    </row>
    <row r="504" spans="1:61" s="204" customFormat="1" ht="15" customHeight="1">
      <c r="A504" s="160" t="s">
        <v>510</v>
      </c>
      <c r="B504" s="58" t="s">
        <v>188</v>
      </c>
      <c r="C504" s="148" t="s">
        <v>695</v>
      </c>
      <c r="D504" s="33" t="s">
        <v>165</v>
      </c>
      <c r="E504" s="33"/>
      <c r="F504" s="33"/>
      <c r="G504" s="33"/>
      <c r="H504" s="30" t="s">
        <v>635</v>
      </c>
      <c r="I504" s="30">
        <v>1856</v>
      </c>
      <c r="J504" s="212">
        <v>42608</v>
      </c>
      <c r="K504" s="12"/>
      <c r="L504" s="12"/>
      <c r="M504" s="12"/>
      <c r="N504" s="12"/>
      <c r="O504" s="12"/>
      <c r="P504" s="12"/>
      <c r="Q504" s="12"/>
      <c r="R504" s="158"/>
      <c r="S504" s="158"/>
      <c r="T504" s="12"/>
      <c r="U504" s="94"/>
      <c r="V504" s="12"/>
      <c r="W504" s="311"/>
      <c r="X504" s="311"/>
      <c r="Y504" s="311"/>
      <c r="Z504" s="94"/>
      <c r="AA504" s="12"/>
      <c r="AB504" s="12"/>
      <c r="AC504" s="12"/>
      <c r="AD504" s="12"/>
      <c r="AE504" s="158"/>
      <c r="AF504" s="158"/>
      <c r="AG504" s="158"/>
      <c r="AH504" s="158"/>
      <c r="AI504" s="158"/>
      <c r="AJ504" s="158"/>
      <c r="AK504" s="158"/>
      <c r="AL504" s="158"/>
      <c r="AM504" s="158"/>
      <c r="AN504" s="158"/>
      <c r="AO504" s="158"/>
      <c r="AP504" s="12"/>
      <c r="AQ504" s="12"/>
      <c r="AR504" s="12"/>
      <c r="AS504" s="12"/>
      <c r="AT504" s="14">
        <v>0</v>
      </c>
      <c r="AU504" s="118" t="s">
        <v>687</v>
      </c>
      <c r="AV504" s="306" t="s">
        <v>578</v>
      </c>
      <c r="AW504" s="12"/>
      <c r="AX504" s="12"/>
      <c r="AY504" s="158"/>
      <c r="AZ504" s="158"/>
      <c r="BA504" s="158"/>
      <c r="BB504" s="158"/>
      <c r="BC504" s="69"/>
      <c r="BD504" s="69"/>
      <c r="BE504" s="69">
        <v>1</v>
      </c>
      <c r="BF504" s="271" t="s">
        <v>1703</v>
      </c>
      <c r="BG504" s="271"/>
      <c r="BH504" s="271"/>
      <c r="BI504" s="271" t="s">
        <v>2376</v>
      </c>
    </row>
    <row r="505" spans="1:61" s="204" customFormat="1" ht="15" customHeight="1">
      <c r="A505" s="160" t="s">
        <v>510</v>
      </c>
      <c r="B505" s="58" t="s">
        <v>211</v>
      </c>
      <c r="C505" s="148" t="s">
        <v>256</v>
      </c>
      <c r="D505" s="33" t="s">
        <v>7</v>
      </c>
      <c r="E505" s="33"/>
      <c r="F505" s="33"/>
      <c r="G505" s="33"/>
      <c r="H505" s="30" t="s">
        <v>635</v>
      </c>
      <c r="I505" s="30"/>
      <c r="J505" s="212"/>
      <c r="K505" s="12"/>
      <c r="L505" s="12"/>
      <c r="M505" s="12"/>
      <c r="N505" s="12"/>
      <c r="O505" s="12"/>
      <c r="P505" s="12"/>
      <c r="Q505" s="12"/>
      <c r="R505" s="158"/>
      <c r="S505" s="158"/>
      <c r="T505" s="12"/>
      <c r="U505" s="94"/>
      <c r="V505" s="12"/>
      <c r="W505" s="311"/>
      <c r="X505" s="311"/>
      <c r="Y505" s="311"/>
      <c r="Z505" s="94"/>
      <c r="AA505" s="12"/>
      <c r="AB505" s="12"/>
      <c r="AC505" s="12"/>
      <c r="AD505" s="12"/>
      <c r="AE505" s="158"/>
      <c r="AF505" s="158"/>
      <c r="AG505" s="158"/>
      <c r="AH505" s="158"/>
      <c r="AI505" s="158"/>
      <c r="AJ505" s="158"/>
      <c r="AK505" s="158"/>
      <c r="AL505" s="158"/>
      <c r="AM505" s="158"/>
      <c r="AN505" s="158"/>
      <c r="AO505" s="158"/>
      <c r="AP505" s="12"/>
      <c r="AQ505" s="12"/>
      <c r="AR505" s="12"/>
      <c r="AS505" s="12"/>
      <c r="AT505" s="14">
        <v>1</v>
      </c>
      <c r="AU505" s="118" t="s">
        <v>646</v>
      </c>
      <c r="AV505" s="306"/>
      <c r="AW505" s="12"/>
      <c r="AX505" s="12">
        <v>16</v>
      </c>
      <c r="AY505" s="11"/>
      <c r="AZ505" s="11"/>
      <c r="BA505" s="11"/>
      <c r="BB505" s="11"/>
      <c r="BC505" s="70"/>
      <c r="BD505" s="70"/>
      <c r="BE505" s="70"/>
      <c r="BF505" s="271">
        <v>2017</v>
      </c>
      <c r="BG505" s="271"/>
      <c r="BH505" s="271"/>
      <c r="BI505" s="271" t="s">
        <v>2376</v>
      </c>
    </row>
    <row r="506" spans="1:61" s="204" customFormat="1" ht="19.5" customHeight="1">
      <c r="A506" s="160" t="s">
        <v>510</v>
      </c>
      <c r="B506" s="58" t="s">
        <v>211</v>
      </c>
      <c r="C506" s="148" t="s">
        <v>257</v>
      </c>
      <c r="D506" s="33" t="s">
        <v>7</v>
      </c>
      <c r="E506" s="33"/>
      <c r="F506" s="33"/>
      <c r="G506" s="33"/>
      <c r="H506" s="30" t="s">
        <v>635</v>
      </c>
      <c r="I506" s="30">
        <v>1866</v>
      </c>
      <c r="J506" s="212">
        <v>42612</v>
      </c>
      <c r="K506" s="12"/>
      <c r="L506" s="12"/>
      <c r="M506" s="12"/>
      <c r="N506" s="12"/>
      <c r="O506" s="12"/>
      <c r="P506" s="12">
        <f>1591426712-113673337</f>
        <v>1477753375</v>
      </c>
      <c r="Q506" s="12"/>
      <c r="R506" s="158"/>
      <c r="S506" s="158"/>
      <c r="T506" s="12"/>
      <c r="U506" s="94">
        <v>655748398</v>
      </c>
      <c r="V506" s="12"/>
      <c r="W506" s="311"/>
      <c r="X506" s="311"/>
      <c r="Y506" s="311"/>
      <c r="Z506" s="94">
        <v>822004977</v>
      </c>
      <c r="AA506" s="12"/>
      <c r="AB506" s="12"/>
      <c r="AC506" s="12"/>
      <c r="AD506" s="12"/>
      <c r="AE506" s="158"/>
      <c r="AF506" s="158">
        <f>P506-U506-Z506</f>
        <v>0</v>
      </c>
      <c r="AG506" s="158"/>
      <c r="AH506" s="158"/>
      <c r="AI506" s="158"/>
      <c r="AJ506" s="158"/>
      <c r="AK506" s="158"/>
      <c r="AL506" s="158"/>
      <c r="AM506" s="158"/>
      <c r="AN506" s="158"/>
      <c r="AO506" s="158"/>
      <c r="AP506" s="12"/>
      <c r="AQ506" s="12"/>
      <c r="AR506" s="12"/>
      <c r="AS506" s="12"/>
      <c r="AT506" s="14">
        <v>1</v>
      </c>
      <c r="AU506" s="118" t="s">
        <v>646</v>
      </c>
      <c r="AV506" s="307"/>
      <c r="AW506" s="12"/>
      <c r="AX506" s="12">
        <v>26</v>
      </c>
      <c r="AY506" s="11"/>
      <c r="AZ506" s="11"/>
      <c r="BA506" s="11"/>
      <c r="BB506" s="11"/>
      <c r="BC506" s="70"/>
      <c r="BD506" s="70"/>
      <c r="BE506" s="70"/>
      <c r="BF506" s="271">
        <v>2017</v>
      </c>
      <c r="BG506" s="271"/>
      <c r="BH506" s="271"/>
      <c r="BI506" s="271" t="s">
        <v>2376</v>
      </c>
    </row>
    <row r="507" spans="1:61" s="204" customFormat="1" ht="18" customHeight="1">
      <c r="A507" s="160" t="s">
        <v>510</v>
      </c>
      <c r="B507" s="58" t="s">
        <v>211</v>
      </c>
      <c r="C507" s="148" t="s">
        <v>257</v>
      </c>
      <c r="D507" s="33" t="s">
        <v>7</v>
      </c>
      <c r="E507" s="33"/>
      <c r="F507" s="33"/>
      <c r="G507" s="33"/>
      <c r="H507" s="30" t="s">
        <v>635</v>
      </c>
      <c r="I507" s="115" t="s">
        <v>1684</v>
      </c>
      <c r="J507" s="215" t="s">
        <v>1685</v>
      </c>
      <c r="K507" s="158"/>
      <c r="L507" s="158"/>
      <c r="M507" s="158">
        <v>2</v>
      </c>
      <c r="N507" s="158"/>
      <c r="O507" s="158"/>
      <c r="P507" s="158">
        <v>113673337</v>
      </c>
      <c r="Q507" s="158"/>
      <c r="R507" s="158"/>
      <c r="S507" s="158"/>
      <c r="T507" s="158"/>
      <c r="U507" s="94"/>
      <c r="V507" s="158"/>
      <c r="W507" s="311"/>
      <c r="X507" s="311"/>
      <c r="Y507" s="311"/>
      <c r="Z507" s="94"/>
      <c r="AA507" s="158"/>
      <c r="AB507" s="158"/>
      <c r="AC507" s="158"/>
      <c r="AD507" s="158">
        <v>113673337</v>
      </c>
      <c r="AE507" s="158"/>
      <c r="AF507" s="158">
        <f>P507-U507-Z507-AD507</f>
        <v>0</v>
      </c>
      <c r="AG507" s="158"/>
      <c r="AH507" s="94">
        <v>0</v>
      </c>
      <c r="AI507" s="94">
        <v>0</v>
      </c>
      <c r="AJ507" s="94"/>
      <c r="AK507" s="158">
        <f t="shared" ref="AK507" si="138">AF507+AH507</f>
        <v>0</v>
      </c>
      <c r="AL507" s="158">
        <v>877</v>
      </c>
      <c r="AM507" s="158">
        <v>10</v>
      </c>
      <c r="AN507" s="158"/>
      <c r="AO507" s="158"/>
      <c r="AP507" s="158"/>
      <c r="AQ507" s="158"/>
      <c r="AR507" s="158"/>
      <c r="AS507" s="158"/>
      <c r="AT507" s="2">
        <v>0</v>
      </c>
      <c r="AU507" s="58" t="s">
        <v>687</v>
      </c>
      <c r="AV507" s="386" t="s">
        <v>2176</v>
      </c>
      <c r="AW507" s="158"/>
      <c r="AX507" s="158"/>
      <c r="AY507" s="158"/>
      <c r="AZ507" s="158"/>
      <c r="BA507" s="158"/>
      <c r="BB507" s="158"/>
      <c r="BC507" s="69"/>
      <c r="BD507" s="69"/>
      <c r="BE507" s="69">
        <v>2</v>
      </c>
      <c r="BF507" s="271" t="s">
        <v>1706</v>
      </c>
      <c r="BG507" s="271">
        <v>2019</v>
      </c>
      <c r="BH507" s="271"/>
      <c r="BI507" s="271" t="s">
        <v>2375</v>
      </c>
    </row>
    <row r="508" spans="1:61" s="204" customFormat="1" ht="15" customHeight="1">
      <c r="A508" s="160" t="s">
        <v>510</v>
      </c>
      <c r="B508" s="58" t="s">
        <v>280</v>
      </c>
      <c r="C508" s="148" t="s">
        <v>258</v>
      </c>
      <c r="D508" s="33" t="s">
        <v>57</v>
      </c>
      <c r="E508" s="33"/>
      <c r="F508" s="33"/>
      <c r="G508" s="33"/>
      <c r="H508" s="30" t="s">
        <v>635</v>
      </c>
      <c r="I508" s="30"/>
      <c r="J508" s="212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94"/>
      <c r="V508" s="158"/>
      <c r="W508" s="311"/>
      <c r="X508" s="311"/>
      <c r="Y508" s="311"/>
      <c r="Z508" s="94"/>
      <c r="AA508" s="158"/>
      <c r="AB508" s="158"/>
      <c r="AC508" s="158"/>
      <c r="AD508" s="158"/>
      <c r="AE508" s="158"/>
      <c r="AF508" s="158"/>
      <c r="AG508" s="158"/>
      <c r="AH508" s="158"/>
      <c r="AI508" s="158"/>
      <c r="AJ508" s="158"/>
      <c r="AK508" s="158"/>
      <c r="AL508" s="158"/>
      <c r="AM508" s="158"/>
      <c r="AN508" s="158"/>
      <c r="AO508" s="158"/>
      <c r="AP508" s="158"/>
      <c r="AQ508" s="158"/>
      <c r="AR508" s="158"/>
      <c r="AS508" s="158"/>
      <c r="AT508" s="2">
        <v>1</v>
      </c>
      <c r="AU508" s="58" t="s">
        <v>646</v>
      </c>
      <c r="AV508" s="105"/>
      <c r="AW508" s="158"/>
      <c r="AX508" s="158">
        <v>24</v>
      </c>
      <c r="AY508" s="158"/>
      <c r="AZ508" s="158"/>
      <c r="BA508" s="158"/>
      <c r="BB508" s="158"/>
      <c r="BC508" s="69"/>
      <c r="BD508" s="69"/>
      <c r="BE508" s="69"/>
      <c r="BF508" s="271">
        <v>2017</v>
      </c>
      <c r="BG508" s="271"/>
      <c r="BH508" s="271"/>
      <c r="BI508" s="271" t="s">
        <v>2376</v>
      </c>
    </row>
    <row r="509" spans="1:61" s="204" customFormat="1" ht="15" customHeight="1">
      <c r="A509" s="160" t="s">
        <v>510</v>
      </c>
      <c r="B509" s="58" t="s">
        <v>262</v>
      </c>
      <c r="C509" s="148" t="s">
        <v>259</v>
      </c>
      <c r="D509" s="33" t="s">
        <v>46</v>
      </c>
      <c r="E509" s="33"/>
      <c r="F509" s="33"/>
      <c r="G509" s="33"/>
      <c r="H509" s="30" t="s">
        <v>635</v>
      </c>
      <c r="I509" s="30"/>
      <c r="J509" s="212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94"/>
      <c r="V509" s="158"/>
      <c r="W509" s="311"/>
      <c r="X509" s="311"/>
      <c r="Y509" s="311"/>
      <c r="Z509" s="94"/>
      <c r="AA509" s="158"/>
      <c r="AB509" s="158"/>
      <c r="AC509" s="158"/>
      <c r="AD509" s="158"/>
      <c r="AE509" s="158"/>
      <c r="AF509" s="158"/>
      <c r="AG509" s="158"/>
      <c r="AH509" s="158"/>
      <c r="AI509" s="158"/>
      <c r="AJ509" s="158"/>
      <c r="AK509" s="158"/>
      <c r="AL509" s="158"/>
      <c r="AM509" s="158"/>
      <c r="AN509" s="158"/>
      <c r="AO509" s="158"/>
      <c r="AP509" s="158"/>
      <c r="AQ509" s="158"/>
      <c r="AR509" s="158"/>
      <c r="AS509" s="158"/>
      <c r="AT509" s="2">
        <v>1</v>
      </c>
      <c r="AU509" s="58" t="s">
        <v>646</v>
      </c>
      <c r="AV509" s="105"/>
      <c r="AW509" s="158"/>
      <c r="AX509" s="158">
        <v>21</v>
      </c>
      <c r="AY509" s="158"/>
      <c r="AZ509" s="158"/>
      <c r="BA509" s="158"/>
      <c r="BB509" s="158"/>
      <c r="BC509" s="69"/>
      <c r="BD509" s="69"/>
      <c r="BE509" s="69"/>
      <c r="BF509" s="271">
        <v>2017</v>
      </c>
      <c r="BG509" s="271"/>
      <c r="BH509" s="271"/>
      <c r="BI509" s="271" t="s">
        <v>2376</v>
      </c>
    </row>
    <row r="510" spans="1:61" s="204" customFormat="1" ht="15" customHeight="1">
      <c r="A510" s="160" t="s">
        <v>510</v>
      </c>
      <c r="B510" s="58" t="s">
        <v>262</v>
      </c>
      <c r="C510" s="148" t="s">
        <v>260</v>
      </c>
      <c r="D510" s="33" t="s">
        <v>170</v>
      </c>
      <c r="E510" s="33"/>
      <c r="F510" s="33"/>
      <c r="G510" s="33"/>
      <c r="H510" s="30" t="s">
        <v>635</v>
      </c>
      <c r="I510" s="30"/>
      <c r="J510" s="212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94"/>
      <c r="V510" s="158"/>
      <c r="W510" s="311"/>
      <c r="X510" s="311"/>
      <c r="Y510" s="311"/>
      <c r="Z510" s="94"/>
      <c r="AA510" s="158"/>
      <c r="AB510" s="158"/>
      <c r="AC510" s="158"/>
      <c r="AD510" s="158"/>
      <c r="AE510" s="158"/>
      <c r="AF510" s="158"/>
      <c r="AG510" s="158"/>
      <c r="AH510" s="158"/>
      <c r="AI510" s="158"/>
      <c r="AJ510" s="158"/>
      <c r="AK510" s="158"/>
      <c r="AL510" s="158"/>
      <c r="AM510" s="158"/>
      <c r="AN510" s="158"/>
      <c r="AO510" s="158"/>
      <c r="AP510" s="158"/>
      <c r="AQ510" s="158"/>
      <c r="AR510" s="158"/>
      <c r="AS510" s="158"/>
      <c r="AT510" s="2">
        <v>1</v>
      </c>
      <c r="AU510" s="58" t="s">
        <v>646</v>
      </c>
      <c r="AV510" s="105"/>
      <c r="AW510" s="158"/>
      <c r="AX510" s="158">
        <v>16</v>
      </c>
      <c r="AY510" s="158"/>
      <c r="AZ510" s="158"/>
      <c r="BA510" s="158"/>
      <c r="BB510" s="158"/>
      <c r="BC510" s="69"/>
      <c r="BD510" s="69"/>
      <c r="BE510" s="69"/>
      <c r="BF510" s="271">
        <v>2017</v>
      </c>
      <c r="BG510" s="271"/>
      <c r="BH510" s="271"/>
      <c r="BI510" s="271" t="s">
        <v>2376</v>
      </c>
    </row>
    <row r="511" spans="1:61" s="204" customFormat="1" ht="15" customHeight="1">
      <c r="A511" s="160" t="s">
        <v>510</v>
      </c>
      <c r="B511" s="58" t="s">
        <v>262</v>
      </c>
      <c r="C511" s="148" t="s">
        <v>261</v>
      </c>
      <c r="D511" s="33" t="s">
        <v>7</v>
      </c>
      <c r="E511" s="33"/>
      <c r="F511" s="33"/>
      <c r="G511" s="33"/>
      <c r="H511" s="30" t="s">
        <v>635</v>
      </c>
      <c r="I511" s="30"/>
      <c r="J511" s="212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94"/>
      <c r="V511" s="158"/>
      <c r="W511" s="311"/>
      <c r="X511" s="311"/>
      <c r="Y511" s="311"/>
      <c r="Z511" s="94"/>
      <c r="AA511" s="158"/>
      <c r="AB511" s="158"/>
      <c r="AC511" s="158"/>
      <c r="AD511" s="158"/>
      <c r="AE511" s="158"/>
      <c r="AF511" s="158"/>
      <c r="AG511" s="158"/>
      <c r="AH511" s="158"/>
      <c r="AI511" s="158"/>
      <c r="AJ511" s="158"/>
      <c r="AK511" s="158"/>
      <c r="AL511" s="158"/>
      <c r="AM511" s="158"/>
      <c r="AN511" s="158"/>
      <c r="AO511" s="158"/>
      <c r="AP511" s="158"/>
      <c r="AQ511" s="158"/>
      <c r="AR511" s="158"/>
      <c r="AS511" s="158"/>
      <c r="AT511" s="2">
        <v>1</v>
      </c>
      <c r="AU511" s="58" t="s">
        <v>646</v>
      </c>
      <c r="AV511" s="105"/>
      <c r="AW511" s="158"/>
      <c r="AX511" s="158">
        <v>44</v>
      </c>
      <c r="AY511" s="158"/>
      <c r="AZ511" s="158"/>
      <c r="BA511" s="158"/>
      <c r="BB511" s="158"/>
      <c r="BC511" s="69"/>
      <c r="BD511" s="69"/>
      <c r="BE511" s="69"/>
      <c r="BF511" s="271">
        <v>2017</v>
      </c>
      <c r="BG511" s="271"/>
      <c r="BH511" s="271"/>
      <c r="BI511" s="271" t="s">
        <v>2376</v>
      </c>
    </row>
    <row r="512" spans="1:61" s="204" customFormat="1" ht="15" customHeight="1">
      <c r="A512" s="160" t="s">
        <v>510</v>
      </c>
      <c r="B512" s="58" t="s">
        <v>264</v>
      </c>
      <c r="C512" s="148" t="s">
        <v>263</v>
      </c>
      <c r="D512" s="33" t="s">
        <v>7</v>
      </c>
      <c r="E512" s="33"/>
      <c r="F512" s="33"/>
      <c r="G512" s="33"/>
      <c r="H512" s="30" t="s">
        <v>635</v>
      </c>
      <c r="I512" s="30"/>
      <c r="J512" s="212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94"/>
      <c r="V512" s="158"/>
      <c r="W512" s="311"/>
      <c r="X512" s="311"/>
      <c r="Y512" s="311"/>
      <c r="Z512" s="94"/>
      <c r="AA512" s="158"/>
      <c r="AB512" s="158"/>
      <c r="AC512" s="158"/>
      <c r="AD512" s="158"/>
      <c r="AE512" s="158"/>
      <c r="AF512" s="158"/>
      <c r="AG512" s="158"/>
      <c r="AH512" s="158"/>
      <c r="AI512" s="158"/>
      <c r="AJ512" s="158"/>
      <c r="AK512" s="158"/>
      <c r="AL512" s="158"/>
      <c r="AM512" s="158"/>
      <c r="AN512" s="158"/>
      <c r="AO512" s="158"/>
      <c r="AP512" s="158"/>
      <c r="AQ512" s="158"/>
      <c r="AR512" s="158"/>
      <c r="AS512" s="158"/>
      <c r="AT512" s="2">
        <v>1</v>
      </c>
      <c r="AU512" s="58" t="s">
        <v>646</v>
      </c>
      <c r="AV512" s="105"/>
      <c r="AW512" s="158"/>
      <c r="AX512" s="158">
        <v>23</v>
      </c>
      <c r="AY512" s="158"/>
      <c r="AZ512" s="158"/>
      <c r="BA512" s="158"/>
      <c r="BB512" s="158"/>
      <c r="BC512" s="69"/>
      <c r="BD512" s="69"/>
      <c r="BE512" s="69"/>
      <c r="BF512" s="271">
        <v>2017</v>
      </c>
      <c r="BG512" s="271"/>
      <c r="BH512" s="271"/>
      <c r="BI512" s="271" t="s">
        <v>2376</v>
      </c>
    </row>
    <row r="513" spans="1:61" s="204" customFormat="1" ht="29.25" customHeight="1">
      <c r="A513" s="160" t="s">
        <v>510</v>
      </c>
      <c r="B513" s="58" t="s">
        <v>203</v>
      </c>
      <c r="C513" s="148" t="s">
        <v>265</v>
      </c>
      <c r="D513" s="33" t="s">
        <v>849</v>
      </c>
      <c r="E513" s="33"/>
      <c r="F513" s="33"/>
      <c r="G513" s="33"/>
      <c r="H513" s="30" t="s">
        <v>635</v>
      </c>
      <c r="I513" s="115" t="s">
        <v>1686</v>
      </c>
      <c r="J513" s="215" t="s">
        <v>1687</v>
      </c>
      <c r="K513" s="158"/>
      <c r="L513" s="158"/>
      <c r="M513" s="158"/>
      <c r="N513" s="158"/>
      <c r="O513" s="158"/>
      <c r="P513" s="158">
        <f>2618270727+1</f>
        <v>2618270728</v>
      </c>
      <c r="Q513" s="158"/>
      <c r="R513" s="158"/>
      <c r="S513" s="158"/>
      <c r="T513" s="158"/>
      <c r="U513" s="94">
        <v>1146730232</v>
      </c>
      <c r="V513" s="158"/>
      <c r="W513" s="311"/>
      <c r="X513" s="311"/>
      <c r="Y513" s="311"/>
      <c r="Z513" s="94">
        <v>1471540496</v>
      </c>
      <c r="AA513" s="158"/>
      <c r="AB513" s="158"/>
      <c r="AC513" s="158"/>
      <c r="AD513" s="158"/>
      <c r="AE513" s="158"/>
      <c r="AF513" s="158">
        <f>P513-U513-Z513</f>
        <v>0</v>
      </c>
      <c r="AG513" s="158"/>
      <c r="AH513" s="158"/>
      <c r="AI513" s="158"/>
      <c r="AJ513" s="158"/>
      <c r="AK513" s="158"/>
      <c r="AL513" s="158"/>
      <c r="AM513" s="158"/>
      <c r="AN513" s="158"/>
      <c r="AO513" s="158"/>
      <c r="AP513" s="11"/>
      <c r="AQ513" s="158"/>
      <c r="AR513" s="158"/>
      <c r="AS513" s="158"/>
      <c r="AT513" s="2">
        <v>1</v>
      </c>
      <c r="AU513" s="58" t="s">
        <v>646</v>
      </c>
      <c r="AV513" s="105"/>
      <c r="AW513" s="158"/>
      <c r="AX513" s="158">
        <v>47</v>
      </c>
      <c r="AY513" s="11"/>
      <c r="AZ513" s="11"/>
      <c r="BA513" s="11"/>
      <c r="BB513" s="11"/>
      <c r="BC513" s="70"/>
      <c r="BD513" s="70"/>
      <c r="BE513" s="70"/>
      <c r="BF513" s="271">
        <v>2017</v>
      </c>
      <c r="BG513" s="271"/>
      <c r="BH513" s="271"/>
      <c r="BI513" s="271" t="s">
        <v>2376</v>
      </c>
    </row>
    <row r="514" spans="1:61" s="204" customFormat="1" ht="33.75" customHeight="1">
      <c r="A514" s="160" t="s">
        <v>510</v>
      </c>
      <c r="B514" s="58" t="s">
        <v>203</v>
      </c>
      <c r="C514" s="148" t="s">
        <v>265</v>
      </c>
      <c r="D514" s="33" t="s">
        <v>849</v>
      </c>
      <c r="E514" s="33"/>
      <c r="F514" s="33"/>
      <c r="G514" s="33"/>
      <c r="H514" s="30" t="s">
        <v>635</v>
      </c>
      <c r="I514" s="115" t="s">
        <v>1686</v>
      </c>
      <c r="J514" s="215" t="s">
        <v>1687</v>
      </c>
      <c r="K514" s="158"/>
      <c r="L514" s="158"/>
      <c r="M514" s="158"/>
      <c r="N514" s="158"/>
      <c r="O514" s="158"/>
      <c r="P514" s="158">
        <v>55707888</v>
      </c>
      <c r="Q514" s="158"/>
      <c r="R514" s="158"/>
      <c r="S514" s="158"/>
      <c r="T514" s="158"/>
      <c r="U514" s="94">
        <v>55707888</v>
      </c>
      <c r="V514" s="158">
        <v>20</v>
      </c>
      <c r="W514" s="311">
        <v>43586</v>
      </c>
      <c r="X514" s="311"/>
      <c r="Y514" s="311"/>
      <c r="Z514" s="94"/>
      <c r="AA514" s="158"/>
      <c r="AB514" s="158"/>
      <c r="AC514" s="158"/>
      <c r="AD514" s="158"/>
      <c r="AE514" s="158"/>
      <c r="AF514" s="158">
        <f>P514-U514-Z514</f>
        <v>0</v>
      </c>
      <c r="AG514" s="158"/>
      <c r="AH514" s="94">
        <v>0</v>
      </c>
      <c r="AI514" s="94">
        <v>0</v>
      </c>
      <c r="AJ514" s="94"/>
      <c r="AK514" s="158">
        <f t="shared" ref="AK514:AK515" si="139">AF514+AH514</f>
        <v>0</v>
      </c>
      <c r="AL514" s="158">
        <v>877</v>
      </c>
      <c r="AM514" s="158">
        <v>20</v>
      </c>
      <c r="AN514" s="158"/>
      <c r="AO514" s="158"/>
      <c r="AP514" s="158"/>
      <c r="AQ514" s="158"/>
      <c r="AR514" s="158"/>
      <c r="AS514" s="158"/>
      <c r="AT514" s="2">
        <v>1</v>
      </c>
      <c r="AU514" s="58" t="s">
        <v>646</v>
      </c>
      <c r="AV514" s="386"/>
      <c r="AW514" s="158"/>
      <c r="AX514" s="158">
        <v>1</v>
      </c>
      <c r="AY514" s="11"/>
      <c r="AZ514" s="11"/>
      <c r="BA514" s="11"/>
      <c r="BB514" s="11"/>
      <c r="BC514" s="70"/>
      <c r="BD514" s="70"/>
      <c r="BE514" s="70"/>
      <c r="BF514" s="271" t="s">
        <v>1707</v>
      </c>
      <c r="BG514" s="445" t="s">
        <v>1707</v>
      </c>
      <c r="BH514" s="271"/>
      <c r="BI514" s="271" t="s">
        <v>2375</v>
      </c>
    </row>
    <row r="515" spans="1:61" s="204" customFormat="1" ht="18" customHeight="1">
      <c r="A515" s="160" t="s">
        <v>510</v>
      </c>
      <c r="B515" s="58" t="s">
        <v>203</v>
      </c>
      <c r="C515" s="148" t="s">
        <v>265</v>
      </c>
      <c r="D515" s="33" t="s">
        <v>849</v>
      </c>
      <c r="E515" s="33"/>
      <c r="F515" s="33"/>
      <c r="G515" s="33"/>
      <c r="H515" s="30" t="s">
        <v>635</v>
      </c>
      <c r="I515" s="115" t="s">
        <v>1686</v>
      </c>
      <c r="J515" s="215" t="s">
        <v>1687</v>
      </c>
      <c r="K515" s="158"/>
      <c r="L515" s="158"/>
      <c r="M515" s="158">
        <v>1</v>
      </c>
      <c r="N515" s="158"/>
      <c r="O515" s="158"/>
      <c r="P515" s="158">
        <v>55707887</v>
      </c>
      <c r="Q515" s="158"/>
      <c r="R515" s="158"/>
      <c r="S515" s="158"/>
      <c r="T515" s="158"/>
      <c r="U515" s="94"/>
      <c r="V515" s="158"/>
      <c r="W515" s="311"/>
      <c r="X515" s="311"/>
      <c r="Y515" s="311"/>
      <c r="Z515" s="94"/>
      <c r="AA515" s="158"/>
      <c r="AB515" s="311"/>
      <c r="AC515" s="311"/>
      <c r="AD515" s="158">
        <v>55707887</v>
      </c>
      <c r="AE515" s="158"/>
      <c r="AF515" s="158">
        <f>P515-U515-Z515-AD515</f>
        <v>0</v>
      </c>
      <c r="AG515" s="158"/>
      <c r="AH515" s="94">
        <v>0</v>
      </c>
      <c r="AI515" s="94">
        <v>0</v>
      </c>
      <c r="AJ515" s="94"/>
      <c r="AK515" s="158">
        <f t="shared" si="139"/>
        <v>0</v>
      </c>
      <c r="AL515" s="158">
        <v>877</v>
      </c>
      <c r="AM515" s="158">
        <v>10</v>
      </c>
      <c r="AN515" s="158"/>
      <c r="AO515" s="158"/>
      <c r="AP515" s="158"/>
      <c r="AQ515" s="158"/>
      <c r="AR515" s="158"/>
      <c r="AS515" s="158"/>
      <c r="AT515" s="2">
        <v>0</v>
      </c>
      <c r="AU515" s="58" t="s">
        <v>687</v>
      </c>
      <c r="AV515" s="396" t="s">
        <v>1366</v>
      </c>
      <c r="AW515" s="158"/>
      <c r="AX515" s="158"/>
      <c r="AY515" s="158"/>
      <c r="AZ515" s="158"/>
      <c r="BA515" s="158"/>
      <c r="BB515" s="158"/>
      <c r="BC515" s="69"/>
      <c r="BD515" s="69"/>
      <c r="BE515" s="69">
        <v>1</v>
      </c>
      <c r="BF515" s="271" t="s">
        <v>1706</v>
      </c>
      <c r="BG515" s="271">
        <v>2019</v>
      </c>
      <c r="BH515" s="271"/>
      <c r="BI515" s="271" t="s">
        <v>2375</v>
      </c>
    </row>
    <row r="516" spans="1:61" s="204" customFormat="1" ht="15" customHeight="1">
      <c r="A516" s="160" t="s">
        <v>510</v>
      </c>
      <c r="B516" s="58" t="s">
        <v>197</v>
      </c>
      <c r="C516" s="148" t="s">
        <v>266</v>
      </c>
      <c r="D516" s="33" t="s">
        <v>215</v>
      </c>
      <c r="E516" s="33"/>
      <c r="F516" s="33"/>
      <c r="G516" s="33"/>
      <c r="H516" s="30" t="s">
        <v>636</v>
      </c>
      <c r="I516" s="30"/>
      <c r="J516" s="212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94"/>
      <c r="V516" s="158"/>
      <c r="W516" s="311"/>
      <c r="X516" s="311"/>
      <c r="Y516" s="311"/>
      <c r="Z516" s="94"/>
      <c r="AA516" s="158"/>
      <c r="AB516" s="158"/>
      <c r="AC516" s="158"/>
      <c r="AD516" s="158"/>
      <c r="AE516" s="158"/>
      <c r="AF516" s="158"/>
      <c r="AG516" s="158"/>
      <c r="AH516" s="158"/>
      <c r="AI516" s="158"/>
      <c r="AJ516" s="158"/>
      <c r="AK516" s="158"/>
      <c r="AL516" s="158"/>
      <c r="AM516" s="158"/>
      <c r="AN516" s="158"/>
      <c r="AO516" s="158"/>
      <c r="AP516" s="158"/>
      <c r="AQ516" s="158"/>
      <c r="AR516" s="158"/>
      <c r="AS516" s="158"/>
      <c r="AT516" s="2">
        <v>1</v>
      </c>
      <c r="AU516" s="58" t="s">
        <v>646</v>
      </c>
      <c r="AV516" s="206"/>
      <c r="AW516" s="158"/>
      <c r="AX516" s="158"/>
      <c r="AY516" s="72">
        <v>40</v>
      </c>
      <c r="AZ516" s="158"/>
      <c r="BA516" s="158"/>
      <c r="BB516" s="158">
        <v>40</v>
      </c>
      <c r="BC516" s="69"/>
      <c r="BD516" s="69"/>
      <c r="BE516" s="69"/>
      <c r="BF516" s="271">
        <v>2018</v>
      </c>
      <c r="BG516" s="271"/>
      <c r="BH516" s="271"/>
      <c r="BI516" s="271" t="s">
        <v>2376</v>
      </c>
    </row>
    <row r="517" spans="1:61" s="204" customFormat="1" ht="15" customHeight="1">
      <c r="A517" s="160" t="s">
        <v>510</v>
      </c>
      <c r="B517" s="58" t="s">
        <v>262</v>
      </c>
      <c r="C517" s="148" t="s">
        <v>267</v>
      </c>
      <c r="D517" s="33" t="s">
        <v>202</v>
      </c>
      <c r="E517" s="33"/>
      <c r="F517" s="33"/>
      <c r="G517" s="33"/>
      <c r="H517" s="30" t="s">
        <v>636</v>
      </c>
      <c r="I517" s="30"/>
      <c r="J517" s="212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94"/>
      <c r="V517" s="158"/>
      <c r="W517" s="311"/>
      <c r="X517" s="311"/>
      <c r="Y517" s="311"/>
      <c r="Z517" s="94"/>
      <c r="AA517" s="158"/>
      <c r="AB517" s="158"/>
      <c r="AC517" s="158"/>
      <c r="AD517" s="158"/>
      <c r="AE517" s="158"/>
      <c r="AF517" s="158"/>
      <c r="AG517" s="158"/>
      <c r="AH517" s="158"/>
      <c r="AI517" s="158"/>
      <c r="AJ517" s="158"/>
      <c r="AK517" s="158"/>
      <c r="AL517" s="158"/>
      <c r="AM517" s="158"/>
      <c r="AN517" s="158"/>
      <c r="AO517" s="158"/>
      <c r="AP517" s="158"/>
      <c r="AQ517" s="158"/>
      <c r="AR517" s="158"/>
      <c r="AS517" s="158"/>
      <c r="AT517" s="2">
        <v>1</v>
      </c>
      <c r="AU517" s="58" t="s">
        <v>646</v>
      </c>
      <c r="AV517" s="348"/>
      <c r="AW517" s="158"/>
      <c r="AX517" s="158">
        <v>36</v>
      </c>
      <c r="AY517" s="158"/>
      <c r="AZ517" s="158"/>
      <c r="BA517" s="158"/>
      <c r="BB517" s="158"/>
      <c r="BC517" s="69"/>
      <c r="BD517" s="69"/>
      <c r="BE517" s="69"/>
      <c r="BF517" s="271">
        <v>2017</v>
      </c>
      <c r="BG517" s="271"/>
      <c r="BH517" s="271"/>
      <c r="BI517" s="271" t="s">
        <v>2376</v>
      </c>
    </row>
    <row r="518" spans="1:61" s="204" customFormat="1" ht="15" customHeight="1">
      <c r="A518" s="160" t="s">
        <v>510</v>
      </c>
      <c r="B518" s="58" t="s">
        <v>203</v>
      </c>
      <c r="C518" s="148" t="s">
        <v>201</v>
      </c>
      <c r="D518" s="33" t="s">
        <v>202</v>
      </c>
      <c r="E518" s="33"/>
      <c r="F518" s="33"/>
      <c r="G518" s="33"/>
      <c r="H518" s="30" t="s">
        <v>636</v>
      </c>
      <c r="I518" s="30"/>
      <c r="J518" s="212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94"/>
      <c r="V518" s="158"/>
      <c r="W518" s="311"/>
      <c r="X518" s="311"/>
      <c r="Y518" s="311"/>
      <c r="Z518" s="94"/>
      <c r="AA518" s="158"/>
      <c r="AB518" s="158"/>
      <c r="AC518" s="158"/>
      <c r="AD518" s="158"/>
      <c r="AE518" s="158"/>
      <c r="AF518" s="158"/>
      <c r="AG518" s="158"/>
      <c r="AH518" s="158"/>
      <c r="AI518" s="158"/>
      <c r="AJ518" s="158"/>
      <c r="AK518" s="158"/>
      <c r="AL518" s="158"/>
      <c r="AM518" s="158"/>
      <c r="AN518" s="158"/>
      <c r="AO518" s="158"/>
      <c r="AP518" s="158"/>
      <c r="AQ518" s="158"/>
      <c r="AR518" s="158"/>
      <c r="AS518" s="158"/>
      <c r="AT518" s="2">
        <v>1</v>
      </c>
      <c r="AU518" s="58" t="s">
        <v>646</v>
      </c>
      <c r="AV518" s="352"/>
      <c r="AW518" s="158"/>
      <c r="AX518" s="158">
        <v>28</v>
      </c>
      <c r="AY518" s="158"/>
      <c r="AZ518" s="158"/>
      <c r="BA518" s="158"/>
      <c r="BB518" s="158"/>
      <c r="BC518" s="69"/>
      <c r="BD518" s="69"/>
      <c r="BE518" s="69"/>
      <c r="BF518" s="271">
        <v>2017</v>
      </c>
      <c r="BG518" s="271"/>
      <c r="BH518" s="271"/>
      <c r="BI518" s="271" t="s">
        <v>2376</v>
      </c>
    </row>
    <row r="519" spans="1:61" s="204" customFormat="1" ht="15" customHeight="1">
      <c r="A519" s="160" t="s">
        <v>510</v>
      </c>
      <c r="B519" s="58" t="s">
        <v>546</v>
      </c>
      <c r="C519" s="148" t="s">
        <v>240</v>
      </c>
      <c r="D519" s="33" t="s">
        <v>40</v>
      </c>
      <c r="E519" s="33"/>
      <c r="F519" s="33"/>
      <c r="G519" s="33"/>
      <c r="H519" s="30" t="s">
        <v>636</v>
      </c>
      <c r="I519" s="30"/>
      <c r="J519" s="212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94"/>
      <c r="V519" s="158"/>
      <c r="W519" s="311"/>
      <c r="X519" s="311"/>
      <c r="Y519" s="311"/>
      <c r="Z519" s="94"/>
      <c r="AA519" s="158"/>
      <c r="AB519" s="158"/>
      <c r="AC519" s="158"/>
      <c r="AD519" s="158"/>
      <c r="AE519" s="158"/>
      <c r="AF519" s="158"/>
      <c r="AG519" s="158"/>
      <c r="AH519" s="158"/>
      <c r="AI519" s="158"/>
      <c r="AJ519" s="158"/>
      <c r="AK519" s="158"/>
      <c r="AL519" s="158"/>
      <c r="AM519" s="158"/>
      <c r="AN519" s="158"/>
      <c r="AO519" s="158"/>
      <c r="AP519" s="158"/>
      <c r="AQ519" s="158"/>
      <c r="AR519" s="158"/>
      <c r="AS519" s="158"/>
      <c r="AT519" s="2">
        <v>1</v>
      </c>
      <c r="AU519" s="58" t="s">
        <v>646</v>
      </c>
      <c r="AV519" s="352"/>
      <c r="AW519" s="158"/>
      <c r="AX519" s="158">
        <v>70</v>
      </c>
      <c r="AY519" s="158"/>
      <c r="AZ519" s="158"/>
      <c r="BA519" s="158"/>
      <c r="BB519" s="158"/>
      <c r="BC519" s="69"/>
      <c r="BD519" s="69"/>
      <c r="BE519" s="69"/>
      <c r="BF519" s="271">
        <v>2017</v>
      </c>
      <c r="BG519" s="271"/>
      <c r="BH519" s="271"/>
      <c r="BI519" s="271" t="s">
        <v>2376</v>
      </c>
    </row>
    <row r="520" spans="1:61" s="204" customFormat="1" ht="15" customHeight="1">
      <c r="A520" s="160" t="s">
        <v>510</v>
      </c>
      <c r="B520" s="58" t="s">
        <v>197</v>
      </c>
      <c r="C520" s="148" t="s">
        <v>268</v>
      </c>
      <c r="D520" s="33" t="s">
        <v>269</v>
      </c>
      <c r="E520" s="33"/>
      <c r="F520" s="33"/>
      <c r="G520" s="33"/>
      <c r="H520" s="30" t="s">
        <v>636</v>
      </c>
      <c r="I520" s="30"/>
      <c r="J520" s="212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94"/>
      <c r="V520" s="158"/>
      <c r="W520" s="311"/>
      <c r="X520" s="311"/>
      <c r="Y520" s="311"/>
      <c r="Z520" s="94"/>
      <c r="AA520" s="158"/>
      <c r="AB520" s="158"/>
      <c r="AC520" s="158"/>
      <c r="AD520" s="158"/>
      <c r="AE520" s="158"/>
      <c r="AF520" s="158"/>
      <c r="AG520" s="158"/>
      <c r="AH520" s="158"/>
      <c r="AI520" s="158"/>
      <c r="AJ520" s="158"/>
      <c r="AK520" s="158"/>
      <c r="AL520" s="158"/>
      <c r="AM520" s="158"/>
      <c r="AN520" s="158"/>
      <c r="AO520" s="158"/>
      <c r="AP520" s="158"/>
      <c r="AQ520" s="158"/>
      <c r="AR520" s="158"/>
      <c r="AS520" s="158"/>
      <c r="AT520" s="2">
        <v>1</v>
      </c>
      <c r="AU520" s="58" t="s">
        <v>646</v>
      </c>
      <c r="AV520" s="348"/>
      <c r="AW520" s="158"/>
      <c r="AX520" s="158"/>
      <c r="AY520" s="688">
        <v>34</v>
      </c>
      <c r="AZ520" s="96"/>
      <c r="BA520" s="96"/>
      <c r="BB520" s="12">
        <v>34</v>
      </c>
      <c r="BC520" s="285"/>
      <c r="BD520" s="222"/>
      <c r="BE520" s="222"/>
      <c r="BF520" s="271">
        <v>2018</v>
      </c>
      <c r="BG520" s="271"/>
      <c r="BH520" s="271"/>
      <c r="BI520" s="271" t="s">
        <v>2376</v>
      </c>
    </row>
    <row r="521" spans="1:61" s="204" customFormat="1" ht="15" customHeight="1">
      <c r="A521" s="160" t="s">
        <v>510</v>
      </c>
      <c r="B521" s="58" t="s">
        <v>197</v>
      </c>
      <c r="C521" s="148" t="s">
        <v>270</v>
      </c>
      <c r="D521" s="33" t="s">
        <v>271</v>
      </c>
      <c r="E521" s="33"/>
      <c r="F521" s="33"/>
      <c r="G521" s="33"/>
      <c r="H521" s="30" t="s">
        <v>636</v>
      </c>
      <c r="I521" s="30"/>
      <c r="J521" s="212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94"/>
      <c r="V521" s="158"/>
      <c r="W521" s="311"/>
      <c r="X521" s="311"/>
      <c r="Y521" s="311"/>
      <c r="Z521" s="94"/>
      <c r="AA521" s="158"/>
      <c r="AB521" s="158"/>
      <c r="AC521" s="158"/>
      <c r="AD521" s="158"/>
      <c r="AE521" s="158"/>
      <c r="AF521" s="158"/>
      <c r="AG521" s="158"/>
      <c r="AH521" s="158"/>
      <c r="AI521" s="158"/>
      <c r="AJ521" s="158"/>
      <c r="AK521" s="158"/>
      <c r="AL521" s="158"/>
      <c r="AM521" s="158"/>
      <c r="AN521" s="158"/>
      <c r="AO521" s="158"/>
      <c r="AP521" s="158"/>
      <c r="AQ521" s="158"/>
      <c r="AR521" s="158"/>
      <c r="AS521" s="158"/>
      <c r="AT521" s="2">
        <v>1</v>
      </c>
      <c r="AU521" s="58" t="s">
        <v>646</v>
      </c>
      <c r="AV521" s="348"/>
      <c r="AW521" s="158"/>
      <c r="AX521" s="158">
        <v>41</v>
      </c>
      <c r="AY521" s="158"/>
      <c r="AZ521" s="158"/>
      <c r="BA521" s="158"/>
      <c r="BB521" s="158"/>
      <c r="BC521" s="69"/>
      <c r="BD521" s="69"/>
      <c r="BE521" s="69"/>
      <c r="BF521" s="271">
        <v>2017</v>
      </c>
      <c r="BG521" s="271"/>
      <c r="BH521" s="271"/>
      <c r="BI521" s="271" t="s">
        <v>2376</v>
      </c>
    </row>
    <row r="522" spans="1:61" s="204" customFormat="1" ht="15" customHeight="1">
      <c r="A522" s="160" t="s">
        <v>510</v>
      </c>
      <c r="B522" s="58" t="s">
        <v>280</v>
      </c>
      <c r="C522" s="148" t="s">
        <v>272</v>
      </c>
      <c r="D522" s="33" t="s">
        <v>7</v>
      </c>
      <c r="E522" s="33"/>
      <c r="F522" s="33"/>
      <c r="G522" s="33"/>
      <c r="H522" s="30" t="s">
        <v>636</v>
      </c>
      <c r="I522" s="30"/>
      <c r="J522" s="212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94"/>
      <c r="V522" s="158"/>
      <c r="W522" s="311"/>
      <c r="X522" s="311"/>
      <c r="Y522" s="311"/>
      <c r="Z522" s="94"/>
      <c r="AA522" s="158"/>
      <c r="AB522" s="158"/>
      <c r="AC522" s="158"/>
      <c r="AD522" s="158"/>
      <c r="AE522" s="158"/>
      <c r="AF522" s="158"/>
      <c r="AG522" s="158"/>
      <c r="AH522" s="158"/>
      <c r="AI522" s="158"/>
      <c r="AJ522" s="158"/>
      <c r="AK522" s="158"/>
      <c r="AL522" s="158"/>
      <c r="AM522" s="158"/>
      <c r="AN522" s="158"/>
      <c r="AO522" s="158"/>
      <c r="AP522" s="158"/>
      <c r="AQ522" s="158"/>
      <c r="AR522" s="158"/>
      <c r="AS522" s="158"/>
      <c r="AT522" s="2">
        <v>1</v>
      </c>
      <c r="AU522" s="58" t="s">
        <v>646</v>
      </c>
      <c r="AV522" s="348"/>
      <c r="AW522" s="158"/>
      <c r="AX522" s="158">
        <v>29</v>
      </c>
      <c r="AY522" s="158"/>
      <c r="AZ522" s="158"/>
      <c r="BA522" s="158"/>
      <c r="BB522" s="158"/>
      <c r="BC522" s="69"/>
      <c r="BD522" s="69"/>
      <c r="BE522" s="69"/>
      <c r="BF522" s="271">
        <v>2017</v>
      </c>
      <c r="BG522" s="271"/>
      <c r="BH522" s="271"/>
      <c r="BI522" s="271" t="s">
        <v>2376</v>
      </c>
    </row>
    <row r="523" spans="1:61" s="204" customFormat="1" ht="15" customHeight="1">
      <c r="A523" s="160" t="s">
        <v>510</v>
      </c>
      <c r="B523" s="58" t="s">
        <v>203</v>
      </c>
      <c r="C523" s="148" t="s">
        <v>273</v>
      </c>
      <c r="D523" s="33" t="s">
        <v>274</v>
      </c>
      <c r="E523" s="33"/>
      <c r="F523" s="33"/>
      <c r="G523" s="33"/>
      <c r="H523" s="30" t="s">
        <v>636</v>
      </c>
      <c r="I523" s="30"/>
      <c r="J523" s="212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94"/>
      <c r="V523" s="158"/>
      <c r="W523" s="311"/>
      <c r="X523" s="311"/>
      <c r="Y523" s="311"/>
      <c r="Z523" s="94"/>
      <c r="AA523" s="158"/>
      <c r="AB523" s="158"/>
      <c r="AC523" s="158"/>
      <c r="AD523" s="158"/>
      <c r="AE523" s="158"/>
      <c r="AF523" s="158"/>
      <c r="AG523" s="158"/>
      <c r="AH523" s="158"/>
      <c r="AI523" s="158"/>
      <c r="AJ523" s="158"/>
      <c r="AK523" s="158"/>
      <c r="AL523" s="158"/>
      <c r="AM523" s="158"/>
      <c r="AN523" s="158"/>
      <c r="AO523" s="158"/>
      <c r="AP523" s="158"/>
      <c r="AQ523" s="158"/>
      <c r="AR523" s="158"/>
      <c r="AS523" s="158"/>
      <c r="AT523" s="2">
        <v>1</v>
      </c>
      <c r="AU523" s="58" t="s">
        <v>646</v>
      </c>
      <c r="AV523" s="348"/>
      <c r="AW523" s="158"/>
      <c r="AX523" s="158">
        <v>18</v>
      </c>
      <c r="AY523" s="158"/>
      <c r="AZ523" s="158"/>
      <c r="BA523" s="158"/>
      <c r="BB523" s="158"/>
      <c r="BC523" s="69"/>
      <c r="BD523" s="69"/>
      <c r="BE523" s="69"/>
      <c r="BF523" s="271">
        <v>2017</v>
      </c>
      <c r="BG523" s="271"/>
      <c r="BH523" s="271"/>
      <c r="BI523" s="271" t="s">
        <v>2376</v>
      </c>
    </row>
    <row r="524" spans="1:61" s="204" customFormat="1" ht="15" customHeight="1">
      <c r="A524" s="160" t="s">
        <v>510</v>
      </c>
      <c r="B524" s="58" t="s">
        <v>226</v>
      </c>
      <c r="C524" s="148" t="s">
        <v>275</v>
      </c>
      <c r="D524" s="33" t="s">
        <v>7</v>
      </c>
      <c r="E524" s="33"/>
      <c r="F524" s="33"/>
      <c r="G524" s="33"/>
      <c r="H524" s="30" t="s">
        <v>636</v>
      </c>
      <c r="I524" s="30"/>
      <c r="J524" s="212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94"/>
      <c r="V524" s="158"/>
      <c r="W524" s="311"/>
      <c r="X524" s="311"/>
      <c r="Y524" s="311"/>
      <c r="Z524" s="94"/>
      <c r="AA524" s="158"/>
      <c r="AB524" s="158"/>
      <c r="AC524" s="158"/>
      <c r="AD524" s="158"/>
      <c r="AE524" s="158"/>
      <c r="AF524" s="158"/>
      <c r="AG524" s="158"/>
      <c r="AH524" s="158"/>
      <c r="AI524" s="158"/>
      <c r="AJ524" s="158"/>
      <c r="AK524" s="158"/>
      <c r="AL524" s="158"/>
      <c r="AM524" s="158"/>
      <c r="AN524" s="158"/>
      <c r="AO524" s="158"/>
      <c r="AP524" s="158"/>
      <c r="AQ524" s="158"/>
      <c r="AR524" s="158"/>
      <c r="AS524" s="158"/>
      <c r="AT524" s="2">
        <v>1</v>
      </c>
      <c r="AU524" s="58" t="s">
        <v>646</v>
      </c>
      <c r="AV524" s="348"/>
      <c r="AW524" s="158"/>
      <c r="AX524" s="158">
        <v>23</v>
      </c>
      <c r="AY524" s="158"/>
      <c r="AZ524" s="158"/>
      <c r="BA524" s="158"/>
      <c r="BB524" s="158"/>
      <c r="BC524" s="69"/>
      <c r="BD524" s="69"/>
      <c r="BE524" s="69"/>
      <c r="BF524" s="271">
        <v>2017</v>
      </c>
      <c r="BG524" s="271"/>
      <c r="BH524" s="271"/>
      <c r="BI524" s="271" t="s">
        <v>2376</v>
      </c>
    </row>
    <row r="525" spans="1:61" s="204" customFormat="1" ht="15" customHeight="1">
      <c r="A525" s="160" t="s">
        <v>510</v>
      </c>
      <c r="B525" s="58" t="s">
        <v>262</v>
      </c>
      <c r="C525" s="148" t="s">
        <v>276</v>
      </c>
      <c r="D525" s="33" t="s">
        <v>274</v>
      </c>
      <c r="E525" s="33"/>
      <c r="F525" s="33"/>
      <c r="G525" s="33"/>
      <c r="H525" s="30" t="s">
        <v>636</v>
      </c>
      <c r="I525" s="30"/>
      <c r="J525" s="212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94"/>
      <c r="V525" s="158"/>
      <c r="W525" s="311"/>
      <c r="X525" s="311"/>
      <c r="Y525" s="311"/>
      <c r="Z525" s="94"/>
      <c r="AA525" s="158"/>
      <c r="AB525" s="158"/>
      <c r="AC525" s="158"/>
      <c r="AD525" s="158"/>
      <c r="AE525" s="158"/>
      <c r="AF525" s="158"/>
      <c r="AG525" s="158"/>
      <c r="AH525" s="158"/>
      <c r="AI525" s="158"/>
      <c r="AJ525" s="158"/>
      <c r="AK525" s="158"/>
      <c r="AL525" s="158"/>
      <c r="AM525" s="158"/>
      <c r="AN525" s="158"/>
      <c r="AO525" s="158"/>
      <c r="AP525" s="158"/>
      <c r="AQ525" s="158"/>
      <c r="AR525" s="158"/>
      <c r="AS525" s="158"/>
      <c r="AT525" s="2">
        <v>1</v>
      </c>
      <c r="AU525" s="58" t="s">
        <v>646</v>
      </c>
      <c r="AV525" s="348"/>
      <c r="AW525" s="158"/>
      <c r="AX525" s="158">
        <v>30</v>
      </c>
      <c r="AY525" s="158"/>
      <c r="AZ525" s="158"/>
      <c r="BA525" s="158"/>
      <c r="BB525" s="158"/>
      <c r="BC525" s="69"/>
      <c r="BD525" s="69"/>
      <c r="BE525" s="69"/>
      <c r="BF525" s="271">
        <v>2017</v>
      </c>
      <c r="BG525" s="271"/>
      <c r="BH525" s="271"/>
      <c r="BI525" s="271" t="s">
        <v>2376</v>
      </c>
    </row>
    <row r="526" spans="1:61" s="204" customFormat="1" ht="15" customHeight="1">
      <c r="A526" s="160" t="s">
        <v>510</v>
      </c>
      <c r="B526" s="58" t="s">
        <v>197</v>
      </c>
      <c r="C526" s="148" t="s">
        <v>696</v>
      </c>
      <c r="D526" s="33" t="s">
        <v>871</v>
      </c>
      <c r="E526" s="33"/>
      <c r="F526" s="33"/>
      <c r="G526" s="33"/>
      <c r="H526" s="30" t="s">
        <v>636</v>
      </c>
      <c r="I526" s="30"/>
      <c r="J526" s="212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94"/>
      <c r="V526" s="158"/>
      <c r="W526" s="311"/>
      <c r="X526" s="311"/>
      <c r="Y526" s="311"/>
      <c r="Z526" s="94"/>
      <c r="AA526" s="158"/>
      <c r="AB526" s="158"/>
      <c r="AC526" s="158"/>
      <c r="AD526" s="158"/>
      <c r="AE526" s="158"/>
      <c r="AF526" s="158"/>
      <c r="AG526" s="158"/>
      <c r="AH526" s="158"/>
      <c r="AI526" s="158"/>
      <c r="AJ526" s="158"/>
      <c r="AK526" s="158"/>
      <c r="AL526" s="158"/>
      <c r="AM526" s="158"/>
      <c r="AN526" s="158"/>
      <c r="AO526" s="158"/>
      <c r="AP526" s="158"/>
      <c r="AQ526" s="158"/>
      <c r="AR526" s="158"/>
      <c r="AS526" s="158"/>
      <c r="AT526" s="2">
        <v>1</v>
      </c>
      <c r="AU526" s="58" t="s">
        <v>646</v>
      </c>
      <c r="AV526" s="348"/>
      <c r="AW526" s="158"/>
      <c r="AX526" s="158">
        <v>76</v>
      </c>
      <c r="AY526" s="158"/>
      <c r="AZ526" s="158"/>
      <c r="BA526" s="158"/>
      <c r="BB526" s="158"/>
      <c r="BC526" s="69"/>
      <c r="BD526" s="69"/>
      <c r="BE526" s="69"/>
      <c r="BF526" s="271">
        <v>2017</v>
      </c>
      <c r="BG526" s="271"/>
      <c r="BH526" s="271"/>
      <c r="BI526" s="271" t="s">
        <v>2376</v>
      </c>
    </row>
    <row r="527" spans="1:61" s="204" customFormat="1" ht="15" customHeight="1">
      <c r="A527" s="160" t="s">
        <v>510</v>
      </c>
      <c r="B527" s="58" t="s">
        <v>197</v>
      </c>
      <c r="C527" s="148" t="s">
        <v>277</v>
      </c>
      <c r="D527" s="33" t="s">
        <v>255</v>
      </c>
      <c r="E527" s="33"/>
      <c r="F527" s="33"/>
      <c r="G527" s="33"/>
      <c r="H527" s="30"/>
      <c r="I527" s="58"/>
      <c r="J527" s="212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94"/>
      <c r="V527" s="158"/>
      <c r="W527" s="311"/>
      <c r="X527" s="311"/>
      <c r="Y527" s="311"/>
      <c r="Z527" s="94"/>
      <c r="AA527" s="158"/>
      <c r="AB527" s="158"/>
      <c r="AC527" s="158"/>
      <c r="AD527" s="158"/>
      <c r="AE527" s="158"/>
      <c r="AF527" s="158"/>
      <c r="AG527" s="158"/>
      <c r="AH527" s="158"/>
      <c r="AI527" s="158"/>
      <c r="AJ527" s="158"/>
      <c r="AK527" s="158"/>
      <c r="AL527" s="158"/>
      <c r="AM527" s="158"/>
      <c r="AN527" s="158"/>
      <c r="AO527" s="158"/>
      <c r="AP527" s="158"/>
      <c r="AQ527" s="158"/>
      <c r="AR527" s="158"/>
      <c r="AS527" s="158"/>
      <c r="AT527" s="2"/>
      <c r="AU527" s="58" t="s">
        <v>646</v>
      </c>
      <c r="AV527" s="348"/>
      <c r="AW527" s="158">
        <v>14</v>
      </c>
      <c r="AX527" s="158"/>
      <c r="AY527" s="158"/>
      <c r="AZ527" s="158"/>
      <c r="BA527" s="158"/>
      <c r="BB527" s="158"/>
      <c r="BC527" s="69"/>
      <c r="BD527" s="69"/>
      <c r="BE527" s="69"/>
      <c r="BF527" s="271">
        <v>2016</v>
      </c>
      <c r="BG527" s="271"/>
      <c r="BH527" s="271"/>
      <c r="BI527" s="271" t="s">
        <v>2376</v>
      </c>
    </row>
    <row r="528" spans="1:61" s="204" customFormat="1" ht="15" customHeight="1">
      <c r="A528" s="160" t="s">
        <v>510</v>
      </c>
      <c r="B528" s="58" t="s">
        <v>226</v>
      </c>
      <c r="C528" s="148" t="s">
        <v>278</v>
      </c>
      <c r="D528" s="33" t="s">
        <v>279</v>
      </c>
      <c r="E528" s="33"/>
      <c r="F528" s="33"/>
      <c r="G528" s="33"/>
      <c r="H528" s="30"/>
      <c r="I528" s="58"/>
      <c r="J528" s="212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94"/>
      <c r="V528" s="158"/>
      <c r="W528" s="311"/>
      <c r="X528" s="311"/>
      <c r="Y528" s="311"/>
      <c r="Z528" s="94"/>
      <c r="AA528" s="158"/>
      <c r="AB528" s="158"/>
      <c r="AC528" s="158"/>
      <c r="AD528" s="158"/>
      <c r="AE528" s="158"/>
      <c r="AF528" s="158"/>
      <c r="AG528" s="158"/>
      <c r="AH528" s="158"/>
      <c r="AI528" s="158"/>
      <c r="AJ528" s="158"/>
      <c r="AK528" s="158"/>
      <c r="AL528" s="158"/>
      <c r="AM528" s="158"/>
      <c r="AN528" s="158"/>
      <c r="AO528" s="158"/>
      <c r="AP528" s="158"/>
      <c r="AQ528" s="158"/>
      <c r="AR528" s="158"/>
      <c r="AS528" s="158"/>
      <c r="AT528" s="2">
        <v>1</v>
      </c>
      <c r="AU528" s="58" t="s">
        <v>646</v>
      </c>
      <c r="AV528" s="348"/>
      <c r="AW528" s="158">
        <v>18</v>
      </c>
      <c r="AX528" s="158"/>
      <c r="AY528" s="158"/>
      <c r="AZ528" s="158"/>
      <c r="BA528" s="158"/>
      <c r="BB528" s="158"/>
      <c r="BC528" s="69"/>
      <c r="BD528" s="69"/>
      <c r="BE528" s="69"/>
      <c r="BF528" s="271">
        <v>2016</v>
      </c>
      <c r="BG528" s="271"/>
      <c r="BH528" s="271"/>
      <c r="BI528" s="271" t="s">
        <v>2376</v>
      </c>
    </row>
    <row r="529" spans="1:61" s="204" customFormat="1" ht="15" customHeight="1">
      <c r="A529" s="160" t="s">
        <v>510</v>
      </c>
      <c r="B529" s="58" t="s">
        <v>262</v>
      </c>
      <c r="C529" s="148" t="s">
        <v>697</v>
      </c>
      <c r="D529" s="33" t="s">
        <v>214</v>
      </c>
      <c r="E529" s="33"/>
      <c r="F529" s="33"/>
      <c r="G529" s="33"/>
      <c r="H529" s="30" t="s">
        <v>650</v>
      </c>
      <c r="I529" s="30"/>
      <c r="J529" s="212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94"/>
      <c r="V529" s="158"/>
      <c r="W529" s="311"/>
      <c r="X529" s="311"/>
      <c r="Y529" s="311"/>
      <c r="Z529" s="94"/>
      <c r="AA529" s="158"/>
      <c r="AB529" s="158"/>
      <c r="AC529" s="158"/>
      <c r="AD529" s="158"/>
      <c r="AE529" s="158"/>
      <c r="AF529" s="158"/>
      <c r="AG529" s="158"/>
      <c r="AH529" s="158"/>
      <c r="AI529" s="158"/>
      <c r="AJ529" s="158"/>
      <c r="AK529" s="158"/>
      <c r="AL529" s="158"/>
      <c r="AM529" s="158"/>
      <c r="AN529" s="158"/>
      <c r="AO529" s="158"/>
      <c r="AP529" s="158"/>
      <c r="AQ529" s="158"/>
      <c r="AR529" s="158"/>
      <c r="AS529" s="158"/>
      <c r="AT529" s="2">
        <v>1</v>
      </c>
      <c r="AU529" s="58" t="s">
        <v>646</v>
      </c>
      <c r="AV529" s="348"/>
      <c r="AW529" s="158"/>
      <c r="AX529" s="158">
        <v>9</v>
      </c>
      <c r="AY529" s="158"/>
      <c r="AZ529" s="158"/>
      <c r="BA529" s="158"/>
      <c r="BB529" s="158"/>
      <c r="BC529" s="69"/>
      <c r="BD529" s="69"/>
      <c r="BE529" s="69"/>
      <c r="BF529" s="271">
        <v>2017</v>
      </c>
      <c r="BG529" s="271"/>
      <c r="BH529" s="271"/>
      <c r="BI529" s="271" t="s">
        <v>2376</v>
      </c>
    </row>
    <row r="530" spans="1:61" s="204" customFormat="1" ht="18" customHeight="1">
      <c r="A530" s="160" t="s">
        <v>510</v>
      </c>
      <c r="B530" s="58" t="s">
        <v>546</v>
      </c>
      <c r="C530" s="148" t="s">
        <v>698</v>
      </c>
      <c r="D530" s="33" t="s">
        <v>1308</v>
      </c>
      <c r="E530" s="33"/>
      <c r="F530" s="33"/>
      <c r="G530" s="33"/>
      <c r="H530" s="30" t="s">
        <v>650</v>
      </c>
      <c r="I530" s="30">
        <v>2913</v>
      </c>
      <c r="J530" s="212">
        <v>42727</v>
      </c>
      <c r="K530" s="158"/>
      <c r="L530" s="158">
        <v>47</v>
      </c>
      <c r="M530" s="158"/>
      <c r="N530" s="158"/>
      <c r="O530" s="158"/>
      <c r="P530" s="158">
        <v>2912210200</v>
      </c>
      <c r="Q530" s="158"/>
      <c r="R530" s="158">
        <v>329000000</v>
      </c>
      <c r="S530" s="158"/>
      <c r="T530" s="158"/>
      <c r="U530" s="94">
        <v>1147612124</v>
      </c>
      <c r="V530" s="158">
        <v>10</v>
      </c>
      <c r="W530" s="311"/>
      <c r="X530" s="311"/>
      <c r="Y530" s="311"/>
      <c r="Z530" s="94">
        <v>1435598076</v>
      </c>
      <c r="AA530" s="158">
        <v>10</v>
      </c>
      <c r="AB530" s="311">
        <v>43586</v>
      </c>
      <c r="AC530" s="311"/>
      <c r="AD530" s="158"/>
      <c r="AE530" s="158"/>
      <c r="AF530" s="158">
        <f>P530-R530-U530-Z530</f>
        <v>0</v>
      </c>
      <c r="AG530" s="158"/>
      <c r="AH530" s="94">
        <v>0</v>
      </c>
      <c r="AI530" s="94">
        <v>0</v>
      </c>
      <c r="AJ530" s="94"/>
      <c r="AK530" s="158">
        <f t="shared" ref="AK530" si="140">AF530+AH530</f>
        <v>0</v>
      </c>
      <c r="AL530" s="158">
        <v>877</v>
      </c>
      <c r="AM530" s="158">
        <v>10</v>
      </c>
      <c r="AN530" s="158"/>
      <c r="AO530" s="158"/>
      <c r="AP530" s="158"/>
      <c r="AQ530" s="158"/>
      <c r="AR530" s="158"/>
      <c r="AS530" s="158"/>
      <c r="AT530" s="2">
        <v>1</v>
      </c>
      <c r="AU530" s="58" t="s">
        <v>646</v>
      </c>
      <c r="AV530" s="422" t="s">
        <v>1309</v>
      </c>
      <c r="AW530" s="158"/>
      <c r="AX530" s="158"/>
      <c r="AY530" s="158"/>
      <c r="AZ530" s="158">
        <v>47</v>
      </c>
      <c r="BA530" s="158"/>
      <c r="BB530" s="158"/>
      <c r="BC530" s="158"/>
      <c r="BD530" s="158">
        <v>47</v>
      </c>
      <c r="BE530" s="158"/>
      <c r="BF530" s="271">
        <v>2019</v>
      </c>
      <c r="BG530" s="271">
        <v>2019</v>
      </c>
      <c r="BH530" s="271"/>
      <c r="BI530" s="271" t="s">
        <v>2375</v>
      </c>
    </row>
    <row r="531" spans="1:61" s="204" customFormat="1" ht="15" customHeight="1">
      <c r="A531" s="160" t="s">
        <v>510</v>
      </c>
      <c r="B531" s="58" t="s">
        <v>280</v>
      </c>
      <c r="C531" s="148" t="s">
        <v>699</v>
      </c>
      <c r="D531" s="33" t="s">
        <v>7</v>
      </c>
      <c r="E531" s="33"/>
      <c r="F531" s="33"/>
      <c r="G531" s="33"/>
      <c r="H531" s="30" t="s">
        <v>650</v>
      </c>
      <c r="I531" s="30"/>
      <c r="J531" s="212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94"/>
      <c r="V531" s="158"/>
      <c r="W531" s="311"/>
      <c r="X531" s="311"/>
      <c r="Y531" s="311"/>
      <c r="Z531" s="94"/>
      <c r="AA531" s="158"/>
      <c r="AB531" s="158"/>
      <c r="AC531" s="158"/>
      <c r="AD531" s="158"/>
      <c r="AE531" s="158"/>
      <c r="AF531" s="158"/>
      <c r="AG531" s="158"/>
      <c r="AH531" s="158"/>
      <c r="AI531" s="158"/>
      <c r="AJ531" s="158"/>
      <c r="AK531" s="158"/>
      <c r="AL531" s="158"/>
      <c r="AM531" s="158"/>
      <c r="AN531" s="158"/>
      <c r="AO531" s="158"/>
      <c r="AP531" s="158"/>
      <c r="AQ531" s="158"/>
      <c r="AR531" s="158"/>
      <c r="AS531" s="158"/>
      <c r="AT531" s="2">
        <v>1</v>
      </c>
      <c r="AU531" s="58" t="s">
        <v>646</v>
      </c>
      <c r="AV531" s="348"/>
      <c r="AW531" s="158"/>
      <c r="AX531" s="158">
        <v>6</v>
      </c>
      <c r="AY531" s="158"/>
      <c r="AZ531" s="158"/>
      <c r="BA531" s="158"/>
      <c r="BB531" s="158"/>
      <c r="BC531" s="69"/>
      <c r="BD531" s="69"/>
      <c r="BE531" s="69"/>
      <c r="BF531" s="271">
        <v>2017</v>
      </c>
      <c r="BG531" s="271"/>
      <c r="BH531" s="271"/>
      <c r="BI531" s="271" t="s">
        <v>2376</v>
      </c>
    </row>
    <row r="532" spans="1:61" s="204" customFormat="1" ht="15" customHeight="1">
      <c r="A532" s="160" t="s">
        <v>510</v>
      </c>
      <c r="B532" s="58" t="s">
        <v>203</v>
      </c>
      <c r="C532" s="148" t="s">
        <v>850</v>
      </c>
      <c r="D532" s="33" t="s">
        <v>170</v>
      </c>
      <c r="E532" s="33"/>
      <c r="F532" s="33"/>
      <c r="G532" s="33"/>
      <c r="H532" s="30" t="s">
        <v>650</v>
      </c>
      <c r="I532" s="30"/>
      <c r="J532" s="212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94"/>
      <c r="V532" s="158"/>
      <c r="W532" s="311"/>
      <c r="X532" s="311"/>
      <c r="Y532" s="311"/>
      <c r="Z532" s="94"/>
      <c r="AA532" s="158"/>
      <c r="AB532" s="158"/>
      <c r="AC532" s="158"/>
      <c r="AD532" s="158"/>
      <c r="AE532" s="158"/>
      <c r="AF532" s="158"/>
      <c r="AG532" s="158"/>
      <c r="AH532" s="158"/>
      <c r="AI532" s="158"/>
      <c r="AJ532" s="158"/>
      <c r="AK532" s="158"/>
      <c r="AL532" s="158"/>
      <c r="AM532" s="158"/>
      <c r="AN532" s="158"/>
      <c r="AO532" s="158"/>
      <c r="AP532" s="158"/>
      <c r="AQ532" s="158"/>
      <c r="AR532" s="158"/>
      <c r="AS532" s="158"/>
      <c r="AT532" s="2">
        <v>1</v>
      </c>
      <c r="AU532" s="58" t="s">
        <v>646</v>
      </c>
      <c r="AV532" s="348"/>
      <c r="AW532" s="158"/>
      <c r="AX532" s="158">
        <v>24</v>
      </c>
      <c r="AY532" s="158"/>
      <c r="AZ532" s="158"/>
      <c r="BA532" s="158"/>
      <c r="BB532" s="158"/>
      <c r="BC532" s="69"/>
      <c r="BD532" s="69"/>
      <c r="BE532" s="69"/>
      <c r="BF532" s="271">
        <v>2017</v>
      </c>
      <c r="BG532" s="271"/>
      <c r="BH532" s="271"/>
      <c r="BI532" s="271" t="s">
        <v>2376</v>
      </c>
    </row>
    <row r="533" spans="1:61" s="204" customFormat="1" ht="15" customHeight="1">
      <c r="A533" s="160" t="s">
        <v>510</v>
      </c>
      <c r="B533" s="58" t="s">
        <v>280</v>
      </c>
      <c r="C533" s="148" t="s">
        <v>851</v>
      </c>
      <c r="D533" s="33" t="s">
        <v>30</v>
      </c>
      <c r="E533" s="33"/>
      <c r="F533" s="33"/>
      <c r="G533" s="33"/>
      <c r="H533" s="30" t="s">
        <v>630</v>
      </c>
      <c r="I533" s="43"/>
      <c r="J533" s="212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94"/>
      <c r="V533" s="158"/>
      <c r="W533" s="311"/>
      <c r="X533" s="311"/>
      <c r="Y533" s="311"/>
      <c r="Z533" s="94"/>
      <c r="AA533" s="158"/>
      <c r="AB533" s="158"/>
      <c r="AC533" s="158"/>
      <c r="AD533" s="158"/>
      <c r="AE533" s="158"/>
      <c r="AF533" s="158"/>
      <c r="AG533" s="158"/>
      <c r="AH533" s="158"/>
      <c r="AI533" s="158"/>
      <c r="AJ533" s="158"/>
      <c r="AK533" s="158"/>
      <c r="AL533" s="158"/>
      <c r="AM533" s="158"/>
      <c r="AN533" s="158"/>
      <c r="AO533" s="158"/>
      <c r="AP533" s="158"/>
      <c r="AQ533" s="158"/>
      <c r="AR533" s="158"/>
      <c r="AS533" s="158"/>
      <c r="AT533" s="2">
        <v>1</v>
      </c>
      <c r="AU533" s="58" t="s">
        <v>646</v>
      </c>
      <c r="AV533" s="348"/>
      <c r="AW533" s="158"/>
      <c r="AX533" s="158">
        <v>17</v>
      </c>
      <c r="AY533" s="158"/>
      <c r="AZ533" s="158"/>
      <c r="BA533" s="158"/>
      <c r="BB533" s="158"/>
      <c r="BC533" s="69"/>
      <c r="BD533" s="69"/>
      <c r="BE533" s="69"/>
      <c r="BF533" s="271">
        <v>2017</v>
      </c>
      <c r="BG533" s="271"/>
      <c r="BH533" s="271"/>
      <c r="BI533" s="271" t="s">
        <v>2376</v>
      </c>
    </row>
    <row r="534" spans="1:61" s="204" customFormat="1" ht="15" customHeight="1">
      <c r="A534" s="160" t="s">
        <v>510</v>
      </c>
      <c r="B534" s="58" t="s">
        <v>211</v>
      </c>
      <c r="C534" s="148" t="s">
        <v>852</v>
      </c>
      <c r="D534" s="33" t="s">
        <v>7</v>
      </c>
      <c r="E534" s="33"/>
      <c r="F534" s="33"/>
      <c r="G534" s="33"/>
      <c r="H534" s="30" t="s">
        <v>630</v>
      </c>
      <c r="I534" s="43"/>
      <c r="J534" s="212"/>
      <c r="K534" s="158"/>
      <c r="L534" s="158"/>
      <c r="M534" s="158"/>
      <c r="N534" s="158"/>
      <c r="O534" s="158"/>
      <c r="P534" s="158"/>
      <c r="Q534" s="158">
        <f t="shared" ref="Q534:Q540" si="141">P534/AY534</f>
        <v>0</v>
      </c>
      <c r="R534" s="158"/>
      <c r="S534" s="158"/>
      <c r="T534" s="158"/>
      <c r="U534" s="94"/>
      <c r="V534" s="158"/>
      <c r="W534" s="311"/>
      <c r="X534" s="311"/>
      <c r="Y534" s="311"/>
      <c r="Z534" s="94"/>
      <c r="AA534" s="158"/>
      <c r="AB534" s="158"/>
      <c r="AC534" s="158"/>
      <c r="AD534" s="158"/>
      <c r="AE534" s="158"/>
      <c r="AF534" s="158"/>
      <c r="AG534" s="158"/>
      <c r="AH534" s="158"/>
      <c r="AI534" s="158"/>
      <c r="AJ534" s="158"/>
      <c r="AK534" s="158"/>
      <c r="AL534" s="158"/>
      <c r="AM534" s="158"/>
      <c r="AN534" s="158"/>
      <c r="AO534" s="158"/>
      <c r="AP534" s="158"/>
      <c r="AQ534" s="158"/>
      <c r="AR534" s="158"/>
      <c r="AS534" s="158"/>
      <c r="AT534" s="2">
        <v>1</v>
      </c>
      <c r="AU534" s="58" t="s">
        <v>646</v>
      </c>
      <c r="AV534" s="348"/>
      <c r="AW534" s="158"/>
      <c r="AX534" s="158"/>
      <c r="AY534" s="72">
        <v>9</v>
      </c>
      <c r="AZ534" s="158"/>
      <c r="BA534" s="158"/>
      <c r="BB534" s="158">
        <v>9</v>
      </c>
      <c r="BC534" s="69"/>
      <c r="BD534" s="69"/>
      <c r="BE534" s="69"/>
      <c r="BF534" s="271">
        <v>2018</v>
      </c>
      <c r="BG534" s="271"/>
      <c r="BH534" s="271"/>
      <c r="BI534" s="271" t="s">
        <v>2376</v>
      </c>
    </row>
    <row r="535" spans="1:61" s="204" customFormat="1" ht="36.75" customHeight="1">
      <c r="A535" s="230" t="s">
        <v>510</v>
      </c>
      <c r="B535" s="58" t="s">
        <v>211</v>
      </c>
      <c r="C535" s="148" t="s">
        <v>853</v>
      </c>
      <c r="D535" s="33" t="s">
        <v>7</v>
      </c>
      <c r="E535" s="33"/>
      <c r="F535" s="33"/>
      <c r="G535" s="33"/>
      <c r="H535" s="30" t="s">
        <v>630</v>
      </c>
      <c r="I535" s="115" t="s">
        <v>1504</v>
      </c>
      <c r="J535" s="215" t="s">
        <v>1503</v>
      </c>
      <c r="K535" s="158"/>
      <c r="L535" s="158"/>
      <c r="M535" s="158"/>
      <c r="N535" s="158"/>
      <c r="O535" s="158"/>
      <c r="P535" s="158">
        <f>734535855-61211321</f>
        <v>673324534</v>
      </c>
      <c r="Q535" s="158">
        <f t="shared" si="141"/>
        <v>61211321.272727273</v>
      </c>
      <c r="R535" s="158"/>
      <c r="S535" s="158"/>
      <c r="T535" s="158"/>
      <c r="U535" s="94">
        <v>283488867</v>
      </c>
      <c r="V535" s="158"/>
      <c r="W535" s="311"/>
      <c r="X535" s="311"/>
      <c r="Y535" s="311"/>
      <c r="Z535" s="94">
        <v>389835667</v>
      </c>
      <c r="AA535" s="158"/>
      <c r="AB535" s="5"/>
      <c r="AC535" s="5"/>
      <c r="AD535" s="5"/>
      <c r="AE535" s="158"/>
      <c r="AF535" s="158">
        <f>P535-U535-Z535</f>
        <v>0</v>
      </c>
      <c r="AG535" s="158"/>
      <c r="AH535" s="158"/>
      <c r="AI535" s="158"/>
      <c r="AJ535" s="158"/>
      <c r="AK535" s="158"/>
      <c r="AL535" s="158">
        <v>877</v>
      </c>
      <c r="AM535" s="158">
        <v>10</v>
      </c>
      <c r="AN535" s="158"/>
      <c r="AO535" s="158"/>
      <c r="AP535" s="158"/>
      <c r="AQ535" s="158"/>
      <c r="AR535" s="158"/>
      <c r="AS535" s="158"/>
      <c r="AT535" s="2">
        <v>1</v>
      </c>
      <c r="AU535" s="58" t="s">
        <v>646</v>
      </c>
      <c r="AV535" s="348"/>
      <c r="AW535" s="158"/>
      <c r="AX535" s="158"/>
      <c r="AY535" s="72">
        <v>11</v>
      </c>
      <c r="AZ535" s="158"/>
      <c r="BA535" s="158"/>
      <c r="BB535" s="158">
        <v>11</v>
      </c>
      <c r="BC535" s="69"/>
      <c r="BD535" s="69"/>
      <c r="BE535" s="69"/>
      <c r="BF535" s="271">
        <v>2018</v>
      </c>
      <c r="BG535" s="271"/>
      <c r="BH535" s="271"/>
      <c r="BI535" s="271" t="s">
        <v>2376</v>
      </c>
    </row>
    <row r="536" spans="1:61" s="204" customFormat="1" ht="18" customHeight="1">
      <c r="A536" s="160" t="s">
        <v>510</v>
      </c>
      <c r="B536" s="58" t="s">
        <v>211</v>
      </c>
      <c r="C536" s="148" t="s">
        <v>853</v>
      </c>
      <c r="D536" s="33" t="s">
        <v>7</v>
      </c>
      <c r="E536" s="33"/>
      <c r="F536" s="33"/>
      <c r="G536" s="33"/>
      <c r="H536" s="30" t="s">
        <v>630</v>
      </c>
      <c r="I536" s="115" t="s">
        <v>1689</v>
      </c>
      <c r="J536" s="215" t="s">
        <v>1690</v>
      </c>
      <c r="K536" s="158"/>
      <c r="L536" s="158"/>
      <c r="M536" s="158">
        <v>1</v>
      </c>
      <c r="N536" s="158"/>
      <c r="O536" s="158"/>
      <c r="P536" s="158">
        <v>61211321</v>
      </c>
      <c r="Q536" s="158">
        <f>P536/BE536</f>
        <v>61211321</v>
      </c>
      <c r="R536" s="158"/>
      <c r="S536" s="158"/>
      <c r="T536" s="158"/>
      <c r="U536" s="94"/>
      <c r="V536" s="158"/>
      <c r="W536" s="311"/>
      <c r="X536" s="311"/>
      <c r="Y536" s="311"/>
      <c r="Z536" s="94"/>
      <c r="AA536" s="69"/>
      <c r="AB536" s="69"/>
      <c r="AC536" s="69"/>
      <c r="AD536" s="69">
        <v>61211321</v>
      </c>
      <c r="AE536" s="158"/>
      <c r="AF536" s="158">
        <f>P536-U536-Z536-AD536</f>
        <v>0</v>
      </c>
      <c r="AG536" s="158"/>
      <c r="AH536" s="94">
        <v>0</v>
      </c>
      <c r="AI536" s="94">
        <v>0</v>
      </c>
      <c r="AJ536" s="94"/>
      <c r="AK536" s="158">
        <f t="shared" ref="AK536" si="142">AF536+AH536</f>
        <v>0</v>
      </c>
      <c r="AL536" s="158">
        <v>877</v>
      </c>
      <c r="AM536" s="158">
        <v>10</v>
      </c>
      <c r="AN536" s="158"/>
      <c r="AO536" s="158"/>
      <c r="AP536" s="158"/>
      <c r="AQ536" s="158"/>
      <c r="AR536" s="158"/>
      <c r="AS536" s="61"/>
      <c r="AT536" s="2">
        <v>0</v>
      </c>
      <c r="AU536" s="58" t="s">
        <v>687</v>
      </c>
      <c r="AV536" s="126" t="s">
        <v>1691</v>
      </c>
      <c r="AW536" s="158"/>
      <c r="AX536" s="158"/>
      <c r="AY536" s="158"/>
      <c r="AZ536" s="158"/>
      <c r="BA536" s="158"/>
      <c r="BB536" s="158"/>
      <c r="BC536" s="69"/>
      <c r="BD536" s="69"/>
      <c r="BE536" s="69">
        <v>1</v>
      </c>
      <c r="BF536" s="271" t="s">
        <v>1706</v>
      </c>
      <c r="BG536" s="271">
        <v>2019</v>
      </c>
      <c r="BH536" s="271"/>
      <c r="BI536" s="271" t="s">
        <v>2375</v>
      </c>
    </row>
    <row r="537" spans="1:61" s="204" customFormat="1" ht="15" customHeight="1">
      <c r="A537" s="248" t="s">
        <v>510</v>
      </c>
      <c r="B537" s="58" t="s">
        <v>546</v>
      </c>
      <c r="C537" s="148" t="s">
        <v>564</v>
      </c>
      <c r="D537" s="33" t="s">
        <v>565</v>
      </c>
      <c r="E537" s="33"/>
      <c r="F537" s="33"/>
      <c r="G537" s="33"/>
      <c r="H537" s="30" t="s">
        <v>630</v>
      </c>
      <c r="I537" s="43"/>
      <c r="J537" s="212"/>
      <c r="K537" s="158"/>
      <c r="L537" s="158"/>
      <c r="M537" s="158"/>
      <c r="N537" s="158"/>
      <c r="O537" s="158"/>
      <c r="P537" s="158"/>
      <c r="Q537" s="158">
        <f>P537/AX537</f>
        <v>0</v>
      </c>
      <c r="R537" s="158"/>
      <c r="S537" s="158"/>
      <c r="T537" s="158"/>
      <c r="U537" s="94"/>
      <c r="V537" s="158"/>
      <c r="W537" s="311"/>
      <c r="X537" s="311"/>
      <c r="Y537" s="311"/>
      <c r="Z537" s="94"/>
      <c r="AA537" s="158"/>
      <c r="AB537" s="92"/>
      <c r="AC537" s="92"/>
      <c r="AD537" s="92"/>
      <c r="AE537" s="158"/>
      <c r="AF537" s="158"/>
      <c r="AG537" s="158"/>
      <c r="AH537" s="158"/>
      <c r="AI537" s="158"/>
      <c r="AJ537" s="158"/>
      <c r="AK537" s="158"/>
      <c r="AL537" s="158"/>
      <c r="AM537" s="158"/>
      <c r="AN537" s="158"/>
      <c r="AO537" s="158"/>
      <c r="AP537" s="158"/>
      <c r="AQ537" s="11"/>
      <c r="AR537" s="11"/>
      <c r="AS537" s="11"/>
      <c r="AT537" s="2">
        <v>1</v>
      </c>
      <c r="AU537" s="58" t="s">
        <v>646</v>
      </c>
      <c r="AV537" s="206"/>
      <c r="AW537" s="158"/>
      <c r="AX537" s="158">
        <v>42</v>
      </c>
      <c r="AY537" s="158"/>
      <c r="AZ537" s="158"/>
      <c r="BA537" s="158"/>
      <c r="BB537" s="158"/>
      <c r="BC537" s="69"/>
      <c r="BD537" s="69"/>
      <c r="BE537" s="69"/>
      <c r="BF537" s="271">
        <v>2017</v>
      </c>
      <c r="BG537" s="271"/>
      <c r="BH537" s="271"/>
      <c r="BI537" s="271" t="s">
        <v>2376</v>
      </c>
    </row>
    <row r="538" spans="1:61" s="204" customFormat="1" ht="15" customHeight="1">
      <c r="A538" s="160" t="s">
        <v>510</v>
      </c>
      <c r="B538" s="58" t="s">
        <v>262</v>
      </c>
      <c r="C538" s="148" t="s">
        <v>926</v>
      </c>
      <c r="D538" s="33" t="s">
        <v>1039</v>
      </c>
      <c r="E538" s="33"/>
      <c r="F538" s="33"/>
      <c r="G538" s="33"/>
      <c r="H538" s="30" t="s">
        <v>630</v>
      </c>
      <c r="I538" s="43"/>
      <c r="J538" s="212"/>
      <c r="K538" s="158"/>
      <c r="L538" s="158"/>
      <c r="M538" s="158"/>
      <c r="N538" s="158"/>
      <c r="O538" s="158"/>
      <c r="P538" s="158"/>
      <c r="Q538" s="158">
        <f t="shared" si="141"/>
        <v>0</v>
      </c>
      <c r="R538" s="158"/>
      <c r="S538" s="158"/>
      <c r="T538" s="158"/>
      <c r="U538" s="94"/>
      <c r="V538" s="158"/>
      <c r="W538" s="311"/>
      <c r="X538" s="311"/>
      <c r="Y538" s="311"/>
      <c r="Z538" s="94"/>
      <c r="AA538" s="158"/>
      <c r="AB538" s="158"/>
      <c r="AC538" s="158"/>
      <c r="AD538" s="158"/>
      <c r="AE538" s="158"/>
      <c r="AF538" s="158"/>
      <c r="AG538" s="158"/>
      <c r="AH538" s="158"/>
      <c r="AI538" s="158"/>
      <c r="AJ538" s="158"/>
      <c r="AK538" s="158"/>
      <c r="AL538" s="158"/>
      <c r="AM538" s="158"/>
      <c r="AN538" s="158"/>
      <c r="AO538" s="158"/>
      <c r="AP538" s="158"/>
      <c r="AQ538" s="11"/>
      <c r="AR538" s="11"/>
      <c r="AS538" s="11"/>
      <c r="AT538" s="2">
        <v>1</v>
      </c>
      <c r="AU538" s="58" t="s">
        <v>646</v>
      </c>
      <c r="AV538" s="206"/>
      <c r="AW538" s="158"/>
      <c r="AX538" s="158"/>
      <c r="AY538" s="72">
        <v>16</v>
      </c>
      <c r="AZ538" s="158"/>
      <c r="BA538" s="158"/>
      <c r="BB538" s="158">
        <v>16</v>
      </c>
      <c r="BC538" s="69"/>
      <c r="BD538" s="69"/>
      <c r="BE538" s="69"/>
      <c r="BF538" s="271">
        <v>2018</v>
      </c>
      <c r="BG538" s="271"/>
      <c r="BH538" s="271"/>
      <c r="BI538" s="271" t="s">
        <v>2376</v>
      </c>
    </row>
    <row r="539" spans="1:61" s="204" customFormat="1" ht="15" customHeight="1">
      <c r="A539" s="160" t="s">
        <v>510</v>
      </c>
      <c r="B539" s="58" t="s">
        <v>203</v>
      </c>
      <c r="C539" s="148" t="s">
        <v>854</v>
      </c>
      <c r="D539" s="33" t="s">
        <v>855</v>
      </c>
      <c r="E539" s="33"/>
      <c r="F539" s="33"/>
      <c r="G539" s="33"/>
      <c r="H539" s="30" t="s">
        <v>630</v>
      </c>
      <c r="I539" s="43"/>
      <c r="J539" s="212"/>
      <c r="K539" s="81"/>
      <c r="L539" s="81"/>
      <c r="M539" s="81"/>
      <c r="N539" s="81"/>
      <c r="O539" s="81"/>
      <c r="P539" s="81"/>
      <c r="Q539" s="158">
        <f t="shared" si="141"/>
        <v>0</v>
      </c>
      <c r="R539" s="158"/>
      <c r="S539" s="158"/>
      <c r="T539" s="81"/>
      <c r="U539" s="94"/>
      <c r="V539" s="81"/>
      <c r="W539" s="311"/>
      <c r="X539" s="311"/>
      <c r="Y539" s="311"/>
      <c r="Z539" s="94"/>
      <c r="AA539" s="81"/>
      <c r="AB539" s="81"/>
      <c r="AC539" s="81"/>
      <c r="AD539" s="81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2">
        <v>1</v>
      </c>
      <c r="AU539" s="58" t="s">
        <v>646</v>
      </c>
      <c r="AV539" s="206"/>
      <c r="AW539" s="51"/>
      <c r="AX539" s="56"/>
      <c r="AY539" s="688">
        <v>30</v>
      </c>
      <c r="AZ539" s="158"/>
      <c r="BA539" s="158"/>
      <c r="BB539" s="12">
        <v>30</v>
      </c>
      <c r="BC539" s="285"/>
      <c r="BD539" s="70"/>
      <c r="BE539" s="70"/>
      <c r="BF539" s="271">
        <v>2018</v>
      </c>
      <c r="BG539" s="271"/>
      <c r="BH539" s="271"/>
      <c r="BI539" s="271" t="s">
        <v>2376</v>
      </c>
    </row>
    <row r="540" spans="1:61" s="204" customFormat="1" ht="15" customHeight="1">
      <c r="A540" s="160" t="s">
        <v>510</v>
      </c>
      <c r="B540" s="58" t="s">
        <v>280</v>
      </c>
      <c r="C540" s="148" t="s">
        <v>1077</v>
      </c>
      <c r="D540" s="33" t="s">
        <v>202</v>
      </c>
      <c r="E540" s="33"/>
      <c r="F540" s="33"/>
      <c r="G540" s="33"/>
      <c r="H540" s="30" t="s">
        <v>630</v>
      </c>
      <c r="I540" s="43"/>
      <c r="J540" s="212"/>
      <c r="K540" s="81"/>
      <c r="L540" s="81"/>
      <c r="M540" s="81"/>
      <c r="N540" s="81"/>
      <c r="O540" s="81"/>
      <c r="P540" s="81"/>
      <c r="Q540" s="158">
        <f t="shared" si="141"/>
        <v>0</v>
      </c>
      <c r="R540" s="158"/>
      <c r="S540" s="158"/>
      <c r="T540" s="81"/>
      <c r="U540" s="94"/>
      <c r="V540" s="81"/>
      <c r="W540" s="311"/>
      <c r="X540" s="311"/>
      <c r="Y540" s="311"/>
      <c r="Z540" s="94"/>
      <c r="AA540" s="81"/>
      <c r="AB540" s="81"/>
      <c r="AC540" s="81"/>
      <c r="AD540" s="81"/>
      <c r="AE540" s="158"/>
      <c r="AF540" s="158"/>
      <c r="AG540" s="158"/>
      <c r="AH540" s="158"/>
      <c r="AI540" s="158"/>
      <c r="AJ540" s="158"/>
      <c r="AK540" s="158"/>
      <c r="AL540" s="158"/>
      <c r="AM540" s="158"/>
      <c r="AN540" s="158"/>
      <c r="AO540" s="158"/>
      <c r="AP540" s="158"/>
      <c r="AQ540" s="158"/>
      <c r="AR540" s="158"/>
      <c r="AS540" s="158"/>
      <c r="AT540" s="2">
        <v>1</v>
      </c>
      <c r="AU540" s="58" t="s">
        <v>646</v>
      </c>
      <c r="AV540" s="206"/>
      <c r="AW540" s="51"/>
      <c r="AX540" s="56"/>
      <c r="AY540" s="72">
        <v>32</v>
      </c>
      <c r="AZ540" s="158"/>
      <c r="BA540" s="158"/>
      <c r="BB540" s="158">
        <v>32</v>
      </c>
      <c r="BC540" s="69"/>
      <c r="BD540" s="69"/>
      <c r="BE540" s="69"/>
      <c r="BF540" s="271">
        <v>2018</v>
      </c>
      <c r="BG540" s="271"/>
      <c r="BH540" s="271"/>
      <c r="BI540" s="271" t="s">
        <v>2376</v>
      </c>
    </row>
    <row r="541" spans="1:61" s="204" customFormat="1" ht="15" customHeight="1">
      <c r="A541" s="160" t="s">
        <v>510</v>
      </c>
      <c r="B541" s="58" t="s">
        <v>262</v>
      </c>
      <c r="C541" s="148" t="s">
        <v>856</v>
      </c>
      <c r="D541" s="33" t="s">
        <v>857</v>
      </c>
      <c r="E541" s="33"/>
      <c r="F541" s="33"/>
      <c r="G541" s="33"/>
      <c r="H541" s="30" t="s">
        <v>713</v>
      </c>
      <c r="I541" s="43"/>
      <c r="J541" s="212"/>
      <c r="K541" s="81"/>
      <c r="L541" s="81"/>
      <c r="M541" s="81"/>
      <c r="N541" s="81"/>
      <c r="O541" s="81"/>
      <c r="P541" s="81"/>
      <c r="Q541" s="81"/>
      <c r="R541" s="158"/>
      <c r="S541" s="158"/>
      <c r="T541" s="81"/>
      <c r="U541" s="94"/>
      <c r="V541" s="81"/>
      <c r="W541" s="311"/>
      <c r="X541" s="311"/>
      <c r="Y541" s="311"/>
      <c r="Z541" s="94"/>
      <c r="AA541" s="81"/>
      <c r="AB541" s="81"/>
      <c r="AC541" s="81"/>
      <c r="AD541" s="81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2">
        <v>1</v>
      </c>
      <c r="AU541" s="58" t="s">
        <v>646</v>
      </c>
      <c r="AV541" s="206"/>
      <c r="AW541" s="51"/>
      <c r="AX541" s="56"/>
      <c r="AY541" s="72">
        <v>28</v>
      </c>
      <c r="AZ541" s="158"/>
      <c r="BA541" s="158"/>
      <c r="BB541" s="158">
        <v>28</v>
      </c>
      <c r="BC541" s="69"/>
      <c r="BD541" s="69"/>
      <c r="BE541" s="69"/>
      <c r="BF541" s="271">
        <v>2018</v>
      </c>
      <c r="BG541" s="271"/>
      <c r="BH541" s="271"/>
      <c r="BI541" s="271" t="s">
        <v>2376</v>
      </c>
    </row>
    <row r="542" spans="1:61" s="204" customFormat="1" ht="15" customHeight="1">
      <c r="A542" s="160" t="s">
        <v>510</v>
      </c>
      <c r="B542" s="58" t="s">
        <v>280</v>
      </c>
      <c r="C542" s="148" t="s">
        <v>874</v>
      </c>
      <c r="D542" s="33" t="s">
        <v>7</v>
      </c>
      <c r="E542" s="33"/>
      <c r="F542" s="33"/>
      <c r="G542" s="33"/>
      <c r="H542" s="30" t="s">
        <v>713</v>
      </c>
      <c r="I542" s="43"/>
      <c r="J542" s="212"/>
      <c r="K542" s="81"/>
      <c r="L542" s="81"/>
      <c r="M542" s="81"/>
      <c r="N542" s="81"/>
      <c r="O542" s="81"/>
      <c r="P542" s="81"/>
      <c r="Q542" s="81"/>
      <c r="R542" s="158"/>
      <c r="S542" s="158"/>
      <c r="T542" s="81"/>
      <c r="U542" s="94"/>
      <c r="V542" s="81"/>
      <c r="W542" s="311"/>
      <c r="X542" s="311"/>
      <c r="Y542" s="311"/>
      <c r="Z542" s="94"/>
      <c r="AA542" s="81"/>
      <c r="AB542" s="81"/>
      <c r="AC542" s="81"/>
      <c r="AD542" s="81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56">
        <v>1</v>
      </c>
      <c r="AU542" s="58" t="s">
        <v>646</v>
      </c>
      <c r="AV542" s="206"/>
      <c r="AW542" s="51"/>
      <c r="AX542" s="56"/>
      <c r="AY542" s="72">
        <v>6</v>
      </c>
      <c r="AZ542" s="158"/>
      <c r="BA542" s="158"/>
      <c r="BB542" s="158">
        <v>6</v>
      </c>
      <c r="BC542" s="69"/>
      <c r="BD542" s="69"/>
      <c r="BE542" s="69"/>
      <c r="BF542" s="271">
        <v>2018</v>
      </c>
      <c r="BG542" s="271"/>
      <c r="BH542" s="271"/>
      <c r="BI542" s="271" t="s">
        <v>2376</v>
      </c>
    </row>
    <row r="543" spans="1:61" s="204" customFormat="1" ht="18" customHeight="1">
      <c r="A543" s="160" t="s">
        <v>510</v>
      </c>
      <c r="B543" s="58" t="s">
        <v>280</v>
      </c>
      <c r="C543" s="148" t="s">
        <v>874</v>
      </c>
      <c r="D543" s="33" t="s">
        <v>7</v>
      </c>
      <c r="E543" s="33"/>
      <c r="F543" s="33"/>
      <c r="G543" s="33"/>
      <c r="H543" s="30" t="s">
        <v>713</v>
      </c>
      <c r="I543" s="43">
        <v>1847</v>
      </c>
      <c r="J543" s="212">
        <v>42977</v>
      </c>
      <c r="K543" s="81"/>
      <c r="L543" s="81"/>
      <c r="M543" s="81">
        <v>1</v>
      </c>
      <c r="N543" s="81"/>
      <c r="O543" s="81"/>
      <c r="P543" s="81"/>
      <c r="Q543" s="81"/>
      <c r="R543" s="158"/>
      <c r="S543" s="158"/>
      <c r="T543" s="81"/>
      <c r="U543" s="94"/>
      <c r="V543" s="81"/>
      <c r="W543" s="311"/>
      <c r="X543" s="311"/>
      <c r="Y543" s="311"/>
      <c r="Z543" s="94"/>
      <c r="AA543" s="81"/>
      <c r="AB543" s="81"/>
      <c r="AC543" s="81"/>
      <c r="AD543" s="81"/>
      <c r="AE543" s="158"/>
      <c r="AF543" s="158">
        <f>P543-U543-Z543</f>
        <v>0</v>
      </c>
      <c r="AG543" s="158"/>
      <c r="AH543" s="94">
        <v>0</v>
      </c>
      <c r="AI543" s="94">
        <v>0</v>
      </c>
      <c r="AJ543" s="94"/>
      <c r="AK543" s="158">
        <f t="shared" ref="AK543:AK544" si="143">AF543+AH543</f>
        <v>0</v>
      </c>
      <c r="AL543" s="158"/>
      <c r="AM543" s="158"/>
      <c r="AN543" s="158"/>
      <c r="AO543" s="158"/>
      <c r="AP543" s="98"/>
      <c r="AQ543" s="158"/>
      <c r="AR543" s="158"/>
      <c r="AS543" s="158"/>
      <c r="AT543" s="2">
        <v>0</v>
      </c>
      <c r="AU543" s="58" t="s">
        <v>687</v>
      </c>
      <c r="AV543" s="395" t="s">
        <v>1361</v>
      </c>
      <c r="AW543" s="51"/>
      <c r="AX543" s="56"/>
      <c r="AY543" s="56"/>
      <c r="AZ543" s="56"/>
      <c r="BA543" s="56"/>
      <c r="BB543" s="56"/>
      <c r="BC543" s="291"/>
      <c r="BD543" s="291"/>
      <c r="BE543" s="69">
        <v>1</v>
      </c>
      <c r="BF543" s="271" t="s">
        <v>1706</v>
      </c>
      <c r="BG543" s="271">
        <v>2019</v>
      </c>
      <c r="BH543" s="271"/>
      <c r="BI543" s="271" t="s">
        <v>2375</v>
      </c>
    </row>
    <row r="544" spans="1:61" s="204" customFormat="1" ht="18" customHeight="1">
      <c r="A544" s="160" t="s">
        <v>510</v>
      </c>
      <c r="B544" s="58" t="s">
        <v>546</v>
      </c>
      <c r="C544" s="148" t="s">
        <v>1379</v>
      </c>
      <c r="D544" s="33" t="s">
        <v>858</v>
      </c>
      <c r="E544" s="33"/>
      <c r="F544" s="33"/>
      <c r="G544" s="33"/>
      <c r="H544" s="30" t="s">
        <v>713</v>
      </c>
      <c r="I544" s="43">
        <v>1982</v>
      </c>
      <c r="J544" s="212">
        <v>42993</v>
      </c>
      <c r="K544" s="81"/>
      <c r="L544" s="81">
        <v>15</v>
      </c>
      <c r="M544" s="81"/>
      <c r="N544" s="81"/>
      <c r="O544" s="81"/>
      <c r="P544" s="158">
        <v>914233528</v>
      </c>
      <c r="Q544" s="158"/>
      <c r="R544" s="158"/>
      <c r="S544" s="158"/>
      <c r="T544" s="81"/>
      <c r="U544" s="94">
        <v>406178863</v>
      </c>
      <c r="V544" s="81">
        <v>20</v>
      </c>
      <c r="W544" s="311"/>
      <c r="X544" s="311"/>
      <c r="Y544" s="311"/>
      <c r="Z544" s="94">
        <v>508054665</v>
      </c>
      <c r="AA544" s="81">
        <v>10</v>
      </c>
      <c r="AB544" s="81"/>
      <c r="AC544" s="81"/>
      <c r="AD544" s="81"/>
      <c r="AE544" s="158"/>
      <c r="AF544" s="158">
        <f>P544-U544-Z544</f>
        <v>0</v>
      </c>
      <c r="AG544" s="158"/>
      <c r="AH544" s="94">
        <v>0</v>
      </c>
      <c r="AI544" s="94">
        <v>0</v>
      </c>
      <c r="AJ544" s="94"/>
      <c r="AK544" s="158">
        <f t="shared" si="143"/>
        <v>0</v>
      </c>
      <c r="AL544" s="158">
        <v>877</v>
      </c>
      <c r="AM544" s="158">
        <v>10</v>
      </c>
      <c r="AN544" s="158"/>
      <c r="AO544" s="158"/>
      <c r="AP544" s="158"/>
      <c r="AQ544" s="158"/>
      <c r="AR544" s="158"/>
      <c r="AS544" s="158"/>
      <c r="AT544" s="2">
        <v>1</v>
      </c>
      <c r="AU544" s="58" t="s">
        <v>646</v>
      </c>
      <c r="AV544" s="7" t="s">
        <v>1380</v>
      </c>
      <c r="AW544" s="51"/>
      <c r="AX544" s="56"/>
      <c r="AY544" s="56"/>
      <c r="AZ544" s="158">
        <v>15</v>
      </c>
      <c r="BA544" s="158"/>
      <c r="BB544" s="56"/>
      <c r="BC544" s="291"/>
      <c r="BD544" s="69">
        <v>15</v>
      </c>
      <c r="BE544" s="69"/>
      <c r="BF544" s="271">
        <v>2019</v>
      </c>
      <c r="BG544" s="271">
        <v>2019</v>
      </c>
      <c r="BH544" s="271"/>
      <c r="BI544" s="271" t="s">
        <v>2375</v>
      </c>
    </row>
    <row r="545" spans="1:61" s="204" customFormat="1" ht="15" customHeight="1">
      <c r="A545" s="160" t="s">
        <v>510</v>
      </c>
      <c r="B545" s="58" t="s">
        <v>197</v>
      </c>
      <c r="C545" s="148" t="s">
        <v>876</v>
      </c>
      <c r="D545" s="33" t="s">
        <v>787</v>
      </c>
      <c r="E545" s="33"/>
      <c r="F545" s="33"/>
      <c r="G545" s="33"/>
      <c r="H545" s="30" t="s">
        <v>713</v>
      </c>
      <c r="I545" s="43"/>
      <c r="J545" s="212"/>
      <c r="K545" s="81"/>
      <c r="L545" s="81"/>
      <c r="M545" s="81"/>
      <c r="N545" s="81"/>
      <c r="O545" s="81"/>
      <c r="P545" s="81"/>
      <c r="Q545" s="81"/>
      <c r="R545" s="158"/>
      <c r="S545" s="158"/>
      <c r="T545" s="81"/>
      <c r="U545" s="94"/>
      <c r="V545" s="81"/>
      <c r="W545" s="311"/>
      <c r="X545" s="311"/>
      <c r="Y545" s="311"/>
      <c r="Z545" s="94"/>
      <c r="AA545" s="81"/>
      <c r="AB545" s="81"/>
      <c r="AC545" s="81"/>
      <c r="AD545" s="81"/>
      <c r="AE545" s="158"/>
      <c r="AF545" s="158"/>
      <c r="AG545" s="158"/>
      <c r="AH545" s="158"/>
      <c r="AI545" s="158"/>
      <c r="AJ545" s="158"/>
      <c r="AK545" s="158"/>
      <c r="AL545" s="158"/>
      <c r="AM545" s="158"/>
      <c r="AN545" s="158"/>
      <c r="AO545" s="158"/>
      <c r="AP545" s="158"/>
      <c r="AQ545" s="158"/>
      <c r="AR545" s="158"/>
      <c r="AS545" s="158"/>
      <c r="AT545" s="56">
        <v>1</v>
      </c>
      <c r="AU545" s="58" t="s">
        <v>646</v>
      </c>
      <c r="AV545" s="206"/>
      <c r="AW545" s="51"/>
      <c r="AX545" s="56"/>
      <c r="AY545" s="72">
        <v>13</v>
      </c>
      <c r="AZ545" s="158"/>
      <c r="BA545" s="158"/>
      <c r="BB545" s="158">
        <v>13</v>
      </c>
      <c r="BC545" s="69"/>
      <c r="BD545" s="69"/>
      <c r="BE545" s="69"/>
      <c r="BF545" s="271">
        <v>2018</v>
      </c>
      <c r="BG545" s="271"/>
      <c r="BH545" s="271"/>
      <c r="BI545" s="271" t="s">
        <v>2376</v>
      </c>
    </row>
    <row r="546" spans="1:61" s="204" customFormat="1" ht="15" customHeight="1">
      <c r="A546" s="160" t="s">
        <v>510</v>
      </c>
      <c r="B546" s="58" t="s">
        <v>547</v>
      </c>
      <c r="C546" s="148" t="s">
        <v>859</v>
      </c>
      <c r="D546" s="33" t="s">
        <v>860</v>
      </c>
      <c r="E546" s="33"/>
      <c r="F546" s="33"/>
      <c r="G546" s="33"/>
      <c r="H546" s="30" t="s">
        <v>713</v>
      </c>
      <c r="I546" s="43"/>
      <c r="J546" s="212"/>
      <c r="K546" s="81"/>
      <c r="L546" s="81"/>
      <c r="M546" s="81"/>
      <c r="N546" s="81"/>
      <c r="O546" s="81"/>
      <c r="P546" s="81"/>
      <c r="Q546" s="81"/>
      <c r="R546" s="158"/>
      <c r="S546" s="158"/>
      <c r="T546" s="81"/>
      <c r="U546" s="94"/>
      <c r="V546" s="81"/>
      <c r="W546" s="311"/>
      <c r="X546" s="311"/>
      <c r="Y546" s="311"/>
      <c r="Z546" s="94"/>
      <c r="AA546" s="81"/>
      <c r="AB546" s="81"/>
      <c r="AC546" s="81"/>
      <c r="AD546" s="81"/>
      <c r="AE546" s="158"/>
      <c r="AF546" s="158"/>
      <c r="AG546" s="158"/>
      <c r="AH546" s="158"/>
      <c r="AI546" s="158"/>
      <c r="AJ546" s="158"/>
      <c r="AK546" s="158"/>
      <c r="AL546" s="158"/>
      <c r="AM546" s="158"/>
      <c r="AN546" s="158"/>
      <c r="AO546" s="158"/>
      <c r="AP546" s="158"/>
      <c r="AQ546" s="158"/>
      <c r="AR546" s="158"/>
      <c r="AS546" s="158"/>
      <c r="AT546" s="56">
        <v>1</v>
      </c>
      <c r="AU546" s="58" t="s">
        <v>646</v>
      </c>
      <c r="AV546" s="206"/>
      <c r="AW546" s="51"/>
      <c r="AX546" s="56"/>
      <c r="AY546" s="688">
        <v>14</v>
      </c>
      <c r="AZ546" s="158"/>
      <c r="BA546" s="158"/>
      <c r="BB546" s="12">
        <v>14</v>
      </c>
      <c r="BC546" s="285"/>
      <c r="BD546" s="70"/>
      <c r="BE546" s="70"/>
      <c r="BF546" s="271">
        <v>2018</v>
      </c>
      <c r="BG546" s="271"/>
      <c r="BH546" s="271"/>
      <c r="BI546" s="271" t="s">
        <v>2376</v>
      </c>
    </row>
    <row r="547" spans="1:61" s="204" customFormat="1" ht="18" customHeight="1">
      <c r="A547" s="160" t="s">
        <v>510</v>
      </c>
      <c r="B547" s="58" t="s">
        <v>207</v>
      </c>
      <c r="C547" s="148" t="s">
        <v>861</v>
      </c>
      <c r="D547" s="33" t="s">
        <v>767</v>
      </c>
      <c r="E547" s="33"/>
      <c r="F547" s="33"/>
      <c r="G547" s="33"/>
      <c r="H547" s="30" t="s">
        <v>713</v>
      </c>
      <c r="I547" s="43">
        <v>1905</v>
      </c>
      <c r="J547" s="212">
        <v>42984</v>
      </c>
      <c r="K547" s="81"/>
      <c r="L547" s="81"/>
      <c r="M547" s="81">
        <v>39</v>
      </c>
      <c r="N547" s="81"/>
      <c r="O547" s="81">
        <v>39</v>
      </c>
      <c r="P547" s="81"/>
      <c r="Q547" s="81"/>
      <c r="R547" s="158"/>
      <c r="S547" s="158"/>
      <c r="T547" s="81"/>
      <c r="U547" s="94"/>
      <c r="V547" s="81"/>
      <c r="W547" s="311"/>
      <c r="X547" s="311"/>
      <c r="Y547" s="311"/>
      <c r="Z547" s="94"/>
      <c r="AA547" s="81"/>
      <c r="AB547" s="81"/>
      <c r="AC547" s="81"/>
      <c r="AD547" s="81"/>
      <c r="AE547" s="158"/>
      <c r="AF547" s="158">
        <f>P547-U547-Z547</f>
        <v>0</v>
      </c>
      <c r="AG547" s="158"/>
      <c r="AH547" s="94">
        <v>0</v>
      </c>
      <c r="AI547" s="94">
        <v>0</v>
      </c>
      <c r="AJ547" s="94"/>
      <c r="AK547" s="158">
        <f t="shared" ref="AK547" si="144">P547-R547-U547-Z547</f>
        <v>0</v>
      </c>
      <c r="AL547" s="158"/>
      <c r="AM547" s="158"/>
      <c r="AN547" s="158"/>
      <c r="AO547" s="158"/>
      <c r="AP547" s="98"/>
      <c r="AQ547" s="158">
        <v>39</v>
      </c>
      <c r="AR547" s="158"/>
      <c r="AS547" s="158"/>
      <c r="AT547" s="98">
        <v>0.88939999999999997</v>
      </c>
      <c r="AU547" s="58" t="s">
        <v>942</v>
      </c>
      <c r="AV547" s="348" t="s">
        <v>1258</v>
      </c>
      <c r="AW547" s="51"/>
      <c r="AX547" s="56"/>
      <c r="AY547" s="56"/>
      <c r="AZ547" s="56"/>
      <c r="BA547" s="56"/>
      <c r="BB547" s="56"/>
      <c r="BC547" s="291"/>
      <c r="BD547" s="291"/>
      <c r="BE547" s="291"/>
      <c r="BF547" s="271"/>
      <c r="BG547" s="271">
        <v>2019</v>
      </c>
      <c r="BH547" s="271">
        <v>2020</v>
      </c>
      <c r="BI547" s="271" t="s">
        <v>2375</v>
      </c>
    </row>
    <row r="548" spans="1:61" s="204" customFormat="1" ht="15" customHeight="1">
      <c r="A548" s="160" t="s">
        <v>510</v>
      </c>
      <c r="B548" s="58" t="s">
        <v>216</v>
      </c>
      <c r="C548" s="148" t="s">
        <v>883</v>
      </c>
      <c r="D548" s="33" t="s">
        <v>7</v>
      </c>
      <c r="E548" s="33"/>
      <c r="F548" s="33"/>
      <c r="G548" s="33"/>
      <c r="H548" s="30" t="s">
        <v>713</v>
      </c>
      <c r="I548" s="43"/>
      <c r="J548" s="212"/>
      <c r="K548" s="81"/>
      <c r="L548" s="81"/>
      <c r="M548" s="81"/>
      <c r="N548" s="81"/>
      <c r="O548" s="81"/>
      <c r="P548" s="81"/>
      <c r="Q548" s="81"/>
      <c r="R548" s="158"/>
      <c r="S548" s="158"/>
      <c r="T548" s="81"/>
      <c r="U548" s="94"/>
      <c r="V548" s="81"/>
      <c r="W548" s="311"/>
      <c r="X548" s="311"/>
      <c r="Y548" s="311"/>
      <c r="Z548" s="94"/>
      <c r="AA548" s="81"/>
      <c r="AB548" s="81"/>
      <c r="AC548" s="81"/>
      <c r="AD548" s="81"/>
      <c r="AE548" s="158"/>
      <c r="AF548" s="158"/>
      <c r="AG548" s="158"/>
      <c r="AH548" s="158"/>
      <c r="AI548" s="158"/>
      <c r="AJ548" s="158"/>
      <c r="AK548" s="158"/>
      <c r="AL548" s="158"/>
      <c r="AM548" s="158"/>
      <c r="AN548" s="158"/>
      <c r="AO548" s="158"/>
      <c r="AP548" s="158"/>
      <c r="AQ548" s="158"/>
      <c r="AR548" s="158"/>
      <c r="AS548" s="158"/>
      <c r="AT548" s="56">
        <v>1</v>
      </c>
      <c r="AU548" s="58" t="s">
        <v>646</v>
      </c>
      <c r="AV548" s="206"/>
      <c r="AW548" s="51"/>
      <c r="AX548" s="56"/>
      <c r="AY548" s="688">
        <v>38</v>
      </c>
      <c r="AZ548" s="158"/>
      <c r="BA548" s="158"/>
      <c r="BB548" s="158">
        <v>38</v>
      </c>
      <c r="BC548" s="69"/>
      <c r="BD548" s="69"/>
      <c r="BE548" s="69"/>
      <c r="BF548" s="271">
        <v>2018</v>
      </c>
      <c r="BG548" s="271"/>
      <c r="BH548" s="271"/>
      <c r="BI548" s="271" t="s">
        <v>2376</v>
      </c>
    </row>
    <row r="549" spans="1:61" s="204" customFormat="1" ht="15" customHeight="1">
      <c r="A549" s="160" t="s">
        <v>510</v>
      </c>
      <c r="B549" s="58" t="s">
        <v>216</v>
      </c>
      <c r="C549" s="148" t="s">
        <v>877</v>
      </c>
      <c r="D549" s="33" t="s">
        <v>7</v>
      </c>
      <c r="E549" s="33"/>
      <c r="F549" s="33"/>
      <c r="G549" s="33"/>
      <c r="H549" s="30" t="s">
        <v>715</v>
      </c>
      <c r="I549" s="43"/>
      <c r="J549" s="212"/>
      <c r="K549" s="81"/>
      <c r="L549" s="81"/>
      <c r="M549" s="81"/>
      <c r="N549" s="81"/>
      <c r="O549" s="81"/>
      <c r="P549" s="81"/>
      <c r="Q549" s="81"/>
      <c r="R549" s="158"/>
      <c r="S549" s="158"/>
      <c r="T549" s="81"/>
      <c r="U549" s="94"/>
      <c r="V549" s="81"/>
      <c r="W549" s="311"/>
      <c r="X549" s="311"/>
      <c r="Y549" s="311"/>
      <c r="Z549" s="94"/>
      <c r="AA549" s="81"/>
      <c r="AB549" s="81"/>
      <c r="AC549" s="81"/>
      <c r="AD549" s="81"/>
      <c r="AE549" s="158"/>
      <c r="AF549" s="158"/>
      <c r="AG549" s="158"/>
      <c r="AH549" s="158"/>
      <c r="AI549" s="158"/>
      <c r="AJ549" s="158"/>
      <c r="AK549" s="158"/>
      <c r="AL549" s="158"/>
      <c r="AM549" s="158"/>
      <c r="AN549" s="158"/>
      <c r="AO549" s="158"/>
      <c r="AP549" s="51"/>
      <c r="AQ549" s="51"/>
      <c r="AR549" s="51"/>
      <c r="AS549" s="51"/>
      <c r="AT549" s="56">
        <v>1</v>
      </c>
      <c r="AU549" s="58" t="s">
        <v>646</v>
      </c>
      <c r="AV549" s="206"/>
      <c r="AW549" s="51"/>
      <c r="AX549" s="56"/>
      <c r="AY549" s="51">
        <v>12</v>
      </c>
      <c r="AZ549" s="54"/>
      <c r="BA549" s="54"/>
      <c r="BB549" s="81"/>
      <c r="BC549" s="220">
        <v>12</v>
      </c>
      <c r="BD549" s="220">
        <v>12</v>
      </c>
      <c r="BE549" s="220"/>
      <c r="BF549" s="271">
        <v>2018</v>
      </c>
      <c r="BG549" s="271"/>
      <c r="BH549" s="271"/>
      <c r="BI549" s="271" t="s">
        <v>2375</v>
      </c>
    </row>
    <row r="550" spans="1:61" s="204" customFormat="1" ht="25.5" customHeight="1">
      <c r="A550" s="160" t="s">
        <v>510</v>
      </c>
      <c r="B550" s="58" t="s">
        <v>262</v>
      </c>
      <c r="C550" s="148" t="s">
        <v>884</v>
      </c>
      <c r="D550" s="33" t="s">
        <v>862</v>
      </c>
      <c r="E550" s="33"/>
      <c r="F550" s="33"/>
      <c r="G550" s="33"/>
      <c r="H550" s="30" t="s">
        <v>715</v>
      </c>
      <c r="I550" s="301" t="s">
        <v>1688</v>
      </c>
      <c r="J550" s="212">
        <v>43024</v>
      </c>
      <c r="K550" s="81"/>
      <c r="L550" s="81"/>
      <c r="M550" s="81"/>
      <c r="N550" s="81"/>
      <c r="O550" s="81"/>
      <c r="P550" s="158">
        <v>363370500</v>
      </c>
      <c r="Q550" s="158"/>
      <c r="R550" s="158"/>
      <c r="S550" s="158"/>
      <c r="T550" s="81"/>
      <c r="U550" s="94">
        <v>157006523</v>
      </c>
      <c r="V550" s="158"/>
      <c r="W550" s="311"/>
      <c r="X550" s="311"/>
      <c r="Y550" s="311"/>
      <c r="Z550" s="94">
        <v>206363977</v>
      </c>
      <c r="AA550" s="81"/>
      <c r="AB550" s="81"/>
      <c r="AC550" s="81"/>
      <c r="AD550" s="81"/>
      <c r="AE550" s="158"/>
      <c r="AF550" s="158">
        <f>P550-U550-Z550</f>
        <v>0</v>
      </c>
      <c r="AG550" s="158"/>
      <c r="AH550" s="158"/>
      <c r="AI550" s="158"/>
      <c r="AJ550" s="158"/>
      <c r="AK550" s="158"/>
      <c r="AL550" s="158">
        <v>877</v>
      </c>
      <c r="AM550" s="158">
        <v>10</v>
      </c>
      <c r="AN550" s="158"/>
      <c r="AO550" s="158"/>
      <c r="AP550" s="51"/>
      <c r="AQ550" s="51"/>
      <c r="AR550" s="51"/>
      <c r="AS550" s="51"/>
      <c r="AT550" s="56">
        <v>1</v>
      </c>
      <c r="AU550" s="58" t="s">
        <v>646</v>
      </c>
      <c r="AV550" s="206"/>
      <c r="AW550" s="51"/>
      <c r="AX550" s="56"/>
      <c r="AY550" s="74">
        <v>6</v>
      </c>
      <c r="AZ550" s="51"/>
      <c r="BA550" s="51"/>
      <c r="BB550" s="51">
        <v>6</v>
      </c>
      <c r="BC550" s="71"/>
      <c r="BD550" s="71"/>
      <c r="BE550" s="71"/>
      <c r="BF550" s="271">
        <v>2018</v>
      </c>
      <c r="BG550" s="271"/>
      <c r="BH550" s="271"/>
      <c r="BI550" s="271" t="s">
        <v>2376</v>
      </c>
    </row>
    <row r="551" spans="1:61" s="204" customFormat="1" ht="18" customHeight="1">
      <c r="A551" s="160" t="s">
        <v>510</v>
      </c>
      <c r="B551" s="58" t="s">
        <v>262</v>
      </c>
      <c r="C551" s="148" t="s">
        <v>884</v>
      </c>
      <c r="D551" s="33" t="s">
        <v>862</v>
      </c>
      <c r="E551" s="33"/>
      <c r="F551" s="33"/>
      <c r="G551" s="33"/>
      <c r="H551" s="30" t="s">
        <v>715</v>
      </c>
      <c r="I551" s="301" t="s">
        <v>1688</v>
      </c>
      <c r="J551" s="212">
        <v>43024</v>
      </c>
      <c r="K551" s="81"/>
      <c r="L551" s="81"/>
      <c r="M551" s="81">
        <v>1</v>
      </c>
      <c r="N551" s="81"/>
      <c r="O551" s="81"/>
      <c r="P551" s="158">
        <v>60561750</v>
      </c>
      <c r="Q551" s="158"/>
      <c r="R551" s="158"/>
      <c r="S551" s="158"/>
      <c r="T551" s="81"/>
      <c r="U551" s="94"/>
      <c r="V551" s="81"/>
      <c r="W551" s="311"/>
      <c r="X551" s="311"/>
      <c r="Y551" s="311"/>
      <c r="Z551" s="94"/>
      <c r="AA551" s="81"/>
      <c r="AB551" s="81"/>
      <c r="AC551" s="81"/>
      <c r="AD551" s="158">
        <v>60561750</v>
      </c>
      <c r="AE551" s="158"/>
      <c r="AF551" s="158">
        <f>P551-U551-Z551-AD551</f>
        <v>0</v>
      </c>
      <c r="AG551" s="158"/>
      <c r="AH551" s="94">
        <v>0</v>
      </c>
      <c r="AI551" s="94">
        <v>0</v>
      </c>
      <c r="AJ551" s="94"/>
      <c r="AK551" s="158">
        <f t="shared" ref="AK551" si="145">AF551+AH551</f>
        <v>0</v>
      </c>
      <c r="AL551" s="158">
        <v>877</v>
      </c>
      <c r="AM551" s="158">
        <v>10</v>
      </c>
      <c r="AN551" s="158"/>
      <c r="AO551" s="158"/>
      <c r="AP551" s="98"/>
      <c r="AQ551" s="81"/>
      <c r="AR551" s="81"/>
      <c r="AS551" s="81"/>
      <c r="AT551" s="98">
        <v>0</v>
      </c>
      <c r="AU551" s="58" t="s">
        <v>687</v>
      </c>
      <c r="AV551" s="395" t="s">
        <v>1367</v>
      </c>
      <c r="AW551" s="51"/>
      <c r="AX551" s="56"/>
      <c r="AY551" s="56"/>
      <c r="AZ551" s="56"/>
      <c r="BA551" s="56"/>
      <c r="BB551" s="56"/>
      <c r="BC551" s="291"/>
      <c r="BD551" s="291"/>
      <c r="BE551" s="69">
        <v>1</v>
      </c>
      <c r="BF551" s="271" t="s">
        <v>1706</v>
      </c>
      <c r="BG551" s="271">
        <v>2019</v>
      </c>
      <c r="BH551" s="271"/>
      <c r="BI551" s="271" t="s">
        <v>2375</v>
      </c>
    </row>
    <row r="552" spans="1:61" s="204" customFormat="1" ht="15" customHeight="1">
      <c r="A552" s="160" t="s">
        <v>510</v>
      </c>
      <c r="B552" s="58" t="s">
        <v>280</v>
      </c>
      <c r="C552" s="148" t="s">
        <v>863</v>
      </c>
      <c r="D552" s="33" t="s">
        <v>864</v>
      </c>
      <c r="E552" s="33"/>
      <c r="F552" s="33"/>
      <c r="G552" s="33"/>
      <c r="H552" s="30" t="s">
        <v>715</v>
      </c>
      <c r="I552" s="43"/>
      <c r="J552" s="212"/>
      <c r="K552" s="81"/>
      <c r="L552" s="81"/>
      <c r="M552" s="81"/>
      <c r="N552" s="81"/>
      <c r="O552" s="81"/>
      <c r="P552" s="81"/>
      <c r="Q552" s="81"/>
      <c r="R552" s="158"/>
      <c r="S552" s="158"/>
      <c r="T552" s="81"/>
      <c r="U552" s="94"/>
      <c r="V552" s="81"/>
      <c r="W552" s="311"/>
      <c r="X552" s="311"/>
      <c r="Y552" s="311"/>
      <c r="Z552" s="94"/>
      <c r="AA552" s="81"/>
      <c r="AB552" s="81"/>
      <c r="AC552" s="81"/>
      <c r="AD552" s="81"/>
      <c r="AE552" s="158"/>
      <c r="AF552" s="158"/>
      <c r="AG552" s="158"/>
      <c r="AH552" s="158"/>
      <c r="AI552" s="158"/>
      <c r="AJ552" s="158"/>
      <c r="AK552" s="158"/>
      <c r="AL552" s="158"/>
      <c r="AM552" s="158"/>
      <c r="AN552" s="158"/>
      <c r="AO552" s="158"/>
      <c r="AP552" s="51"/>
      <c r="AQ552" s="51"/>
      <c r="AR552" s="51"/>
      <c r="AS552" s="51"/>
      <c r="AT552" s="56">
        <v>1</v>
      </c>
      <c r="AU552" s="58" t="s">
        <v>646</v>
      </c>
      <c r="AV552" s="206"/>
      <c r="AW552" s="51"/>
      <c r="AX552" s="56"/>
      <c r="AY552" s="74">
        <v>31</v>
      </c>
      <c r="AZ552" s="51"/>
      <c r="BA552" s="51"/>
      <c r="BB552" s="51">
        <v>31</v>
      </c>
      <c r="BC552" s="71"/>
      <c r="BD552" s="71"/>
      <c r="BE552" s="71"/>
      <c r="BF552" s="271">
        <v>2018</v>
      </c>
      <c r="BG552" s="271"/>
      <c r="BH552" s="271"/>
      <c r="BI552" s="271" t="s">
        <v>2376</v>
      </c>
    </row>
    <row r="553" spans="1:61" s="204" customFormat="1" ht="15" customHeight="1">
      <c r="A553" s="160" t="s">
        <v>510</v>
      </c>
      <c r="B553" s="58" t="s">
        <v>280</v>
      </c>
      <c r="C553" s="148" t="s">
        <v>865</v>
      </c>
      <c r="D553" s="33" t="s">
        <v>864</v>
      </c>
      <c r="E553" s="33"/>
      <c r="F553" s="33"/>
      <c r="G553" s="33"/>
      <c r="H553" s="30" t="s">
        <v>715</v>
      </c>
      <c r="I553" s="43"/>
      <c r="J553" s="212"/>
      <c r="K553" s="81"/>
      <c r="L553" s="81"/>
      <c r="M553" s="81"/>
      <c r="N553" s="81"/>
      <c r="O553" s="81"/>
      <c r="P553" s="81"/>
      <c r="Q553" s="81"/>
      <c r="R553" s="158"/>
      <c r="S553" s="158"/>
      <c r="T553" s="81"/>
      <c r="U553" s="94"/>
      <c r="V553" s="81"/>
      <c r="W553" s="311"/>
      <c r="X553" s="311"/>
      <c r="Y553" s="311"/>
      <c r="Z553" s="94"/>
      <c r="AA553" s="81"/>
      <c r="AB553" s="81"/>
      <c r="AC553" s="81"/>
      <c r="AD553" s="81"/>
      <c r="AE553" s="158"/>
      <c r="AF553" s="158"/>
      <c r="AG553" s="158"/>
      <c r="AH553" s="158"/>
      <c r="AI553" s="158"/>
      <c r="AJ553" s="158"/>
      <c r="AK553" s="158"/>
      <c r="AL553" s="158"/>
      <c r="AM553" s="158"/>
      <c r="AN553" s="158"/>
      <c r="AO553" s="158"/>
      <c r="AP553" s="51"/>
      <c r="AQ553" s="51"/>
      <c r="AR553" s="51"/>
      <c r="AS553" s="51"/>
      <c r="AT553" s="56">
        <v>1</v>
      </c>
      <c r="AU553" s="58" t="s">
        <v>646</v>
      </c>
      <c r="AV553" s="206"/>
      <c r="AW553" s="51"/>
      <c r="AX553" s="56"/>
      <c r="AY553" s="74">
        <v>11</v>
      </c>
      <c r="AZ553" s="51"/>
      <c r="BA553" s="51"/>
      <c r="BB553" s="51">
        <v>11</v>
      </c>
      <c r="BC553" s="71"/>
      <c r="BD553" s="71"/>
      <c r="BE553" s="71"/>
      <c r="BF553" s="271">
        <v>2018</v>
      </c>
      <c r="BG553" s="271"/>
      <c r="BH553" s="271"/>
      <c r="BI553" s="271" t="s">
        <v>2376</v>
      </c>
    </row>
    <row r="554" spans="1:61" s="204" customFormat="1" ht="15" customHeight="1">
      <c r="A554" s="160" t="s">
        <v>510</v>
      </c>
      <c r="B554" s="58" t="s">
        <v>280</v>
      </c>
      <c r="C554" s="148" t="s">
        <v>866</v>
      </c>
      <c r="D554" s="33" t="s">
        <v>862</v>
      </c>
      <c r="E554" s="33"/>
      <c r="F554" s="33"/>
      <c r="G554" s="33"/>
      <c r="H554" s="30" t="s">
        <v>715</v>
      </c>
      <c r="I554" s="43"/>
      <c r="J554" s="212"/>
      <c r="K554" s="81"/>
      <c r="L554" s="81"/>
      <c r="M554" s="81"/>
      <c r="N554" s="81"/>
      <c r="O554" s="81"/>
      <c r="P554" s="81"/>
      <c r="Q554" s="81"/>
      <c r="R554" s="158"/>
      <c r="S554" s="158"/>
      <c r="T554" s="81"/>
      <c r="U554" s="94"/>
      <c r="V554" s="81"/>
      <c r="W554" s="311"/>
      <c r="X554" s="311"/>
      <c r="Y554" s="311"/>
      <c r="Z554" s="94"/>
      <c r="AA554" s="81"/>
      <c r="AB554" s="81"/>
      <c r="AC554" s="81"/>
      <c r="AD554" s="81"/>
      <c r="AE554" s="158"/>
      <c r="AF554" s="158"/>
      <c r="AG554" s="158"/>
      <c r="AH554" s="158"/>
      <c r="AI554" s="158"/>
      <c r="AJ554" s="158"/>
      <c r="AK554" s="158"/>
      <c r="AL554" s="158"/>
      <c r="AM554" s="158"/>
      <c r="AN554" s="158"/>
      <c r="AO554" s="158"/>
      <c r="AP554" s="51"/>
      <c r="AQ554" s="51"/>
      <c r="AR554" s="51"/>
      <c r="AS554" s="51"/>
      <c r="AT554" s="56">
        <v>1</v>
      </c>
      <c r="AU554" s="58" t="s">
        <v>646</v>
      </c>
      <c r="AV554" s="206"/>
      <c r="AW554" s="51"/>
      <c r="AX554" s="56"/>
      <c r="AY554" s="51">
        <v>34</v>
      </c>
      <c r="AZ554" s="51"/>
      <c r="BA554" s="51"/>
      <c r="BB554" s="51"/>
      <c r="BC554" s="71">
        <v>34</v>
      </c>
      <c r="BD554" s="71">
        <v>34</v>
      </c>
      <c r="BE554" s="71"/>
      <c r="BF554" s="271">
        <v>2018</v>
      </c>
      <c r="BG554" s="271"/>
      <c r="BH554" s="271"/>
      <c r="BI554" s="271" t="s">
        <v>2375</v>
      </c>
    </row>
    <row r="555" spans="1:61" s="204" customFormat="1" ht="15" customHeight="1">
      <c r="A555" s="160" t="s">
        <v>510</v>
      </c>
      <c r="B555" s="58" t="s">
        <v>280</v>
      </c>
      <c r="C555" s="148" t="s">
        <v>867</v>
      </c>
      <c r="D555" s="33" t="s">
        <v>864</v>
      </c>
      <c r="E555" s="33"/>
      <c r="F555" s="33"/>
      <c r="G555" s="33"/>
      <c r="H555" s="30" t="s">
        <v>715</v>
      </c>
      <c r="I555" s="43"/>
      <c r="J555" s="212"/>
      <c r="K555" s="81"/>
      <c r="L555" s="81"/>
      <c r="M555" s="81"/>
      <c r="N555" s="81"/>
      <c r="O555" s="81"/>
      <c r="P555" s="81"/>
      <c r="Q555" s="81"/>
      <c r="R555" s="158"/>
      <c r="S555" s="158"/>
      <c r="T555" s="81"/>
      <c r="U555" s="94"/>
      <c r="V555" s="81"/>
      <c r="W555" s="311"/>
      <c r="X555" s="311"/>
      <c r="Y555" s="311"/>
      <c r="Z555" s="94"/>
      <c r="AA555" s="81"/>
      <c r="AB555" s="81"/>
      <c r="AC555" s="81"/>
      <c r="AD555" s="81"/>
      <c r="AE555" s="158"/>
      <c r="AF555" s="158"/>
      <c r="AG555" s="158"/>
      <c r="AH555" s="158"/>
      <c r="AI555" s="158"/>
      <c r="AJ555" s="158"/>
      <c r="AK555" s="158"/>
      <c r="AL555" s="158"/>
      <c r="AM555" s="158"/>
      <c r="AN555" s="158"/>
      <c r="AO555" s="158"/>
      <c r="AP555" s="51"/>
      <c r="AQ555" s="51"/>
      <c r="AR555" s="51"/>
      <c r="AS555" s="51"/>
      <c r="AT555" s="56">
        <v>1</v>
      </c>
      <c r="AU555" s="58" t="s">
        <v>646</v>
      </c>
      <c r="AV555" s="206"/>
      <c r="AW555" s="51"/>
      <c r="AX555" s="56"/>
      <c r="AY555" s="51">
        <v>42</v>
      </c>
      <c r="AZ555" s="51"/>
      <c r="BA555" s="51"/>
      <c r="BB555" s="54"/>
      <c r="BC555" s="71">
        <v>42</v>
      </c>
      <c r="BD555" s="69">
        <f>+AY555</f>
        <v>42</v>
      </c>
      <c r="BE555" s="69"/>
      <c r="BF555" s="271">
        <v>2018</v>
      </c>
      <c r="BG555" s="271"/>
      <c r="BH555" s="271"/>
      <c r="BI555" s="271" t="s">
        <v>2375</v>
      </c>
    </row>
    <row r="556" spans="1:61" s="204" customFormat="1" ht="15" customHeight="1">
      <c r="A556" s="160" t="s">
        <v>510</v>
      </c>
      <c r="B556" s="58" t="s">
        <v>280</v>
      </c>
      <c r="C556" s="148" t="s">
        <v>868</v>
      </c>
      <c r="D556" s="33" t="s">
        <v>864</v>
      </c>
      <c r="E556" s="33"/>
      <c r="F556" s="33"/>
      <c r="G556" s="33"/>
      <c r="H556" s="30" t="s">
        <v>715</v>
      </c>
      <c r="I556" s="43"/>
      <c r="J556" s="212"/>
      <c r="K556" s="81"/>
      <c r="L556" s="81"/>
      <c r="M556" s="81"/>
      <c r="N556" s="81"/>
      <c r="O556" s="81"/>
      <c r="P556" s="81"/>
      <c r="Q556" s="81"/>
      <c r="R556" s="158"/>
      <c r="S556" s="158"/>
      <c r="T556" s="81"/>
      <c r="U556" s="94"/>
      <c r="V556" s="81"/>
      <c r="W556" s="311"/>
      <c r="X556" s="311"/>
      <c r="Y556" s="311"/>
      <c r="Z556" s="94"/>
      <c r="AA556" s="81"/>
      <c r="AB556" s="81"/>
      <c r="AC556" s="81"/>
      <c r="AD556" s="81"/>
      <c r="AE556" s="158"/>
      <c r="AF556" s="158"/>
      <c r="AG556" s="158"/>
      <c r="AH556" s="158"/>
      <c r="AI556" s="158"/>
      <c r="AJ556" s="158"/>
      <c r="AK556" s="158"/>
      <c r="AL556" s="158"/>
      <c r="AM556" s="158"/>
      <c r="AN556" s="158"/>
      <c r="AO556" s="158"/>
      <c r="AP556" s="51"/>
      <c r="AQ556" s="51"/>
      <c r="AR556" s="51"/>
      <c r="AS556" s="51"/>
      <c r="AT556" s="56">
        <v>1</v>
      </c>
      <c r="AU556" s="58" t="s">
        <v>646</v>
      </c>
      <c r="AV556" s="206"/>
      <c r="AW556" s="51"/>
      <c r="AX556" s="56"/>
      <c r="AY556" s="74">
        <v>34</v>
      </c>
      <c r="AZ556" s="51"/>
      <c r="BA556" s="51"/>
      <c r="BB556" s="51">
        <v>34</v>
      </c>
      <c r="BC556" s="71"/>
      <c r="BD556" s="71"/>
      <c r="BE556" s="71"/>
      <c r="BF556" s="271">
        <v>2018</v>
      </c>
      <c r="BG556" s="271"/>
      <c r="BH556" s="271"/>
      <c r="BI556" s="271" t="s">
        <v>2376</v>
      </c>
    </row>
    <row r="557" spans="1:61" s="204" customFormat="1" ht="15" customHeight="1">
      <c r="A557" s="160" t="s">
        <v>510</v>
      </c>
      <c r="B557" s="58" t="s">
        <v>280</v>
      </c>
      <c r="C557" s="148" t="s">
        <v>869</v>
      </c>
      <c r="D557" s="33" t="s">
        <v>870</v>
      </c>
      <c r="E557" s="33"/>
      <c r="F557" s="33"/>
      <c r="G557" s="33"/>
      <c r="H557" s="30" t="s">
        <v>715</v>
      </c>
      <c r="I557" s="43"/>
      <c r="J557" s="212"/>
      <c r="K557" s="81"/>
      <c r="L557" s="81"/>
      <c r="M557" s="81"/>
      <c r="N557" s="81"/>
      <c r="O557" s="81"/>
      <c r="P557" s="81"/>
      <c r="Q557" s="81"/>
      <c r="R557" s="158"/>
      <c r="S557" s="158"/>
      <c r="T557" s="81"/>
      <c r="U557" s="94"/>
      <c r="V557" s="81"/>
      <c r="W557" s="311"/>
      <c r="X557" s="311"/>
      <c r="Y557" s="311"/>
      <c r="Z557" s="94"/>
      <c r="AA557" s="81"/>
      <c r="AB557" s="81"/>
      <c r="AC557" s="81"/>
      <c r="AD557" s="81"/>
      <c r="AE557" s="158"/>
      <c r="AF557" s="158"/>
      <c r="AG557" s="158"/>
      <c r="AH557" s="158"/>
      <c r="AI557" s="158"/>
      <c r="AJ557" s="158"/>
      <c r="AK557" s="158"/>
      <c r="AL557" s="158"/>
      <c r="AM557" s="158"/>
      <c r="AN557" s="158"/>
      <c r="AO557" s="158"/>
      <c r="AP557" s="51"/>
      <c r="AQ557" s="51"/>
      <c r="AR557" s="51"/>
      <c r="AS557" s="51"/>
      <c r="AT557" s="56">
        <v>1</v>
      </c>
      <c r="AU557" s="58" t="s">
        <v>646</v>
      </c>
      <c r="AV557" s="206"/>
      <c r="AW557" s="51"/>
      <c r="AX557" s="56"/>
      <c r="AY557" s="74">
        <v>24</v>
      </c>
      <c r="AZ557" s="51"/>
      <c r="BA557" s="51"/>
      <c r="BB557" s="51">
        <v>24</v>
      </c>
      <c r="BC557" s="71"/>
      <c r="BD557" s="71"/>
      <c r="BE557" s="71"/>
      <c r="BF557" s="271">
        <v>2018</v>
      </c>
      <c r="BG557" s="271"/>
      <c r="BH557" s="271"/>
      <c r="BI557" s="271" t="s">
        <v>2376</v>
      </c>
    </row>
    <row r="558" spans="1:61" s="204" customFormat="1" ht="15" customHeight="1">
      <c r="A558" s="160" t="s">
        <v>510</v>
      </c>
      <c r="B558" s="58" t="s">
        <v>280</v>
      </c>
      <c r="C558" s="148" t="s">
        <v>869</v>
      </c>
      <c r="D558" s="33" t="s">
        <v>870</v>
      </c>
      <c r="E558" s="33"/>
      <c r="F558" s="33"/>
      <c r="G558" s="33"/>
      <c r="H558" s="30" t="s">
        <v>715</v>
      </c>
      <c r="I558" s="43"/>
      <c r="J558" s="212"/>
      <c r="K558" s="81"/>
      <c r="L558" s="81"/>
      <c r="M558" s="81"/>
      <c r="N558" s="81"/>
      <c r="O558" s="81"/>
      <c r="P558" s="81"/>
      <c r="Q558" s="81"/>
      <c r="R558" s="158"/>
      <c r="S558" s="158"/>
      <c r="T558" s="81"/>
      <c r="U558" s="94"/>
      <c r="V558" s="81"/>
      <c r="W558" s="311"/>
      <c r="X558" s="311"/>
      <c r="Y558" s="311"/>
      <c r="Z558" s="94"/>
      <c r="AA558" s="81"/>
      <c r="AB558" s="81"/>
      <c r="AC558" s="81"/>
      <c r="AD558" s="81"/>
      <c r="AE558" s="158"/>
      <c r="AF558" s="158"/>
      <c r="AG558" s="158"/>
      <c r="AH558" s="158"/>
      <c r="AI558" s="158"/>
      <c r="AJ558" s="158"/>
      <c r="AK558" s="158"/>
      <c r="AL558" s="158"/>
      <c r="AM558" s="158"/>
      <c r="AN558" s="158"/>
      <c r="AO558" s="158"/>
      <c r="AP558" s="51"/>
      <c r="AQ558" s="51"/>
      <c r="AR558" s="51"/>
      <c r="AS558" s="51"/>
      <c r="AT558" s="56">
        <v>1</v>
      </c>
      <c r="AU558" s="58" t="s">
        <v>646</v>
      </c>
      <c r="AV558" s="206"/>
      <c r="AW558" s="51"/>
      <c r="AX558" s="56"/>
      <c r="AY558" s="74">
        <v>1</v>
      </c>
      <c r="AZ558" s="51"/>
      <c r="BA558" s="51"/>
      <c r="BB558" s="51">
        <v>1</v>
      </c>
      <c r="BC558" s="71"/>
      <c r="BD558" s="71"/>
      <c r="BE558" s="71"/>
      <c r="BF558" s="271">
        <v>2018</v>
      </c>
      <c r="BG558" s="271"/>
      <c r="BH558" s="271"/>
      <c r="BI558" s="271" t="s">
        <v>2376</v>
      </c>
    </row>
    <row r="559" spans="1:61" s="204" customFormat="1" ht="15" customHeight="1">
      <c r="A559" s="160" t="s">
        <v>510</v>
      </c>
      <c r="B559" s="58" t="s">
        <v>280</v>
      </c>
      <c r="C559" s="148" t="s">
        <v>878</v>
      </c>
      <c r="D559" s="33" t="s">
        <v>870</v>
      </c>
      <c r="E559" s="33"/>
      <c r="F559" s="33"/>
      <c r="G559" s="33"/>
      <c r="H559" s="30" t="s">
        <v>715</v>
      </c>
      <c r="I559" s="43"/>
      <c r="J559" s="212"/>
      <c r="K559" s="81"/>
      <c r="L559" s="81"/>
      <c r="M559" s="81"/>
      <c r="N559" s="81"/>
      <c r="O559" s="81"/>
      <c r="P559" s="81"/>
      <c r="Q559" s="81"/>
      <c r="R559" s="158"/>
      <c r="S559" s="158"/>
      <c r="T559" s="81"/>
      <c r="U559" s="94"/>
      <c r="V559" s="81"/>
      <c r="W559" s="311"/>
      <c r="X559" s="311"/>
      <c r="Y559" s="311"/>
      <c r="Z559" s="94"/>
      <c r="AA559" s="81"/>
      <c r="AB559" s="81"/>
      <c r="AC559" s="81"/>
      <c r="AD559" s="81"/>
      <c r="AE559" s="158"/>
      <c r="AF559" s="158"/>
      <c r="AG559" s="158"/>
      <c r="AH559" s="158"/>
      <c r="AI559" s="158"/>
      <c r="AJ559" s="158"/>
      <c r="AK559" s="158"/>
      <c r="AL559" s="158"/>
      <c r="AM559" s="158"/>
      <c r="AN559" s="158"/>
      <c r="AO559" s="158"/>
      <c r="AP559" s="51"/>
      <c r="AQ559" s="51"/>
      <c r="AR559" s="51"/>
      <c r="AS559" s="51"/>
      <c r="AT559" s="56">
        <v>1</v>
      </c>
      <c r="AU559" s="58" t="s">
        <v>646</v>
      </c>
      <c r="AV559" s="206"/>
      <c r="AW559" s="51"/>
      <c r="AX559" s="56"/>
      <c r="AY559" s="74">
        <v>17</v>
      </c>
      <c r="AZ559" s="51"/>
      <c r="BA559" s="51"/>
      <c r="BB559" s="51">
        <v>17</v>
      </c>
      <c r="BC559" s="71"/>
      <c r="BD559" s="71"/>
      <c r="BE559" s="71"/>
      <c r="BF559" s="271">
        <v>2018</v>
      </c>
      <c r="BG559" s="271"/>
      <c r="BH559" s="271"/>
      <c r="BI559" s="271" t="s">
        <v>2376</v>
      </c>
    </row>
    <row r="560" spans="1:61" s="204" customFormat="1" ht="15" customHeight="1">
      <c r="A560" s="160" t="s">
        <v>510</v>
      </c>
      <c r="B560" s="58" t="s">
        <v>280</v>
      </c>
      <c r="C560" s="148" t="s">
        <v>878</v>
      </c>
      <c r="D560" s="33" t="s">
        <v>870</v>
      </c>
      <c r="E560" s="33"/>
      <c r="F560" s="33"/>
      <c r="G560" s="33"/>
      <c r="H560" s="30" t="s">
        <v>715</v>
      </c>
      <c r="I560" s="43"/>
      <c r="J560" s="212"/>
      <c r="K560" s="81"/>
      <c r="L560" s="81"/>
      <c r="M560" s="81"/>
      <c r="N560" s="81"/>
      <c r="O560" s="81"/>
      <c r="P560" s="81"/>
      <c r="Q560" s="81"/>
      <c r="R560" s="158"/>
      <c r="S560" s="158"/>
      <c r="T560" s="81"/>
      <c r="U560" s="94">
        <v>62817827</v>
      </c>
      <c r="V560" s="81">
        <v>10</v>
      </c>
      <c r="W560" s="311">
        <v>43313</v>
      </c>
      <c r="X560" s="311"/>
      <c r="Y560" s="311"/>
      <c r="Z560" s="94"/>
      <c r="AA560" s="81"/>
      <c r="AB560" s="81"/>
      <c r="AC560" s="81"/>
      <c r="AD560" s="81"/>
      <c r="AE560" s="158"/>
      <c r="AF560" s="158"/>
      <c r="AG560" s="158"/>
      <c r="AH560" s="158"/>
      <c r="AI560" s="158"/>
      <c r="AJ560" s="158"/>
      <c r="AK560" s="158"/>
      <c r="AL560" s="158"/>
      <c r="AM560" s="158"/>
      <c r="AN560" s="158"/>
      <c r="AO560" s="158"/>
      <c r="AP560" s="51"/>
      <c r="AQ560" s="51"/>
      <c r="AR560" s="51"/>
      <c r="AS560" s="51"/>
      <c r="AT560" s="56">
        <v>1</v>
      </c>
      <c r="AU560" s="58" t="s">
        <v>646</v>
      </c>
      <c r="AV560" s="206"/>
      <c r="AW560" s="51"/>
      <c r="AX560" s="56"/>
      <c r="AY560" s="74">
        <v>1</v>
      </c>
      <c r="AZ560" s="51"/>
      <c r="BA560" s="51"/>
      <c r="BB560" s="51">
        <v>1</v>
      </c>
      <c r="BC560" s="71"/>
      <c r="BD560" s="71"/>
      <c r="BE560" s="71"/>
      <c r="BF560" s="271">
        <v>2018</v>
      </c>
      <c r="BG560" s="271"/>
      <c r="BH560" s="271"/>
      <c r="BI560" s="271" t="s">
        <v>2376</v>
      </c>
    </row>
    <row r="561" spans="1:61" s="204" customFormat="1" ht="18" customHeight="1">
      <c r="A561" s="160" t="s">
        <v>510</v>
      </c>
      <c r="B561" s="58" t="s">
        <v>197</v>
      </c>
      <c r="C561" s="148" t="s">
        <v>879</v>
      </c>
      <c r="D561" s="33" t="s">
        <v>871</v>
      </c>
      <c r="E561" s="33"/>
      <c r="F561" s="33"/>
      <c r="G561" s="33"/>
      <c r="H561" s="30" t="s">
        <v>715</v>
      </c>
      <c r="I561" s="43">
        <v>2525</v>
      </c>
      <c r="J561" s="212">
        <v>43045</v>
      </c>
      <c r="K561" s="81"/>
      <c r="L561" s="81">
        <v>28</v>
      </c>
      <c r="M561" s="81"/>
      <c r="N561" s="81"/>
      <c r="O561" s="81"/>
      <c r="P561" s="81"/>
      <c r="Q561" s="81"/>
      <c r="R561" s="158"/>
      <c r="S561" s="158"/>
      <c r="T561" s="81"/>
      <c r="U561" s="94"/>
      <c r="V561" s="81"/>
      <c r="W561" s="311"/>
      <c r="X561" s="311"/>
      <c r="Y561" s="311"/>
      <c r="Z561" s="94"/>
      <c r="AA561" s="81"/>
      <c r="AB561" s="81"/>
      <c r="AC561" s="81"/>
      <c r="AD561" s="81"/>
      <c r="AE561" s="158"/>
      <c r="AF561" s="158">
        <f>P561-U561-Z561</f>
        <v>0</v>
      </c>
      <c r="AG561" s="158"/>
      <c r="AH561" s="94">
        <v>0</v>
      </c>
      <c r="AI561" s="94">
        <v>0</v>
      </c>
      <c r="AJ561" s="94"/>
      <c r="AK561" s="158">
        <f t="shared" ref="AK561" si="146">AF561+AH561</f>
        <v>0</v>
      </c>
      <c r="AL561" s="158"/>
      <c r="AM561" s="158"/>
      <c r="AN561" s="158"/>
      <c r="AO561" s="158"/>
      <c r="AP561" s="81"/>
      <c r="AQ561" s="81"/>
      <c r="AR561" s="81"/>
      <c r="AS561" s="81"/>
      <c r="AT561" s="98">
        <v>1</v>
      </c>
      <c r="AU561" s="58" t="s">
        <v>646</v>
      </c>
      <c r="AV561" s="348"/>
      <c r="AW561" s="51"/>
      <c r="AX561" s="56"/>
      <c r="AY561" s="56"/>
      <c r="AZ561" s="81">
        <v>28</v>
      </c>
      <c r="BA561" s="81"/>
      <c r="BB561" s="81"/>
      <c r="BC561" s="220"/>
      <c r="BD561" s="220">
        <v>28</v>
      </c>
      <c r="BE561" s="220"/>
      <c r="BF561" s="271">
        <v>2019</v>
      </c>
      <c r="BG561" s="271">
        <v>2019</v>
      </c>
      <c r="BH561" s="271"/>
      <c r="BI561" s="271" t="s">
        <v>2375</v>
      </c>
    </row>
    <row r="562" spans="1:61" s="204" customFormat="1" ht="15" customHeight="1">
      <c r="A562" s="160" t="s">
        <v>510</v>
      </c>
      <c r="B562" s="58" t="s">
        <v>197</v>
      </c>
      <c r="C562" s="148" t="s">
        <v>880</v>
      </c>
      <c r="D562" s="33" t="s">
        <v>864</v>
      </c>
      <c r="E562" s="33"/>
      <c r="F562" s="33"/>
      <c r="G562" s="33"/>
      <c r="H562" s="30" t="s">
        <v>715</v>
      </c>
      <c r="I562" s="43"/>
      <c r="J562" s="212"/>
      <c r="K562" s="81"/>
      <c r="L562" s="81"/>
      <c r="M562" s="81"/>
      <c r="N562" s="81"/>
      <c r="O562" s="81"/>
      <c r="P562" s="81"/>
      <c r="Q562" s="81"/>
      <c r="R562" s="158"/>
      <c r="S562" s="158"/>
      <c r="T562" s="81"/>
      <c r="U562" s="94"/>
      <c r="V562" s="81"/>
      <c r="W562" s="311"/>
      <c r="X562" s="311"/>
      <c r="Y562" s="311"/>
      <c r="Z562" s="94"/>
      <c r="AA562" s="81"/>
      <c r="AB562" s="81"/>
      <c r="AC562" s="81"/>
      <c r="AD562" s="81"/>
      <c r="AE562" s="158"/>
      <c r="AF562" s="158"/>
      <c r="AG562" s="158"/>
      <c r="AH562" s="158"/>
      <c r="AI562" s="158"/>
      <c r="AJ562" s="158"/>
      <c r="AK562" s="158"/>
      <c r="AL562" s="158"/>
      <c r="AM562" s="158"/>
      <c r="AN562" s="158"/>
      <c r="AO562" s="158"/>
      <c r="AP562" s="51"/>
      <c r="AQ562" s="51"/>
      <c r="AR562" s="51"/>
      <c r="AS562" s="51"/>
      <c r="AT562" s="56">
        <v>1</v>
      </c>
      <c r="AU562" s="58" t="s">
        <v>646</v>
      </c>
      <c r="AV562" s="206"/>
      <c r="AW562" s="51"/>
      <c r="AX562" s="56"/>
      <c r="AY562" s="74">
        <v>20</v>
      </c>
      <c r="AZ562" s="51"/>
      <c r="BA562" s="51"/>
      <c r="BB562" s="51">
        <v>20</v>
      </c>
      <c r="BC562" s="71"/>
      <c r="BD562" s="71"/>
      <c r="BE562" s="71"/>
      <c r="BF562" s="271">
        <v>2018</v>
      </c>
      <c r="BG562" s="271"/>
      <c r="BH562" s="271"/>
      <c r="BI562" s="271" t="s">
        <v>2376</v>
      </c>
    </row>
    <row r="563" spans="1:61" s="204" customFormat="1" ht="18" customHeight="1">
      <c r="A563" s="160" t="s">
        <v>510</v>
      </c>
      <c r="B563" s="58" t="s">
        <v>280</v>
      </c>
      <c r="C563" s="148" t="s">
        <v>885</v>
      </c>
      <c r="D563" s="33" t="s">
        <v>743</v>
      </c>
      <c r="E563" s="33"/>
      <c r="F563" s="33"/>
      <c r="G563" s="33"/>
      <c r="H563" s="30" t="s">
        <v>720</v>
      </c>
      <c r="I563" s="43">
        <v>3032</v>
      </c>
      <c r="J563" s="212">
        <v>43091</v>
      </c>
      <c r="K563" s="81"/>
      <c r="L563" s="81">
        <v>64</v>
      </c>
      <c r="M563" s="81"/>
      <c r="N563" s="81"/>
      <c r="O563" s="81"/>
      <c r="P563" s="81"/>
      <c r="Q563" s="81"/>
      <c r="R563" s="158"/>
      <c r="S563" s="158"/>
      <c r="T563" s="81"/>
      <c r="U563" s="94"/>
      <c r="V563" s="81"/>
      <c r="W563" s="311"/>
      <c r="X563" s="311"/>
      <c r="Y563" s="311"/>
      <c r="Z563" s="94"/>
      <c r="AA563" s="81"/>
      <c r="AB563" s="81"/>
      <c r="AC563" s="81"/>
      <c r="AD563" s="81"/>
      <c r="AE563" s="158"/>
      <c r="AF563" s="158">
        <f t="shared" ref="AF563:AF573" si="147">P563-U563-Z563</f>
        <v>0</v>
      </c>
      <c r="AG563" s="158"/>
      <c r="AH563" s="94">
        <v>0</v>
      </c>
      <c r="AI563" s="94">
        <v>0</v>
      </c>
      <c r="AJ563" s="94"/>
      <c r="AK563" s="158">
        <f t="shared" ref="AK563:AK610" si="148">AF563+AH563</f>
        <v>0</v>
      </c>
      <c r="AL563" s="158"/>
      <c r="AM563" s="158"/>
      <c r="AN563" s="158"/>
      <c r="AO563" s="158"/>
      <c r="AP563" s="81"/>
      <c r="AQ563" s="81"/>
      <c r="AR563" s="81"/>
      <c r="AS563" s="81"/>
      <c r="AT563" s="98">
        <v>1</v>
      </c>
      <c r="AU563" s="58" t="s">
        <v>646</v>
      </c>
      <c r="AV563" s="348"/>
      <c r="AW563" s="51"/>
      <c r="AX563" s="56"/>
      <c r="AY563" s="56"/>
      <c r="AZ563" s="81">
        <v>64</v>
      </c>
      <c r="BA563" s="81"/>
      <c r="BB563" s="81"/>
      <c r="BC563" s="220"/>
      <c r="BD563" s="220">
        <v>64</v>
      </c>
      <c r="BE563" s="220"/>
      <c r="BF563" s="271">
        <v>2019</v>
      </c>
      <c r="BG563" s="271">
        <v>2019</v>
      </c>
      <c r="BH563" s="271"/>
      <c r="BI563" s="271" t="s">
        <v>2375</v>
      </c>
    </row>
    <row r="564" spans="1:61" s="204" customFormat="1" ht="18" customHeight="1">
      <c r="A564" s="160" t="s">
        <v>510</v>
      </c>
      <c r="B564" s="58" t="s">
        <v>262</v>
      </c>
      <c r="C564" s="148" t="s">
        <v>872</v>
      </c>
      <c r="D564" s="33" t="s">
        <v>743</v>
      </c>
      <c r="E564" s="33"/>
      <c r="F564" s="33"/>
      <c r="G564" s="33"/>
      <c r="H564" s="30" t="s">
        <v>720</v>
      </c>
      <c r="I564" s="43">
        <v>3034</v>
      </c>
      <c r="J564" s="212">
        <v>43091</v>
      </c>
      <c r="K564" s="81"/>
      <c r="L564" s="81">
        <v>15</v>
      </c>
      <c r="M564" s="81"/>
      <c r="N564" s="81"/>
      <c r="O564" s="81"/>
      <c r="P564" s="81"/>
      <c r="Q564" s="81"/>
      <c r="R564" s="158"/>
      <c r="S564" s="158"/>
      <c r="T564" s="81"/>
      <c r="U564" s="94"/>
      <c r="V564" s="81"/>
      <c r="W564" s="311"/>
      <c r="X564" s="311"/>
      <c r="Y564" s="311"/>
      <c r="Z564" s="94">
        <v>551074400</v>
      </c>
      <c r="AA564" s="81">
        <v>10</v>
      </c>
      <c r="AB564" s="311">
        <v>43374</v>
      </c>
      <c r="AC564" s="81"/>
      <c r="AD564" s="81"/>
      <c r="AE564" s="158"/>
      <c r="AF564" s="158">
        <f t="shared" si="147"/>
        <v>-551074400</v>
      </c>
      <c r="AG564" s="158"/>
      <c r="AH564" s="94">
        <v>0</v>
      </c>
      <c r="AI564" s="94">
        <v>0</v>
      </c>
      <c r="AJ564" s="94"/>
      <c r="AK564" s="158">
        <f t="shared" si="148"/>
        <v>-551074400</v>
      </c>
      <c r="AL564" s="158"/>
      <c r="AM564" s="158"/>
      <c r="AN564" s="158"/>
      <c r="AO564" s="158"/>
      <c r="AP564" s="81"/>
      <c r="AQ564" s="81"/>
      <c r="AR564" s="81"/>
      <c r="AS564" s="81"/>
      <c r="AT564" s="98">
        <v>1</v>
      </c>
      <c r="AU564" s="58" t="s">
        <v>646</v>
      </c>
      <c r="AV564" s="348"/>
      <c r="AW564" s="51"/>
      <c r="AX564" s="56"/>
      <c r="AY564" s="56"/>
      <c r="AZ564" s="81">
        <v>15</v>
      </c>
      <c r="BA564" s="81"/>
      <c r="BB564" s="81"/>
      <c r="BC564" s="220"/>
      <c r="BD564" s="220">
        <v>15</v>
      </c>
      <c r="BE564" s="220"/>
      <c r="BF564" s="271">
        <v>2019</v>
      </c>
      <c r="BG564" s="271">
        <v>2019</v>
      </c>
      <c r="BH564" s="271"/>
      <c r="BI564" s="271" t="s">
        <v>2375</v>
      </c>
    </row>
    <row r="565" spans="1:61" s="204" customFormat="1" ht="18" customHeight="1">
      <c r="A565" s="160" t="s">
        <v>510</v>
      </c>
      <c r="B565" s="58" t="s">
        <v>280</v>
      </c>
      <c r="C565" s="148" t="s">
        <v>873</v>
      </c>
      <c r="D565" s="33" t="s">
        <v>870</v>
      </c>
      <c r="E565" s="33"/>
      <c r="F565" s="33"/>
      <c r="G565" s="33"/>
      <c r="H565" s="30" t="s">
        <v>720</v>
      </c>
      <c r="I565" s="43">
        <v>3035</v>
      </c>
      <c r="J565" s="212">
        <v>43091</v>
      </c>
      <c r="K565" s="81">
        <v>56</v>
      </c>
      <c r="L565" s="81">
        <v>56</v>
      </c>
      <c r="M565" s="81"/>
      <c r="N565" s="81"/>
      <c r="O565" s="81"/>
      <c r="P565" s="81"/>
      <c r="Q565" s="81"/>
      <c r="R565" s="158"/>
      <c r="S565" s="158"/>
      <c r="T565" s="81"/>
      <c r="U565" s="94"/>
      <c r="V565" s="81"/>
      <c r="W565" s="311"/>
      <c r="X565" s="311"/>
      <c r="Y565" s="311"/>
      <c r="Z565" s="94"/>
      <c r="AA565" s="81"/>
      <c r="AB565" s="81"/>
      <c r="AC565" s="81"/>
      <c r="AD565" s="81"/>
      <c r="AE565" s="158"/>
      <c r="AF565" s="158">
        <f t="shared" si="147"/>
        <v>0</v>
      </c>
      <c r="AG565" s="158"/>
      <c r="AH565" s="94">
        <v>0</v>
      </c>
      <c r="AI565" s="94">
        <v>0</v>
      </c>
      <c r="AJ565" s="94"/>
      <c r="AK565" s="158">
        <f t="shared" si="148"/>
        <v>0</v>
      </c>
      <c r="AL565" s="158"/>
      <c r="AM565" s="158"/>
      <c r="AN565" s="158"/>
      <c r="AO565" s="158"/>
      <c r="AP565" s="81"/>
      <c r="AQ565" s="81"/>
      <c r="AR565" s="81"/>
      <c r="AS565" s="81"/>
      <c r="AT565" s="98">
        <v>1</v>
      </c>
      <c r="AU565" s="58" t="s">
        <v>646</v>
      </c>
      <c r="AV565" s="348"/>
      <c r="AW565" s="51"/>
      <c r="AX565" s="56"/>
      <c r="AY565" s="56"/>
      <c r="AZ565" s="81">
        <v>56</v>
      </c>
      <c r="BA565" s="81"/>
      <c r="BB565" s="81"/>
      <c r="BC565" s="220"/>
      <c r="BD565" s="220">
        <v>56</v>
      </c>
      <c r="BE565" s="220"/>
      <c r="BF565" s="271">
        <v>2019</v>
      </c>
      <c r="BG565" s="271">
        <v>2019</v>
      </c>
      <c r="BH565" s="271"/>
      <c r="BI565" s="271" t="s">
        <v>2375</v>
      </c>
    </row>
    <row r="566" spans="1:61" s="204" customFormat="1" ht="18" customHeight="1">
      <c r="A566" s="160" t="s">
        <v>510</v>
      </c>
      <c r="B566" s="58" t="s">
        <v>280</v>
      </c>
      <c r="C566" s="148" t="s">
        <v>873</v>
      </c>
      <c r="D566" s="33" t="s">
        <v>870</v>
      </c>
      <c r="E566" s="33"/>
      <c r="F566" s="33"/>
      <c r="G566" s="33"/>
      <c r="H566" s="30" t="s">
        <v>720</v>
      </c>
      <c r="I566" s="115" t="s">
        <v>1681</v>
      </c>
      <c r="J566" s="215" t="s">
        <v>1475</v>
      </c>
      <c r="K566" s="81"/>
      <c r="L566" s="81">
        <v>1</v>
      </c>
      <c r="M566" s="81"/>
      <c r="N566" s="81"/>
      <c r="O566" s="81"/>
      <c r="P566" s="158">
        <v>62026130</v>
      </c>
      <c r="Q566" s="158"/>
      <c r="R566" s="158"/>
      <c r="S566" s="158"/>
      <c r="T566" s="81"/>
      <c r="U566" s="94">
        <f>26118186-26118186+26118186</f>
        <v>26118186</v>
      </c>
      <c r="V566" s="81">
        <v>10</v>
      </c>
      <c r="W566" s="311" t="s">
        <v>2381</v>
      </c>
      <c r="X566" s="311"/>
      <c r="Y566" s="311"/>
      <c r="Z566" s="94">
        <v>35907944</v>
      </c>
      <c r="AA566" s="81">
        <v>10</v>
      </c>
      <c r="AB566" s="311">
        <v>43586</v>
      </c>
      <c r="AC566" s="311"/>
      <c r="AD566" s="81"/>
      <c r="AE566" s="158"/>
      <c r="AF566" s="158">
        <f t="shared" si="147"/>
        <v>0</v>
      </c>
      <c r="AG566" s="158"/>
      <c r="AH566" s="94">
        <v>0</v>
      </c>
      <c r="AI566" s="94">
        <v>0</v>
      </c>
      <c r="AJ566" s="94"/>
      <c r="AK566" s="158">
        <f t="shared" si="148"/>
        <v>0</v>
      </c>
      <c r="AL566" s="158">
        <v>877</v>
      </c>
      <c r="AM566" s="158">
        <v>10</v>
      </c>
      <c r="AN566" s="158"/>
      <c r="AO566" s="158"/>
      <c r="AP566" s="81"/>
      <c r="AQ566" s="81"/>
      <c r="AR566" s="81"/>
      <c r="AS566" s="81"/>
      <c r="AT566" s="98">
        <v>1</v>
      </c>
      <c r="AU566" s="58" t="s">
        <v>646</v>
      </c>
      <c r="AV566" s="348"/>
      <c r="AW566" s="51"/>
      <c r="AX566" s="56"/>
      <c r="AY566" s="56"/>
      <c r="AZ566" s="81">
        <v>1</v>
      </c>
      <c r="BA566" s="81"/>
      <c r="BB566" s="81"/>
      <c r="BC566" s="220"/>
      <c r="BD566" s="220">
        <v>1</v>
      </c>
      <c r="BE566" s="220"/>
      <c r="BF566" s="271">
        <v>2019</v>
      </c>
      <c r="BG566" s="271">
        <v>2019</v>
      </c>
      <c r="BH566" s="271"/>
      <c r="BI566" s="271" t="s">
        <v>2375</v>
      </c>
    </row>
    <row r="567" spans="1:61" s="204" customFormat="1" ht="18" customHeight="1">
      <c r="A567" s="160" t="s">
        <v>510</v>
      </c>
      <c r="B567" s="58" t="s">
        <v>211</v>
      </c>
      <c r="C567" s="148" t="s">
        <v>886</v>
      </c>
      <c r="D567" s="33" t="s">
        <v>887</v>
      </c>
      <c r="E567" s="33"/>
      <c r="F567" s="33"/>
      <c r="G567" s="33"/>
      <c r="H567" s="30" t="s">
        <v>720</v>
      </c>
      <c r="I567" s="43">
        <v>3040</v>
      </c>
      <c r="J567" s="212">
        <v>43091</v>
      </c>
      <c r="K567" s="81"/>
      <c r="L567" s="81">
        <v>47</v>
      </c>
      <c r="M567" s="81"/>
      <c r="N567" s="81"/>
      <c r="O567" s="81"/>
      <c r="P567" s="158">
        <f>3179112048-190746723</f>
        <v>2988365325</v>
      </c>
      <c r="Q567" s="158"/>
      <c r="R567" s="158"/>
      <c r="S567" s="158"/>
      <c r="T567" s="81"/>
      <c r="U567" s="94">
        <v>1257364638</v>
      </c>
      <c r="V567" s="81">
        <v>10</v>
      </c>
      <c r="W567" s="311"/>
      <c r="X567" s="311"/>
      <c r="Y567" s="311"/>
      <c r="Z567" s="94">
        <v>1731000687</v>
      </c>
      <c r="AA567" s="81">
        <v>10</v>
      </c>
      <c r="AB567" s="311">
        <v>43435</v>
      </c>
      <c r="AC567" s="81"/>
      <c r="AD567" s="81"/>
      <c r="AE567" s="158"/>
      <c r="AF567" s="158">
        <f t="shared" si="147"/>
        <v>0</v>
      </c>
      <c r="AG567" s="158"/>
      <c r="AH567" s="94">
        <v>0</v>
      </c>
      <c r="AI567" s="94">
        <v>0</v>
      </c>
      <c r="AJ567" s="94"/>
      <c r="AK567" s="158">
        <f t="shared" si="148"/>
        <v>0</v>
      </c>
      <c r="AL567" s="158">
        <v>877</v>
      </c>
      <c r="AM567" s="158">
        <v>10</v>
      </c>
      <c r="AN567" s="158"/>
      <c r="AO567" s="158"/>
      <c r="AP567" s="81"/>
      <c r="AQ567" s="81"/>
      <c r="AR567" s="81"/>
      <c r="AS567" s="81"/>
      <c r="AT567" s="98">
        <v>1</v>
      </c>
      <c r="AU567" s="58" t="s">
        <v>646</v>
      </c>
      <c r="AV567" s="7" t="s">
        <v>1343</v>
      </c>
      <c r="AW567" s="51"/>
      <c r="AX567" s="56"/>
      <c r="AY567" s="56"/>
      <c r="AZ567" s="158">
        <v>47</v>
      </c>
      <c r="BA567" s="158"/>
      <c r="BB567" s="158"/>
      <c r="BC567" s="69"/>
      <c r="BD567" s="69">
        <v>47</v>
      </c>
      <c r="BE567" s="69"/>
      <c r="BF567" s="271">
        <v>2019</v>
      </c>
      <c r="BG567" s="271">
        <v>2019</v>
      </c>
      <c r="BH567" s="271"/>
      <c r="BI567" s="271" t="s">
        <v>2375</v>
      </c>
    </row>
    <row r="568" spans="1:61" s="204" customFormat="1" ht="18" customHeight="1">
      <c r="A568" s="230" t="s">
        <v>510</v>
      </c>
      <c r="B568" s="58" t="s">
        <v>211</v>
      </c>
      <c r="C568" s="148" t="s">
        <v>886</v>
      </c>
      <c r="D568" s="33" t="s">
        <v>887</v>
      </c>
      <c r="E568" s="33"/>
      <c r="F568" s="33"/>
      <c r="G568" s="33"/>
      <c r="H568" s="30" t="s">
        <v>720</v>
      </c>
      <c r="I568" s="43">
        <v>3040</v>
      </c>
      <c r="J568" s="212">
        <v>43091</v>
      </c>
      <c r="K568" s="81"/>
      <c r="L568" s="81">
        <v>3</v>
      </c>
      <c r="M568" s="81"/>
      <c r="N568" s="81"/>
      <c r="O568" s="81"/>
      <c r="P568" s="158">
        <v>190746723</v>
      </c>
      <c r="Q568" s="158"/>
      <c r="R568" s="158"/>
      <c r="S568" s="158"/>
      <c r="T568" s="94"/>
      <c r="U568" s="94">
        <v>80257319</v>
      </c>
      <c r="V568" s="81">
        <v>10</v>
      </c>
      <c r="W568" s="311"/>
      <c r="X568" s="311"/>
      <c r="Y568" s="311"/>
      <c r="Z568" s="94">
        <v>110489404</v>
      </c>
      <c r="AA568" s="81">
        <v>10</v>
      </c>
      <c r="AB568" s="311">
        <v>43313</v>
      </c>
      <c r="AC568" s="277"/>
      <c r="AD568" s="277"/>
      <c r="AE568" s="158"/>
      <c r="AF568" s="158">
        <f t="shared" si="147"/>
        <v>0</v>
      </c>
      <c r="AG568" s="158"/>
      <c r="AH568" s="94">
        <v>0</v>
      </c>
      <c r="AI568" s="94">
        <v>0</v>
      </c>
      <c r="AJ568" s="94"/>
      <c r="AK568" s="158">
        <f t="shared" si="148"/>
        <v>0</v>
      </c>
      <c r="AL568" s="158">
        <v>877</v>
      </c>
      <c r="AM568" s="158">
        <v>10</v>
      </c>
      <c r="AN568" s="158"/>
      <c r="AO568" s="158"/>
      <c r="AP568" s="81"/>
      <c r="AQ568" s="81"/>
      <c r="AR568" s="81"/>
      <c r="AS568" s="81"/>
      <c r="AT568" s="98">
        <v>1</v>
      </c>
      <c r="AU568" s="58" t="s">
        <v>646</v>
      </c>
      <c r="AV568" s="348"/>
      <c r="AW568" s="51"/>
      <c r="AX568" s="56"/>
      <c r="AY568" s="56"/>
      <c r="AZ568" s="81">
        <v>3</v>
      </c>
      <c r="BA568" s="81"/>
      <c r="BB568" s="158"/>
      <c r="BC568" s="69"/>
      <c r="BD568" s="69">
        <f>+AZ568</f>
        <v>3</v>
      </c>
      <c r="BE568" s="69"/>
      <c r="BF568" s="271">
        <v>2019</v>
      </c>
      <c r="BG568" s="271">
        <v>2019</v>
      </c>
      <c r="BH568" s="271"/>
      <c r="BI568" s="271" t="s">
        <v>2375</v>
      </c>
    </row>
    <row r="569" spans="1:61" s="204" customFormat="1" ht="24" customHeight="1">
      <c r="A569" s="160" t="s">
        <v>510</v>
      </c>
      <c r="B569" s="58" t="s">
        <v>208</v>
      </c>
      <c r="C569" s="55" t="s">
        <v>881</v>
      </c>
      <c r="D569" s="33" t="s">
        <v>860</v>
      </c>
      <c r="E569" s="33"/>
      <c r="F569" s="33"/>
      <c r="G569" s="33"/>
      <c r="H569" s="30" t="s">
        <v>720</v>
      </c>
      <c r="I569" s="228" t="s">
        <v>1538</v>
      </c>
      <c r="J569" s="215" t="s">
        <v>1537</v>
      </c>
      <c r="K569" s="81"/>
      <c r="L569" s="81"/>
      <c r="M569" s="81">
        <v>3</v>
      </c>
      <c r="N569" s="81">
        <v>3</v>
      </c>
      <c r="O569" s="81"/>
      <c r="P569" s="94">
        <f>248914021-62228505</f>
        <v>186685516</v>
      </c>
      <c r="Q569" s="94"/>
      <c r="R569" s="158"/>
      <c r="S569" s="8"/>
      <c r="T569" s="94"/>
      <c r="U569" s="94">
        <v>105982316</v>
      </c>
      <c r="V569" s="81"/>
      <c r="W569" s="415"/>
      <c r="X569" s="415"/>
      <c r="Y569" s="415"/>
      <c r="Z569" s="94">
        <f>142931705-142931705+80703200</f>
        <v>80703200</v>
      </c>
      <c r="AA569" s="416" t="s">
        <v>1822</v>
      </c>
      <c r="AB569" s="415" t="s">
        <v>1726</v>
      </c>
      <c r="AC569" s="415"/>
      <c r="AD569" s="94"/>
      <c r="AE569" s="158"/>
      <c r="AF569" s="158">
        <f>P569-U569-Z569</f>
        <v>0</v>
      </c>
      <c r="AG569" s="158"/>
      <c r="AH569" s="94">
        <v>0</v>
      </c>
      <c r="AI569" s="94">
        <v>0</v>
      </c>
      <c r="AJ569" s="94"/>
      <c r="AK569" s="158">
        <f t="shared" ref="AK569:AK570" si="149">P569-R569-U569-Z569</f>
        <v>0</v>
      </c>
      <c r="AL569" s="158">
        <v>877</v>
      </c>
      <c r="AM569" s="158">
        <v>20</v>
      </c>
      <c r="AN569" s="158"/>
      <c r="AO569" s="158"/>
      <c r="AP569" s="158">
        <v>3</v>
      </c>
      <c r="AQ569" s="81"/>
      <c r="AR569" s="81"/>
      <c r="AS569" s="81"/>
      <c r="AT569" s="98">
        <v>1</v>
      </c>
      <c r="AU569" s="58" t="s">
        <v>646</v>
      </c>
      <c r="AV569" s="348" t="s">
        <v>1312</v>
      </c>
      <c r="AW569" s="51"/>
      <c r="AX569" s="56"/>
      <c r="AY569" s="100"/>
      <c r="AZ569" s="98"/>
      <c r="BA569" s="158">
        <v>3</v>
      </c>
      <c r="BB569" s="98"/>
      <c r="BC569" s="98"/>
      <c r="BD569" s="158">
        <v>3</v>
      </c>
      <c r="BE569" s="158"/>
      <c r="BF569" s="271">
        <v>2020</v>
      </c>
      <c r="BG569" s="271">
        <v>2019</v>
      </c>
      <c r="BH569" s="430">
        <v>2020</v>
      </c>
      <c r="BI569" s="271" t="s">
        <v>2375</v>
      </c>
    </row>
    <row r="570" spans="1:61" s="204" customFormat="1" ht="24" customHeight="1">
      <c r="A570" s="160" t="s">
        <v>510</v>
      </c>
      <c r="B570" s="58" t="s">
        <v>208</v>
      </c>
      <c r="C570" s="55" t="s">
        <v>881</v>
      </c>
      <c r="D570" s="33" t="s">
        <v>860</v>
      </c>
      <c r="E570" s="33"/>
      <c r="F570" s="33"/>
      <c r="G570" s="33"/>
      <c r="H570" s="30" t="s">
        <v>720</v>
      </c>
      <c r="I570" s="228" t="s">
        <v>1538</v>
      </c>
      <c r="J570" s="215" t="s">
        <v>1537</v>
      </c>
      <c r="K570" s="81"/>
      <c r="L570" s="81"/>
      <c r="M570" s="81">
        <v>1</v>
      </c>
      <c r="N570" s="81">
        <v>1</v>
      </c>
      <c r="O570" s="81"/>
      <c r="P570" s="94">
        <v>62228505</v>
      </c>
      <c r="Q570" s="94"/>
      <c r="R570" s="158"/>
      <c r="S570" s="158"/>
      <c r="T570" s="94"/>
      <c r="U570" s="94"/>
      <c r="V570" s="81"/>
      <c r="W570" s="311"/>
      <c r="X570" s="311"/>
      <c r="Y570" s="311"/>
      <c r="Z570" s="94"/>
      <c r="AA570" s="220"/>
      <c r="AB570" s="311"/>
      <c r="AC570" s="329"/>
      <c r="AD570" s="233"/>
      <c r="AE570" s="158"/>
      <c r="AF570" s="158">
        <f>P570-U570-Z570</f>
        <v>62228505</v>
      </c>
      <c r="AG570" s="158"/>
      <c r="AH570" s="94">
        <v>0</v>
      </c>
      <c r="AI570" s="94">
        <v>62228505</v>
      </c>
      <c r="AJ570" s="94"/>
      <c r="AK570" s="666">
        <f t="shared" si="149"/>
        <v>62228505</v>
      </c>
      <c r="AL570" s="666">
        <v>877</v>
      </c>
      <c r="AM570" s="666">
        <v>20</v>
      </c>
      <c r="AN570" s="158">
        <v>1</v>
      </c>
      <c r="AO570" s="158"/>
      <c r="AP570" s="98"/>
      <c r="AQ570" s="81"/>
      <c r="AR570" s="81"/>
      <c r="AS570" s="81"/>
      <c r="AT570" s="98">
        <v>0</v>
      </c>
      <c r="AU570" s="58" t="s">
        <v>521</v>
      </c>
      <c r="AV570" s="348"/>
      <c r="AW570" s="51"/>
      <c r="AX570" s="56"/>
      <c r="AY570" s="98"/>
      <c r="AZ570" s="98"/>
      <c r="BA570" s="98"/>
      <c r="BB570" s="98"/>
      <c r="BC570" s="292"/>
      <c r="BD570" s="292"/>
      <c r="BE570" s="292"/>
      <c r="BF570" s="271"/>
      <c r="BG570" s="271">
        <v>2019</v>
      </c>
      <c r="BH570" s="271">
        <v>2020</v>
      </c>
      <c r="BI570" s="271" t="s">
        <v>2375</v>
      </c>
    </row>
    <row r="571" spans="1:61" s="204" customFormat="1" ht="18" customHeight="1">
      <c r="A571" s="230" t="s">
        <v>510</v>
      </c>
      <c r="B571" s="58" t="s">
        <v>197</v>
      </c>
      <c r="C571" s="148" t="s">
        <v>882</v>
      </c>
      <c r="D571" s="33" t="s">
        <v>871</v>
      </c>
      <c r="E571" s="33"/>
      <c r="F571" s="33"/>
      <c r="G571" s="33"/>
      <c r="H571" s="30" t="s">
        <v>731</v>
      </c>
      <c r="I571" s="115" t="s">
        <v>1461</v>
      </c>
      <c r="J571" s="215" t="s">
        <v>1460</v>
      </c>
      <c r="K571" s="81"/>
      <c r="L571" s="81">
        <v>9</v>
      </c>
      <c r="M571" s="81"/>
      <c r="N571" s="81"/>
      <c r="O571" s="81"/>
      <c r="P571" s="158">
        <f>620588310-61403629</f>
        <v>559184681</v>
      </c>
      <c r="Q571" s="158"/>
      <c r="R571" s="158"/>
      <c r="S571" s="158"/>
      <c r="T571" s="158"/>
      <c r="U571" s="94">
        <v>249887376</v>
      </c>
      <c r="V571" s="81">
        <v>10</v>
      </c>
      <c r="W571" s="311"/>
      <c r="X571" s="311"/>
      <c r="Y571" s="311"/>
      <c r="Z571" s="94">
        <v>309297305</v>
      </c>
      <c r="AA571" s="81">
        <v>10</v>
      </c>
      <c r="AB571" s="311">
        <v>43525</v>
      </c>
      <c r="AC571" s="329"/>
      <c r="AD571" s="277"/>
      <c r="AE571" s="158"/>
      <c r="AF571" s="158">
        <f t="shared" si="147"/>
        <v>0</v>
      </c>
      <c r="AG571" s="158"/>
      <c r="AH571" s="94">
        <v>0</v>
      </c>
      <c r="AI571" s="94">
        <v>0</v>
      </c>
      <c r="AJ571" s="94"/>
      <c r="AK571" s="158">
        <f t="shared" si="148"/>
        <v>0</v>
      </c>
      <c r="AL571" s="158">
        <v>877</v>
      </c>
      <c r="AM571" s="158">
        <v>10</v>
      </c>
      <c r="AN571" s="158"/>
      <c r="AO571" s="158"/>
      <c r="AP571" s="81"/>
      <c r="AQ571" s="81"/>
      <c r="AR571" s="81"/>
      <c r="AS571" s="81"/>
      <c r="AT571" s="98">
        <v>1</v>
      </c>
      <c r="AU571" s="58" t="s">
        <v>646</v>
      </c>
      <c r="AV571" s="348"/>
      <c r="AW571" s="51"/>
      <c r="AX571" s="56"/>
      <c r="AY571" s="56"/>
      <c r="AZ571" s="81">
        <v>9</v>
      </c>
      <c r="BA571" s="81"/>
      <c r="BB571" s="98"/>
      <c r="BC571" s="98"/>
      <c r="BD571" s="81">
        <v>9</v>
      </c>
      <c r="BE571" s="81"/>
      <c r="BF571" s="271">
        <v>2019</v>
      </c>
      <c r="BG571" s="271">
        <v>2019</v>
      </c>
      <c r="BH571" s="271"/>
      <c r="BI571" s="271" t="s">
        <v>2375</v>
      </c>
    </row>
    <row r="572" spans="1:61" s="204" customFormat="1" ht="18" customHeight="1">
      <c r="A572" s="160" t="s">
        <v>510</v>
      </c>
      <c r="B572" s="58" t="s">
        <v>197</v>
      </c>
      <c r="C572" s="148" t="s">
        <v>882</v>
      </c>
      <c r="D572" s="33" t="s">
        <v>871</v>
      </c>
      <c r="E572" s="33"/>
      <c r="F572" s="33"/>
      <c r="G572" s="33"/>
      <c r="H572" s="30" t="s">
        <v>731</v>
      </c>
      <c r="I572" s="115" t="s">
        <v>1461</v>
      </c>
      <c r="J572" s="215" t="s">
        <v>1460</v>
      </c>
      <c r="K572" s="81"/>
      <c r="L572" s="81"/>
      <c r="M572" s="81">
        <v>1</v>
      </c>
      <c r="N572" s="81"/>
      <c r="O572" s="81">
        <v>1</v>
      </c>
      <c r="P572" s="94">
        <v>61403629</v>
      </c>
      <c r="Q572" s="94"/>
      <c r="R572" s="158"/>
      <c r="S572" s="158"/>
      <c r="T572" s="94"/>
      <c r="U572" s="94"/>
      <c r="V572" s="81"/>
      <c r="W572" s="311"/>
      <c r="X572" s="311"/>
      <c r="Y572" s="311"/>
      <c r="Z572" s="94"/>
      <c r="AA572" s="220"/>
      <c r="AB572" s="220"/>
      <c r="AC572" s="220"/>
      <c r="AD572" s="220"/>
      <c r="AE572" s="158"/>
      <c r="AF572" s="158">
        <f t="shared" si="147"/>
        <v>61403629</v>
      </c>
      <c r="AG572" s="158"/>
      <c r="AH572" s="94">
        <v>0</v>
      </c>
      <c r="AI572" s="94">
        <v>61403629</v>
      </c>
      <c r="AJ572" s="94"/>
      <c r="AK572" s="666">
        <f t="shared" ref="AK572" si="150">P572-R572-U572-Z572</f>
        <v>61403629</v>
      </c>
      <c r="AL572" s="666">
        <v>877</v>
      </c>
      <c r="AM572" s="666">
        <v>20</v>
      </c>
      <c r="AN572" s="158">
        <v>1</v>
      </c>
      <c r="AO572" s="158"/>
      <c r="AP572" s="98"/>
      <c r="AQ572" s="81"/>
      <c r="AR572" s="81"/>
      <c r="AS572" s="81"/>
      <c r="AT572" s="98">
        <v>0</v>
      </c>
      <c r="AU572" s="58" t="s">
        <v>521</v>
      </c>
      <c r="AV572" s="453" t="s">
        <v>1295</v>
      </c>
      <c r="AW572" s="51"/>
      <c r="AX572" s="56"/>
      <c r="AY572" s="56"/>
      <c r="AZ572" s="98"/>
      <c r="BA572" s="98"/>
      <c r="BB572" s="98"/>
      <c r="BC572" s="292"/>
      <c r="BD572" s="292"/>
      <c r="BE572" s="292"/>
      <c r="BF572" s="271"/>
      <c r="BG572" s="271">
        <v>2019</v>
      </c>
      <c r="BH572" s="271">
        <v>2020</v>
      </c>
      <c r="BI572" s="271" t="s">
        <v>2375</v>
      </c>
    </row>
    <row r="573" spans="1:61" s="204" customFormat="1" ht="18" customHeight="1">
      <c r="A573" s="248" t="s">
        <v>510</v>
      </c>
      <c r="B573" s="58" t="s">
        <v>546</v>
      </c>
      <c r="C573" s="148" t="s">
        <v>1379</v>
      </c>
      <c r="D573" s="33" t="s">
        <v>858</v>
      </c>
      <c r="E573" s="33"/>
      <c r="F573" s="33"/>
      <c r="G573" s="33"/>
      <c r="H573" s="30" t="s">
        <v>968</v>
      </c>
      <c r="I573" s="30">
        <v>565</v>
      </c>
      <c r="J573" s="212">
        <v>43175</v>
      </c>
      <c r="K573" s="158">
        <v>4</v>
      </c>
      <c r="L573" s="158">
        <v>4</v>
      </c>
      <c r="M573" s="158"/>
      <c r="N573" s="158"/>
      <c r="O573" s="158"/>
      <c r="P573" s="158">
        <v>250879673</v>
      </c>
      <c r="Q573" s="158"/>
      <c r="R573" s="158"/>
      <c r="S573" s="158"/>
      <c r="T573" s="158"/>
      <c r="U573" s="94">
        <v>108049742</v>
      </c>
      <c r="V573" s="158">
        <v>10</v>
      </c>
      <c r="W573" s="311"/>
      <c r="X573" s="311"/>
      <c r="Y573" s="311"/>
      <c r="Z573" s="94">
        <v>142829931</v>
      </c>
      <c r="AA573" s="158">
        <v>10</v>
      </c>
      <c r="AB573" s="311">
        <v>43497</v>
      </c>
      <c r="AC573" s="583"/>
      <c r="AD573" s="92"/>
      <c r="AE573" s="158"/>
      <c r="AF573" s="158">
        <f t="shared" si="147"/>
        <v>0</v>
      </c>
      <c r="AG573" s="158"/>
      <c r="AH573" s="94">
        <v>0</v>
      </c>
      <c r="AI573" s="94">
        <v>0</v>
      </c>
      <c r="AJ573" s="94"/>
      <c r="AK573" s="158">
        <f t="shared" si="148"/>
        <v>0</v>
      </c>
      <c r="AL573" s="158">
        <v>877</v>
      </c>
      <c r="AM573" s="158">
        <v>10</v>
      </c>
      <c r="AN573" s="158"/>
      <c r="AO573" s="158"/>
      <c r="AP573" s="81"/>
      <c r="AQ573" s="81"/>
      <c r="AR573" s="81"/>
      <c r="AS573" s="81"/>
      <c r="AT573" s="2">
        <v>1</v>
      </c>
      <c r="AU573" s="58" t="s">
        <v>646</v>
      </c>
      <c r="AV573" s="453"/>
      <c r="AW573" s="51"/>
      <c r="AX573" s="56"/>
      <c r="AY573" s="56"/>
      <c r="AZ573" s="81">
        <v>4</v>
      </c>
      <c r="BA573" s="81"/>
      <c r="BB573" s="98"/>
      <c r="BC573" s="98"/>
      <c r="BD573" s="81">
        <v>4</v>
      </c>
      <c r="BE573" s="81"/>
      <c r="BF573" s="271">
        <v>2019</v>
      </c>
      <c r="BG573" s="271">
        <v>2019</v>
      </c>
      <c r="BH573" s="271"/>
      <c r="BI573" s="271" t="s">
        <v>2375</v>
      </c>
    </row>
    <row r="574" spans="1:61" s="204" customFormat="1" ht="15" customHeight="1">
      <c r="A574" s="160" t="s">
        <v>510</v>
      </c>
      <c r="B574" s="58" t="s">
        <v>280</v>
      </c>
      <c r="C574" s="148" t="s">
        <v>946</v>
      </c>
      <c r="D574" s="33" t="s">
        <v>61</v>
      </c>
      <c r="E574" s="33"/>
      <c r="F574" s="33"/>
      <c r="G574" s="33"/>
      <c r="H574" s="30" t="s">
        <v>968</v>
      </c>
      <c r="I574" s="30">
        <v>736</v>
      </c>
      <c r="J574" s="212">
        <v>43453</v>
      </c>
      <c r="K574" s="158"/>
      <c r="L574" s="96"/>
      <c r="M574" s="96"/>
      <c r="N574" s="96"/>
      <c r="O574" s="96"/>
      <c r="P574" s="96"/>
      <c r="Q574" s="96"/>
      <c r="R574" s="158"/>
      <c r="S574" s="158"/>
      <c r="T574" s="96"/>
      <c r="U574" s="94"/>
      <c r="V574" s="96"/>
      <c r="W574" s="311"/>
      <c r="X574" s="311"/>
      <c r="Y574" s="311"/>
      <c r="Z574" s="94">
        <v>2375079239</v>
      </c>
      <c r="AA574" s="158">
        <v>10</v>
      </c>
      <c r="AB574" s="311">
        <v>43374</v>
      </c>
      <c r="AC574" s="96"/>
      <c r="AD574" s="96"/>
      <c r="AE574" s="158"/>
      <c r="AF574" s="158"/>
      <c r="AG574" s="158"/>
      <c r="AH574" s="158"/>
      <c r="AI574" s="158"/>
      <c r="AJ574" s="158"/>
      <c r="AK574" s="158"/>
      <c r="AL574" s="158"/>
      <c r="AM574" s="158"/>
      <c r="AN574" s="158"/>
      <c r="AO574" s="158"/>
      <c r="AP574" s="51"/>
      <c r="AQ574" s="51"/>
      <c r="AR574" s="51"/>
      <c r="AS574" s="51"/>
      <c r="AT574" s="56">
        <v>1</v>
      </c>
      <c r="AU574" s="58" t="s">
        <v>646</v>
      </c>
      <c r="AV574" s="453"/>
      <c r="AW574" s="51"/>
      <c r="AX574" s="56"/>
      <c r="AY574" s="51">
        <v>56</v>
      </c>
      <c r="AZ574" s="51"/>
      <c r="BA574" s="51"/>
      <c r="BB574" s="51"/>
      <c r="BC574" s="71">
        <v>56</v>
      </c>
      <c r="BD574" s="71">
        <v>56</v>
      </c>
      <c r="BE574" s="71"/>
      <c r="BF574" s="271">
        <v>2018</v>
      </c>
      <c r="BG574" s="271"/>
      <c r="BH574" s="271"/>
      <c r="BI574" s="271" t="s">
        <v>2375</v>
      </c>
    </row>
    <row r="575" spans="1:61" s="204" customFormat="1" ht="18" customHeight="1">
      <c r="A575" s="160" t="s">
        <v>510</v>
      </c>
      <c r="B575" s="58" t="s">
        <v>546</v>
      </c>
      <c r="C575" s="148" t="s">
        <v>947</v>
      </c>
      <c r="D575" s="33" t="s">
        <v>565</v>
      </c>
      <c r="E575" s="33"/>
      <c r="F575" s="33"/>
      <c r="G575" s="33"/>
      <c r="H575" s="30" t="s">
        <v>968</v>
      </c>
      <c r="I575" s="30">
        <v>603</v>
      </c>
      <c r="J575" s="212">
        <v>43180</v>
      </c>
      <c r="K575" s="158">
        <v>16</v>
      </c>
      <c r="L575" s="158">
        <v>16</v>
      </c>
      <c r="M575" s="158"/>
      <c r="N575" s="158"/>
      <c r="O575" s="158"/>
      <c r="P575" s="158">
        <v>996344800</v>
      </c>
      <c r="Q575" s="158"/>
      <c r="R575" s="158"/>
      <c r="S575" s="158"/>
      <c r="T575" s="158"/>
      <c r="U575" s="94">
        <v>413668352</v>
      </c>
      <c r="V575" s="158">
        <v>10</v>
      </c>
      <c r="W575" s="311"/>
      <c r="X575" s="311"/>
      <c r="Y575" s="311"/>
      <c r="Z575" s="94">
        <v>582676448</v>
      </c>
      <c r="AA575" s="158">
        <v>10</v>
      </c>
      <c r="AB575" s="311">
        <v>43497</v>
      </c>
      <c r="AC575" s="311"/>
      <c r="AD575" s="158"/>
      <c r="AE575" s="158"/>
      <c r="AF575" s="158">
        <f t="shared" ref="AF575:AF598" si="151">P575-U575-Z575</f>
        <v>0</v>
      </c>
      <c r="AG575" s="158"/>
      <c r="AH575" s="94">
        <v>0</v>
      </c>
      <c r="AI575" s="94">
        <v>0</v>
      </c>
      <c r="AJ575" s="94"/>
      <c r="AK575" s="158">
        <f t="shared" si="148"/>
        <v>0</v>
      </c>
      <c r="AL575" s="158">
        <v>877</v>
      </c>
      <c r="AM575" s="158">
        <v>10</v>
      </c>
      <c r="AN575" s="158"/>
      <c r="AO575" s="158"/>
      <c r="AP575" s="81"/>
      <c r="AQ575" s="81"/>
      <c r="AR575" s="81"/>
      <c r="AS575" s="81"/>
      <c r="AT575" s="98">
        <v>1</v>
      </c>
      <c r="AU575" s="58" t="s">
        <v>646</v>
      </c>
      <c r="AV575" s="453" t="s">
        <v>1343</v>
      </c>
      <c r="AW575" s="51"/>
      <c r="AX575" s="56"/>
      <c r="AY575" s="56"/>
      <c r="AZ575" s="81">
        <v>16</v>
      </c>
      <c r="BA575" s="81"/>
      <c r="BB575" s="81"/>
      <c r="BC575" s="220"/>
      <c r="BD575" s="220">
        <v>16</v>
      </c>
      <c r="BE575" s="220"/>
      <c r="BF575" s="271">
        <v>2019</v>
      </c>
      <c r="BG575" s="271">
        <v>2019</v>
      </c>
      <c r="BH575" s="271"/>
      <c r="BI575" s="271" t="s">
        <v>2375</v>
      </c>
    </row>
    <row r="576" spans="1:61" s="204" customFormat="1" ht="18" customHeight="1">
      <c r="A576" s="160" t="s">
        <v>510</v>
      </c>
      <c r="B576" s="58" t="s">
        <v>197</v>
      </c>
      <c r="C576" s="148" t="s">
        <v>259</v>
      </c>
      <c r="D576" s="33" t="s">
        <v>1078</v>
      </c>
      <c r="E576" s="33"/>
      <c r="F576" s="33"/>
      <c r="G576" s="33"/>
      <c r="H576" s="30" t="s">
        <v>968</v>
      </c>
      <c r="I576" s="30">
        <v>564</v>
      </c>
      <c r="J576" s="212">
        <v>43175</v>
      </c>
      <c r="K576" s="158">
        <v>54</v>
      </c>
      <c r="L576" s="158">
        <v>54</v>
      </c>
      <c r="M576" s="158"/>
      <c r="N576" s="158"/>
      <c r="O576" s="158"/>
      <c r="P576" s="158"/>
      <c r="Q576" s="158"/>
      <c r="R576" s="158"/>
      <c r="S576" s="158"/>
      <c r="T576" s="158"/>
      <c r="U576" s="94"/>
      <c r="V576" s="158"/>
      <c r="W576" s="311"/>
      <c r="X576" s="311"/>
      <c r="Y576" s="311"/>
      <c r="Z576" s="94">
        <v>1905392406</v>
      </c>
      <c r="AA576" s="158">
        <v>10</v>
      </c>
      <c r="AB576" s="311">
        <v>43435</v>
      </c>
      <c r="AC576" s="158"/>
      <c r="AD576" s="158"/>
      <c r="AE576" s="158"/>
      <c r="AF576" s="158">
        <f t="shared" si="151"/>
        <v>-1905392406</v>
      </c>
      <c r="AG576" s="158"/>
      <c r="AH576" s="94">
        <v>0</v>
      </c>
      <c r="AI576" s="94">
        <v>0</v>
      </c>
      <c r="AJ576" s="94"/>
      <c r="AK576" s="158">
        <f t="shared" si="148"/>
        <v>-1905392406</v>
      </c>
      <c r="AL576" s="158"/>
      <c r="AM576" s="158"/>
      <c r="AN576" s="158"/>
      <c r="AO576" s="158"/>
      <c r="AP576" s="81"/>
      <c r="AQ576" s="81"/>
      <c r="AR576" s="81"/>
      <c r="AS576" s="81"/>
      <c r="AT576" s="98">
        <v>1</v>
      </c>
      <c r="AU576" s="58" t="s">
        <v>646</v>
      </c>
      <c r="AV576" s="453" t="s">
        <v>1378</v>
      </c>
      <c r="AW576" s="51"/>
      <c r="AX576" s="56"/>
      <c r="AY576" s="56"/>
      <c r="AZ576" s="81">
        <v>54</v>
      </c>
      <c r="BA576" s="81"/>
      <c r="BB576" s="98"/>
      <c r="BC576" s="292"/>
      <c r="BD576" s="220">
        <v>54</v>
      </c>
      <c r="BE576" s="220"/>
      <c r="BF576" s="271">
        <v>2019</v>
      </c>
      <c r="BG576" s="271">
        <v>2019</v>
      </c>
      <c r="BH576" s="271"/>
      <c r="BI576" s="271" t="s">
        <v>2375</v>
      </c>
    </row>
    <row r="577" spans="1:61" s="204" customFormat="1" ht="18" customHeight="1">
      <c r="A577" s="160" t="s">
        <v>510</v>
      </c>
      <c r="B577" s="58" t="s">
        <v>203</v>
      </c>
      <c r="C577" s="148" t="s">
        <v>948</v>
      </c>
      <c r="D577" s="33" t="s">
        <v>61</v>
      </c>
      <c r="E577" s="33"/>
      <c r="F577" s="33"/>
      <c r="G577" s="33"/>
      <c r="H577" s="30" t="s">
        <v>968</v>
      </c>
      <c r="I577" s="30">
        <v>635</v>
      </c>
      <c r="J577" s="212">
        <v>43182</v>
      </c>
      <c r="K577" s="158">
        <v>10</v>
      </c>
      <c r="L577" s="158">
        <v>10</v>
      </c>
      <c r="M577" s="158"/>
      <c r="N577" s="158"/>
      <c r="O577" s="158"/>
      <c r="P577" s="158"/>
      <c r="Q577" s="158"/>
      <c r="R577" s="158"/>
      <c r="S577" s="158"/>
      <c r="T577" s="158"/>
      <c r="U577" s="94"/>
      <c r="V577" s="158"/>
      <c r="W577" s="311"/>
      <c r="X577" s="311"/>
      <c r="Y577" s="311"/>
      <c r="Z577" s="94">
        <v>354438188</v>
      </c>
      <c r="AA577" s="158">
        <v>10</v>
      </c>
      <c r="AB577" s="311">
        <v>43374</v>
      </c>
      <c r="AC577" s="158"/>
      <c r="AD577" s="158"/>
      <c r="AE577" s="158"/>
      <c r="AF577" s="158">
        <f t="shared" si="151"/>
        <v>-354438188</v>
      </c>
      <c r="AG577" s="158"/>
      <c r="AH577" s="94">
        <v>0</v>
      </c>
      <c r="AI577" s="94">
        <v>0</v>
      </c>
      <c r="AJ577" s="94"/>
      <c r="AK577" s="158">
        <f t="shared" si="148"/>
        <v>-354438188</v>
      </c>
      <c r="AL577" s="158"/>
      <c r="AM577" s="158"/>
      <c r="AN577" s="158"/>
      <c r="AO577" s="158"/>
      <c r="AP577" s="81"/>
      <c r="AQ577" s="81"/>
      <c r="AR577" s="81"/>
      <c r="AS577" s="81"/>
      <c r="AT577" s="98">
        <v>1</v>
      </c>
      <c r="AU577" s="58" t="s">
        <v>646</v>
      </c>
      <c r="AV577" s="453"/>
      <c r="AW577" s="51"/>
      <c r="AX577" s="56"/>
      <c r="AY577" s="56"/>
      <c r="AZ577" s="81">
        <v>10</v>
      </c>
      <c r="BA577" s="81"/>
      <c r="BB577" s="81"/>
      <c r="BC577" s="220"/>
      <c r="BD577" s="220">
        <v>10</v>
      </c>
      <c r="BE577" s="220"/>
      <c r="BF577" s="271">
        <v>2019</v>
      </c>
      <c r="BG577" s="271">
        <v>2019</v>
      </c>
      <c r="BH577" s="271"/>
      <c r="BI577" s="271" t="s">
        <v>2375</v>
      </c>
    </row>
    <row r="578" spans="1:61" s="204" customFormat="1" ht="18" customHeight="1">
      <c r="A578" s="160" t="s">
        <v>510</v>
      </c>
      <c r="B578" s="58" t="s">
        <v>262</v>
      </c>
      <c r="C578" s="148" t="s">
        <v>261</v>
      </c>
      <c r="D578" s="33" t="s">
        <v>7</v>
      </c>
      <c r="E578" s="33"/>
      <c r="F578" s="33"/>
      <c r="G578" s="33"/>
      <c r="H578" s="30" t="s">
        <v>968</v>
      </c>
      <c r="I578" s="30">
        <v>804</v>
      </c>
      <c r="J578" s="212">
        <v>43202</v>
      </c>
      <c r="K578" s="158">
        <v>12</v>
      </c>
      <c r="L578" s="158">
        <v>12</v>
      </c>
      <c r="M578" s="158"/>
      <c r="N578" s="158"/>
      <c r="O578" s="158"/>
      <c r="P578" s="158"/>
      <c r="Q578" s="158"/>
      <c r="R578" s="158"/>
      <c r="S578" s="158"/>
      <c r="T578" s="158"/>
      <c r="U578" s="94"/>
      <c r="V578" s="158"/>
      <c r="W578" s="311"/>
      <c r="X578" s="311"/>
      <c r="Y578" s="311"/>
      <c r="Z578" s="94">
        <v>442297746</v>
      </c>
      <c r="AA578" s="158">
        <v>10</v>
      </c>
      <c r="AB578" s="311">
        <v>43344</v>
      </c>
      <c r="AC578" s="158"/>
      <c r="AD578" s="158"/>
      <c r="AE578" s="158"/>
      <c r="AF578" s="158">
        <f t="shared" si="151"/>
        <v>-442297746</v>
      </c>
      <c r="AG578" s="158"/>
      <c r="AH578" s="94">
        <v>0</v>
      </c>
      <c r="AI578" s="94">
        <v>0</v>
      </c>
      <c r="AJ578" s="94"/>
      <c r="AK578" s="158">
        <f t="shared" si="148"/>
        <v>-442297746</v>
      </c>
      <c r="AL578" s="158"/>
      <c r="AM578" s="158"/>
      <c r="AN578" s="158"/>
      <c r="AO578" s="158"/>
      <c r="AP578" s="81"/>
      <c r="AQ578" s="81"/>
      <c r="AR578" s="81"/>
      <c r="AS578" s="81"/>
      <c r="AT578" s="98">
        <v>1</v>
      </c>
      <c r="AU578" s="58" t="s">
        <v>646</v>
      </c>
      <c r="AV578" s="453"/>
      <c r="AW578" s="51"/>
      <c r="AX578" s="56"/>
      <c r="AY578" s="56"/>
      <c r="AZ578" s="81">
        <v>12</v>
      </c>
      <c r="BA578" s="81"/>
      <c r="BB578" s="158"/>
      <c r="BC578" s="69"/>
      <c r="BD578" s="69">
        <f>+AZ578</f>
        <v>12</v>
      </c>
      <c r="BE578" s="69"/>
      <c r="BF578" s="271">
        <v>2019</v>
      </c>
      <c r="BG578" s="271">
        <v>2019</v>
      </c>
      <c r="BH578" s="271"/>
      <c r="BI578" s="271" t="s">
        <v>2375</v>
      </c>
    </row>
    <row r="579" spans="1:61" s="204" customFormat="1" ht="18" customHeight="1">
      <c r="A579" s="160" t="s">
        <v>510</v>
      </c>
      <c r="B579" s="58" t="s">
        <v>280</v>
      </c>
      <c r="C579" s="148" t="s">
        <v>951</v>
      </c>
      <c r="D579" s="33" t="s">
        <v>1005</v>
      </c>
      <c r="E579" s="33"/>
      <c r="F579" s="33"/>
      <c r="G579" s="33"/>
      <c r="H579" s="30" t="s">
        <v>968</v>
      </c>
      <c r="I579" s="30">
        <v>906</v>
      </c>
      <c r="J579" s="212">
        <v>43215</v>
      </c>
      <c r="K579" s="158">
        <v>69</v>
      </c>
      <c r="L579" s="158">
        <v>69</v>
      </c>
      <c r="M579" s="158"/>
      <c r="N579" s="158"/>
      <c r="O579" s="158"/>
      <c r="P579" s="158"/>
      <c r="Q579" s="158"/>
      <c r="R579" s="158"/>
      <c r="S579" s="158"/>
      <c r="T579" s="158"/>
      <c r="U579" s="94"/>
      <c r="V579" s="158"/>
      <c r="W579" s="311"/>
      <c r="X579" s="311"/>
      <c r="Y579" s="311"/>
      <c r="Z579" s="94"/>
      <c r="AA579" s="158"/>
      <c r="AB579" s="158"/>
      <c r="AC579" s="158"/>
      <c r="AD579" s="158"/>
      <c r="AE579" s="158"/>
      <c r="AF579" s="158">
        <f t="shared" si="151"/>
        <v>0</v>
      </c>
      <c r="AG579" s="158"/>
      <c r="AH579" s="94">
        <v>0</v>
      </c>
      <c r="AI579" s="94">
        <v>0</v>
      </c>
      <c r="AJ579" s="94"/>
      <c r="AK579" s="158">
        <f t="shared" si="148"/>
        <v>0</v>
      </c>
      <c r="AL579" s="158"/>
      <c r="AM579" s="158"/>
      <c r="AN579" s="158"/>
      <c r="AO579" s="158"/>
      <c r="AP579" s="81"/>
      <c r="AQ579" s="81"/>
      <c r="AR579" s="81"/>
      <c r="AS579" s="81"/>
      <c r="AT579" s="98">
        <v>1</v>
      </c>
      <c r="AU579" s="58" t="s">
        <v>646</v>
      </c>
      <c r="AV579" s="453"/>
      <c r="AW579" s="51"/>
      <c r="AX579" s="56"/>
      <c r="AY579" s="56"/>
      <c r="AZ579" s="81">
        <v>69</v>
      </c>
      <c r="BA579" s="81"/>
      <c r="BB579" s="158"/>
      <c r="BC579" s="69"/>
      <c r="BD579" s="69">
        <f>+AZ579</f>
        <v>69</v>
      </c>
      <c r="BE579" s="69"/>
      <c r="BF579" s="271">
        <v>2019</v>
      </c>
      <c r="BG579" s="271">
        <v>2019</v>
      </c>
      <c r="BH579" s="271"/>
      <c r="BI579" s="271" t="s">
        <v>2375</v>
      </c>
    </row>
    <row r="580" spans="1:61" s="204" customFormat="1" ht="18" customHeight="1">
      <c r="A580" s="160" t="s">
        <v>510</v>
      </c>
      <c r="B580" s="58" t="s">
        <v>197</v>
      </c>
      <c r="C580" s="148" t="s">
        <v>952</v>
      </c>
      <c r="D580" s="33" t="s">
        <v>1006</v>
      </c>
      <c r="E580" s="33"/>
      <c r="F580" s="33"/>
      <c r="G580" s="33"/>
      <c r="H580" s="30" t="s">
        <v>968</v>
      </c>
      <c r="I580" s="30">
        <v>981</v>
      </c>
      <c r="J580" s="212">
        <v>43224</v>
      </c>
      <c r="K580" s="158">
        <v>14</v>
      </c>
      <c r="L580" s="158">
        <v>14</v>
      </c>
      <c r="M580" s="158"/>
      <c r="N580" s="158"/>
      <c r="O580" s="158"/>
      <c r="P580" s="158">
        <f>977550191-122193775</f>
        <v>855356416</v>
      </c>
      <c r="Q580" s="158"/>
      <c r="R580" s="158"/>
      <c r="S580" s="158"/>
      <c r="T580" s="158"/>
      <c r="U580" s="94">
        <v>378298742</v>
      </c>
      <c r="V580" s="158">
        <v>20</v>
      </c>
      <c r="W580" s="311"/>
      <c r="X580" s="311"/>
      <c r="Y580" s="311"/>
      <c r="Z580" s="94">
        <v>477057674</v>
      </c>
      <c r="AA580" s="158">
        <v>10</v>
      </c>
      <c r="AB580" s="311">
        <v>43374</v>
      </c>
      <c r="AC580" s="158"/>
      <c r="AD580" s="158"/>
      <c r="AE580" s="158"/>
      <c r="AF580" s="158">
        <f t="shared" si="151"/>
        <v>0</v>
      </c>
      <c r="AG580" s="158"/>
      <c r="AH580" s="94">
        <v>0</v>
      </c>
      <c r="AI580" s="94">
        <v>0</v>
      </c>
      <c r="AJ580" s="94"/>
      <c r="AK580" s="158">
        <f t="shared" si="148"/>
        <v>0</v>
      </c>
      <c r="AL580" s="158">
        <v>877</v>
      </c>
      <c r="AM580" s="158">
        <v>20</v>
      </c>
      <c r="AN580" s="158"/>
      <c r="AO580" s="158"/>
      <c r="AP580" s="81"/>
      <c r="AQ580" s="81"/>
      <c r="AR580" s="81"/>
      <c r="AS580" s="81"/>
      <c r="AT580" s="98">
        <v>1</v>
      </c>
      <c r="AU580" s="58" t="s">
        <v>646</v>
      </c>
      <c r="AV580" s="453"/>
      <c r="AW580" s="51"/>
      <c r="AX580" s="56"/>
      <c r="AY580" s="56"/>
      <c r="AZ580" s="81">
        <v>14</v>
      </c>
      <c r="BA580" s="81"/>
      <c r="BB580" s="81"/>
      <c r="BC580" s="220"/>
      <c r="BD580" s="220">
        <f>+AZ580</f>
        <v>14</v>
      </c>
      <c r="BE580" s="220"/>
      <c r="BF580" s="271">
        <v>2019</v>
      </c>
      <c r="BG580" s="271">
        <v>2019</v>
      </c>
      <c r="BH580" s="271"/>
      <c r="BI580" s="271" t="s">
        <v>2375</v>
      </c>
    </row>
    <row r="581" spans="1:61" s="204" customFormat="1" ht="18" customHeight="1">
      <c r="A581" s="160" t="s">
        <v>510</v>
      </c>
      <c r="B581" s="58" t="s">
        <v>197</v>
      </c>
      <c r="C581" s="148" t="s">
        <v>952</v>
      </c>
      <c r="D581" s="33" t="s">
        <v>1006</v>
      </c>
      <c r="E581" s="33"/>
      <c r="F581" s="33"/>
      <c r="G581" s="33"/>
      <c r="H581" s="30" t="s">
        <v>968</v>
      </c>
      <c r="I581" s="30">
        <v>981</v>
      </c>
      <c r="J581" s="212">
        <v>43224</v>
      </c>
      <c r="K581" s="158"/>
      <c r="L581" s="158"/>
      <c r="M581" s="158">
        <v>2</v>
      </c>
      <c r="N581" s="158"/>
      <c r="O581" s="158">
        <v>2</v>
      </c>
      <c r="P581" s="158">
        <v>122193775</v>
      </c>
      <c r="Q581" s="158"/>
      <c r="R581" s="158"/>
      <c r="S581" s="158"/>
      <c r="T581" s="158"/>
      <c r="U581" s="94"/>
      <c r="V581" s="158"/>
      <c r="W581" s="311"/>
      <c r="X581" s="311"/>
      <c r="Y581" s="311"/>
      <c r="Z581" s="94"/>
      <c r="AA581" s="158"/>
      <c r="AB581" s="158"/>
      <c r="AC581" s="158"/>
      <c r="AD581" s="158"/>
      <c r="AE581" s="158"/>
      <c r="AF581" s="158">
        <f t="shared" si="151"/>
        <v>122193775</v>
      </c>
      <c r="AG581" s="158"/>
      <c r="AH581" s="94">
        <v>0</v>
      </c>
      <c r="AI581" s="94">
        <v>122193774</v>
      </c>
      <c r="AJ581" s="94"/>
      <c r="AK581" s="75">
        <f t="shared" ref="AK581" si="152">P581-R581-U581-Z581</f>
        <v>122193775</v>
      </c>
      <c r="AL581" s="666">
        <v>877</v>
      </c>
      <c r="AM581" s="666">
        <v>20</v>
      </c>
      <c r="AN581" s="158">
        <v>2</v>
      </c>
      <c r="AO581" s="158"/>
      <c r="AP581" s="98"/>
      <c r="AQ581" s="81"/>
      <c r="AR581" s="81"/>
      <c r="AS581" s="81"/>
      <c r="AT581" s="98">
        <v>0</v>
      </c>
      <c r="AU581" s="58" t="s">
        <v>521</v>
      </c>
      <c r="AV581" s="453" t="s">
        <v>1295</v>
      </c>
      <c r="AW581" s="51"/>
      <c r="AX581" s="56"/>
      <c r="AY581" s="56"/>
      <c r="AZ581" s="98"/>
      <c r="BA581" s="98"/>
      <c r="BB581" s="98"/>
      <c r="BC581" s="292"/>
      <c r="BD581" s="292"/>
      <c r="BE581" s="292"/>
      <c r="BF581" s="271"/>
      <c r="BG581" s="271">
        <v>2019</v>
      </c>
      <c r="BH581" s="271">
        <v>2020</v>
      </c>
      <c r="BI581" s="271" t="s">
        <v>2375</v>
      </c>
    </row>
    <row r="582" spans="1:61" s="204" customFormat="1" ht="18" customHeight="1">
      <c r="A582" s="160" t="s">
        <v>510</v>
      </c>
      <c r="B582" s="58" t="s">
        <v>280</v>
      </c>
      <c r="C582" s="148" t="s">
        <v>997</v>
      </c>
      <c r="D582" s="33" t="s">
        <v>998</v>
      </c>
      <c r="E582" s="33"/>
      <c r="F582" s="33"/>
      <c r="G582" s="33"/>
      <c r="H582" s="30" t="s">
        <v>968</v>
      </c>
      <c r="I582" s="30">
        <v>1382</v>
      </c>
      <c r="J582" s="212">
        <v>43271</v>
      </c>
      <c r="K582" s="158">
        <v>9</v>
      </c>
      <c r="L582" s="158">
        <v>9</v>
      </c>
      <c r="M582" s="158"/>
      <c r="N582" s="158"/>
      <c r="O582" s="158"/>
      <c r="P582" s="158">
        <v>572317552</v>
      </c>
      <c r="Q582" s="158"/>
      <c r="R582" s="158"/>
      <c r="S582" s="158"/>
      <c r="T582" s="158"/>
      <c r="U582" s="94">
        <f>33232270+197847320</f>
        <v>231079590</v>
      </c>
      <c r="V582" s="158" t="s">
        <v>1657</v>
      </c>
      <c r="W582" s="311"/>
      <c r="X582" s="311"/>
      <c r="Y582" s="311"/>
      <c r="Z582" s="94">
        <v>341237962</v>
      </c>
      <c r="AA582" s="158">
        <v>10</v>
      </c>
      <c r="AB582" s="311">
        <v>43497</v>
      </c>
      <c r="AC582" s="311"/>
      <c r="AD582" s="158"/>
      <c r="AE582" s="158"/>
      <c r="AF582" s="158">
        <f t="shared" si="151"/>
        <v>0</v>
      </c>
      <c r="AG582" s="158"/>
      <c r="AH582" s="94">
        <v>0</v>
      </c>
      <c r="AI582" s="94">
        <v>0</v>
      </c>
      <c r="AJ582" s="94"/>
      <c r="AK582" s="158">
        <f t="shared" si="148"/>
        <v>0</v>
      </c>
      <c r="AL582" s="158">
        <v>877</v>
      </c>
      <c r="AM582" s="158">
        <v>10</v>
      </c>
      <c r="AN582" s="158"/>
      <c r="AO582" s="158"/>
      <c r="AP582" s="81"/>
      <c r="AQ582" s="81"/>
      <c r="AR582" s="81"/>
      <c r="AS582" s="81"/>
      <c r="AT582" s="98">
        <v>1</v>
      </c>
      <c r="AU582" s="58" t="s">
        <v>646</v>
      </c>
      <c r="AV582" s="453" t="s">
        <v>1709</v>
      </c>
      <c r="AW582" s="51"/>
      <c r="AX582" s="56"/>
      <c r="AY582" s="56"/>
      <c r="AZ582" s="81">
        <v>9</v>
      </c>
      <c r="BA582" s="81"/>
      <c r="BB582" s="98"/>
      <c r="BC582" s="98"/>
      <c r="BD582" s="81">
        <v>9</v>
      </c>
      <c r="BE582" s="81"/>
      <c r="BF582" s="271">
        <v>2019</v>
      </c>
      <c r="BG582" s="271">
        <v>2019</v>
      </c>
      <c r="BH582" s="271"/>
      <c r="BI582" s="271" t="s">
        <v>2375</v>
      </c>
    </row>
    <row r="583" spans="1:61" s="204" customFormat="1" ht="18" customHeight="1">
      <c r="A583" s="160" t="s">
        <v>510</v>
      </c>
      <c r="B583" s="58" t="s">
        <v>211</v>
      </c>
      <c r="C583" s="148" t="s">
        <v>1040</v>
      </c>
      <c r="D583" s="33" t="s">
        <v>7</v>
      </c>
      <c r="E583" s="33"/>
      <c r="F583" s="33"/>
      <c r="G583" s="33"/>
      <c r="H583" s="30" t="s">
        <v>968</v>
      </c>
      <c r="I583" s="30">
        <v>1365</v>
      </c>
      <c r="J583" s="212">
        <v>43271</v>
      </c>
      <c r="K583" s="158">
        <v>16</v>
      </c>
      <c r="L583" s="158">
        <v>16</v>
      </c>
      <c r="M583" s="158"/>
      <c r="N583" s="158"/>
      <c r="O583" s="158"/>
      <c r="P583" s="158">
        <v>1004456052</v>
      </c>
      <c r="Q583" s="158"/>
      <c r="R583" s="158"/>
      <c r="S583" s="158"/>
      <c r="T583" s="158"/>
      <c r="U583" s="94">
        <v>416955040</v>
      </c>
      <c r="V583" s="158">
        <v>20</v>
      </c>
      <c r="W583" s="311"/>
      <c r="X583" s="311"/>
      <c r="Y583" s="311"/>
      <c r="Z583" s="94">
        <v>587501012</v>
      </c>
      <c r="AA583" s="158">
        <v>10</v>
      </c>
      <c r="AB583" s="311">
        <v>43497</v>
      </c>
      <c r="AC583" s="311"/>
      <c r="AD583" s="158"/>
      <c r="AE583" s="158"/>
      <c r="AF583" s="158">
        <f t="shared" si="151"/>
        <v>0</v>
      </c>
      <c r="AG583" s="158"/>
      <c r="AH583" s="94">
        <v>0</v>
      </c>
      <c r="AI583" s="94">
        <v>0</v>
      </c>
      <c r="AJ583" s="94"/>
      <c r="AK583" s="158">
        <f t="shared" si="148"/>
        <v>0</v>
      </c>
      <c r="AL583" s="158">
        <v>877</v>
      </c>
      <c r="AM583" s="158">
        <v>10</v>
      </c>
      <c r="AN583" s="158"/>
      <c r="AO583" s="158"/>
      <c r="AP583" s="81"/>
      <c r="AQ583" s="81"/>
      <c r="AR583" s="81"/>
      <c r="AS583" s="81"/>
      <c r="AT583" s="98">
        <v>1</v>
      </c>
      <c r="AU583" s="58" t="s">
        <v>646</v>
      </c>
      <c r="AV583" s="453"/>
      <c r="AW583" s="51"/>
      <c r="AX583" s="56"/>
      <c r="AY583" s="56"/>
      <c r="AZ583" s="81">
        <v>16</v>
      </c>
      <c r="BA583" s="81"/>
      <c r="BB583" s="81"/>
      <c r="BC583" s="220"/>
      <c r="BD583" s="220">
        <v>16</v>
      </c>
      <c r="BE583" s="220"/>
      <c r="BF583" s="271">
        <v>2019</v>
      </c>
      <c r="BG583" s="271">
        <v>2019</v>
      </c>
      <c r="BH583" s="271"/>
      <c r="BI583" s="271" t="s">
        <v>2375</v>
      </c>
    </row>
    <row r="584" spans="1:61" s="204" customFormat="1" ht="18" customHeight="1">
      <c r="A584" s="160" t="s">
        <v>510</v>
      </c>
      <c r="B584" s="58" t="s">
        <v>197</v>
      </c>
      <c r="C584" s="148" t="s">
        <v>1091</v>
      </c>
      <c r="D584" s="33" t="s">
        <v>61</v>
      </c>
      <c r="E584" s="33"/>
      <c r="F584" s="33"/>
      <c r="G584" s="33"/>
      <c r="H584" s="30" t="s">
        <v>1058</v>
      </c>
      <c r="I584" s="30">
        <v>24</v>
      </c>
      <c r="J584" s="212">
        <v>43363</v>
      </c>
      <c r="K584" s="158">
        <v>23</v>
      </c>
      <c r="L584" s="158">
        <v>23</v>
      </c>
      <c r="M584" s="158"/>
      <c r="N584" s="158"/>
      <c r="O584" s="158"/>
      <c r="P584" s="158">
        <v>1462680130</v>
      </c>
      <c r="Q584" s="158"/>
      <c r="R584" s="158"/>
      <c r="S584" s="158"/>
      <c r="T584" s="158"/>
      <c r="U584" s="94">
        <f>282969644+361828414</f>
        <v>644798058</v>
      </c>
      <c r="V584" s="158" t="s">
        <v>1657</v>
      </c>
      <c r="W584" s="311">
        <v>43344</v>
      </c>
      <c r="X584" s="311"/>
      <c r="Y584" s="311"/>
      <c r="Z584" s="94">
        <v>817882072</v>
      </c>
      <c r="AA584" s="158">
        <v>10</v>
      </c>
      <c r="AB584" s="311">
        <v>43556</v>
      </c>
      <c r="AC584" s="311"/>
      <c r="AD584" s="158"/>
      <c r="AE584" s="158"/>
      <c r="AF584" s="158">
        <f t="shared" si="151"/>
        <v>0</v>
      </c>
      <c r="AG584" s="158"/>
      <c r="AH584" s="94">
        <v>0</v>
      </c>
      <c r="AI584" s="94">
        <v>0</v>
      </c>
      <c r="AJ584" s="94"/>
      <c r="AK584" s="158">
        <f t="shared" si="148"/>
        <v>0</v>
      </c>
      <c r="AL584" s="158">
        <v>877</v>
      </c>
      <c r="AM584" s="158">
        <v>10</v>
      </c>
      <c r="AN584" s="158"/>
      <c r="AO584" s="158"/>
      <c r="AP584" s="81"/>
      <c r="AQ584" s="81"/>
      <c r="AR584" s="81"/>
      <c r="AS584" s="81"/>
      <c r="AT584" s="98">
        <v>1</v>
      </c>
      <c r="AU584" s="58" t="s">
        <v>646</v>
      </c>
      <c r="AV584" s="453"/>
      <c r="AW584" s="51"/>
      <c r="AX584" s="56"/>
      <c r="AY584" s="56"/>
      <c r="AZ584" s="81">
        <v>23</v>
      </c>
      <c r="BA584" s="81"/>
      <c r="BB584" s="98"/>
      <c r="BC584" s="98"/>
      <c r="BD584" s="81">
        <v>23</v>
      </c>
      <c r="BE584" s="81"/>
      <c r="BF584" s="271">
        <v>2019</v>
      </c>
      <c r="BG584" s="271">
        <v>2019</v>
      </c>
      <c r="BH584" s="271"/>
      <c r="BI584" s="271" t="s">
        <v>2375</v>
      </c>
    </row>
    <row r="585" spans="1:61" s="204" customFormat="1" ht="25.5" customHeight="1">
      <c r="A585" s="230" t="s">
        <v>510</v>
      </c>
      <c r="B585" s="58" t="s">
        <v>197</v>
      </c>
      <c r="C585" s="55" t="s">
        <v>1092</v>
      </c>
      <c r="D585" s="33" t="s">
        <v>1093</v>
      </c>
      <c r="E585" s="33"/>
      <c r="F585" s="33"/>
      <c r="G585" s="33"/>
      <c r="H585" s="30" t="s">
        <v>1058</v>
      </c>
      <c r="I585" s="30">
        <v>30</v>
      </c>
      <c r="J585" s="212">
        <v>43363</v>
      </c>
      <c r="K585" s="158">
        <v>73</v>
      </c>
      <c r="L585" s="158">
        <f>75-1-1</f>
        <v>73</v>
      </c>
      <c r="M585" s="158"/>
      <c r="N585" s="158"/>
      <c r="O585" s="158"/>
      <c r="P585" s="158">
        <f>4936976625-65826355-65826355</f>
        <v>4805323915</v>
      </c>
      <c r="Q585" s="158"/>
      <c r="R585" s="158"/>
      <c r="S585" s="158"/>
      <c r="T585" s="158"/>
      <c r="U585" s="94">
        <v>2136627030</v>
      </c>
      <c r="V585" s="158">
        <v>10</v>
      </c>
      <c r="W585" s="311">
        <v>43344</v>
      </c>
      <c r="X585" s="311"/>
      <c r="Y585" s="311"/>
      <c r="Z585" s="94">
        <v>2668696885</v>
      </c>
      <c r="AA585" s="158">
        <v>10</v>
      </c>
      <c r="AB585" s="311">
        <v>43556</v>
      </c>
      <c r="AC585" s="329"/>
      <c r="AD585" s="5"/>
      <c r="AE585" s="158"/>
      <c r="AF585" s="158">
        <f t="shared" si="151"/>
        <v>0</v>
      </c>
      <c r="AG585" s="158"/>
      <c r="AH585" s="94">
        <v>0</v>
      </c>
      <c r="AI585" s="94">
        <v>0</v>
      </c>
      <c r="AJ585" s="94"/>
      <c r="AK585" s="158">
        <f t="shared" si="148"/>
        <v>0</v>
      </c>
      <c r="AL585" s="158">
        <v>877</v>
      </c>
      <c r="AM585" s="158">
        <v>10</v>
      </c>
      <c r="AN585" s="158"/>
      <c r="AO585" s="158"/>
      <c r="AP585" s="81"/>
      <c r="AQ585" s="81"/>
      <c r="AR585" s="81"/>
      <c r="AS585" s="81"/>
      <c r="AT585" s="98">
        <v>1</v>
      </c>
      <c r="AU585" s="58" t="s">
        <v>646</v>
      </c>
      <c r="AV585" s="453">
        <v>65.64</v>
      </c>
      <c r="AW585" s="51"/>
      <c r="AX585" s="56"/>
      <c r="AY585" s="56"/>
      <c r="AZ585" s="81">
        <v>73</v>
      </c>
      <c r="BA585" s="81"/>
      <c r="BB585" s="98"/>
      <c r="BC585" s="98"/>
      <c r="BD585" s="81">
        <v>73</v>
      </c>
      <c r="BE585" s="81"/>
      <c r="BF585" s="271">
        <v>2019</v>
      </c>
      <c r="BG585" s="271">
        <v>2019</v>
      </c>
      <c r="BH585" s="271"/>
      <c r="BI585" s="271" t="s">
        <v>2375</v>
      </c>
    </row>
    <row r="586" spans="1:61" s="204" customFormat="1" ht="25.5" customHeight="1">
      <c r="A586" s="160" t="s">
        <v>510</v>
      </c>
      <c r="B586" s="58" t="s">
        <v>197</v>
      </c>
      <c r="C586" s="55" t="s">
        <v>1092</v>
      </c>
      <c r="D586" s="33" t="s">
        <v>1093</v>
      </c>
      <c r="E586" s="33"/>
      <c r="F586" s="33"/>
      <c r="G586" s="33"/>
      <c r="H586" s="30" t="s">
        <v>1058</v>
      </c>
      <c r="I586" s="78">
        <v>30</v>
      </c>
      <c r="J586" s="212">
        <v>43363</v>
      </c>
      <c r="K586" s="158">
        <v>1</v>
      </c>
      <c r="L586" s="158">
        <v>1</v>
      </c>
      <c r="M586" s="158"/>
      <c r="N586" s="158"/>
      <c r="O586" s="158"/>
      <c r="P586" s="12">
        <v>65826355</v>
      </c>
      <c r="Q586" s="12"/>
      <c r="R586" s="158"/>
      <c r="S586" s="158"/>
      <c r="T586" s="12"/>
      <c r="U586" s="94"/>
      <c r="V586" s="96"/>
      <c r="W586" s="311"/>
      <c r="X586" s="311"/>
      <c r="Y586" s="311"/>
      <c r="Z586" s="94"/>
      <c r="AA586" s="222"/>
      <c r="AB586" s="222"/>
      <c r="AC586" s="222"/>
      <c r="AD586" s="158">
        <v>65826355</v>
      </c>
      <c r="AE586" s="158"/>
      <c r="AF586" s="158">
        <f>P586-U586-Z586-AD586</f>
        <v>0</v>
      </c>
      <c r="AG586" s="158"/>
      <c r="AH586" s="94">
        <v>0</v>
      </c>
      <c r="AI586" s="94">
        <v>0</v>
      </c>
      <c r="AJ586" s="94"/>
      <c r="AK586" s="666">
        <f t="shared" si="148"/>
        <v>0</v>
      </c>
      <c r="AL586" s="666">
        <v>877</v>
      </c>
      <c r="AM586" s="666">
        <v>20</v>
      </c>
      <c r="AN586" s="158"/>
      <c r="AO586" s="158"/>
      <c r="AP586" s="98"/>
      <c r="AQ586" s="81"/>
      <c r="AR586" s="81"/>
      <c r="AS586" s="81"/>
      <c r="AT586" s="98">
        <v>0</v>
      </c>
      <c r="AU586" s="58" t="s">
        <v>687</v>
      </c>
      <c r="AV586" s="453" t="s">
        <v>1357</v>
      </c>
      <c r="AW586" s="51"/>
      <c r="AX586" s="56"/>
      <c r="AY586" s="56"/>
      <c r="AZ586" s="56"/>
      <c r="BA586" s="56"/>
      <c r="BB586" s="56"/>
      <c r="BC586" s="291"/>
      <c r="BD586" s="291"/>
      <c r="BE586" s="69">
        <v>1</v>
      </c>
      <c r="BF586" s="271" t="s">
        <v>1706</v>
      </c>
      <c r="BG586" s="271">
        <v>2019</v>
      </c>
      <c r="BH586" s="271"/>
      <c r="BI586" s="271" t="s">
        <v>2375</v>
      </c>
    </row>
    <row r="587" spans="1:61" s="204" customFormat="1" ht="18" customHeight="1">
      <c r="A587" s="160" t="s">
        <v>510</v>
      </c>
      <c r="B587" s="58" t="s">
        <v>197</v>
      </c>
      <c r="C587" s="148" t="s">
        <v>1092</v>
      </c>
      <c r="D587" s="33" t="s">
        <v>1093</v>
      </c>
      <c r="E587" s="33"/>
      <c r="F587" s="33"/>
      <c r="G587" s="33"/>
      <c r="H587" s="30" t="s">
        <v>1058</v>
      </c>
      <c r="I587" s="78">
        <v>30</v>
      </c>
      <c r="J587" s="212">
        <v>43363</v>
      </c>
      <c r="K587" s="158">
        <v>1</v>
      </c>
      <c r="L587" s="158">
        <v>1</v>
      </c>
      <c r="M587" s="158"/>
      <c r="N587" s="158">
        <v>0</v>
      </c>
      <c r="O587" s="158"/>
      <c r="P587" s="12">
        <v>65826355</v>
      </c>
      <c r="Q587" s="12"/>
      <c r="R587" s="158"/>
      <c r="S587" s="158"/>
      <c r="T587" s="12"/>
      <c r="U587" s="94"/>
      <c r="V587" s="96"/>
      <c r="W587" s="311"/>
      <c r="X587" s="311"/>
      <c r="Y587" s="311"/>
      <c r="Z587" s="94"/>
      <c r="AA587" s="222"/>
      <c r="AB587" s="222"/>
      <c r="AC587" s="222"/>
      <c r="AD587" s="222"/>
      <c r="AE587" s="158"/>
      <c r="AF587" s="158">
        <f t="shared" si="151"/>
        <v>65826355</v>
      </c>
      <c r="AG587" s="158"/>
      <c r="AH587" s="94">
        <v>0</v>
      </c>
      <c r="AI587" s="94">
        <v>65826355</v>
      </c>
      <c r="AJ587" s="94"/>
      <c r="AK587" s="602">
        <f t="shared" ref="AK587" si="153">P587-R587-U587-Z587</f>
        <v>65826355</v>
      </c>
      <c r="AL587" s="72">
        <v>877</v>
      </c>
      <c r="AM587" s="72">
        <v>10</v>
      </c>
      <c r="AN587" s="158"/>
      <c r="AO587" s="158"/>
      <c r="AP587" s="227"/>
      <c r="AQ587" s="81"/>
      <c r="AR587" s="81"/>
      <c r="AS587" s="81"/>
      <c r="AT587" s="98">
        <v>1</v>
      </c>
      <c r="AU587" s="58" t="s">
        <v>646</v>
      </c>
      <c r="AV587" s="348"/>
      <c r="AW587" s="51"/>
      <c r="AX587" s="56"/>
      <c r="AY587" s="56"/>
      <c r="AZ587" s="60">
        <v>1</v>
      </c>
      <c r="BA587" s="60"/>
      <c r="BB587" s="56"/>
      <c r="BC587" s="553"/>
      <c r="BD587" s="60">
        <v>1</v>
      </c>
      <c r="BE587" s="60"/>
      <c r="BF587" s="271">
        <v>2019</v>
      </c>
      <c r="BG587" s="271">
        <v>2019</v>
      </c>
      <c r="BH587" s="271" t="s">
        <v>2194</v>
      </c>
      <c r="BI587" s="271" t="s">
        <v>2375</v>
      </c>
    </row>
    <row r="588" spans="1:61" s="204" customFormat="1" ht="18" customHeight="1">
      <c r="A588" s="160" t="s">
        <v>510</v>
      </c>
      <c r="B588" s="58" t="s">
        <v>546</v>
      </c>
      <c r="C588" s="148" t="s">
        <v>1126</v>
      </c>
      <c r="D588" s="33" t="s">
        <v>7</v>
      </c>
      <c r="E588" s="33"/>
      <c r="F588" s="33"/>
      <c r="G588" s="33"/>
      <c r="H588" s="30" t="s">
        <v>1116</v>
      </c>
      <c r="I588" s="30">
        <v>337</v>
      </c>
      <c r="J588" s="212">
        <v>43406</v>
      </c>
      <c r="K588" s="158">
        <v>20</v>
      </c>
      <c r="L588" s="158">
        <v>20</v>
      </c>
      <c r="M588" s="158"/>
      <c r="N588" s="158"/>
      <c r="O588" s="158"/>
      <c r="P588" s="158">
        <v>1287513236</v>
      </c>
      <c r="Q588" s="158"/>
      <c r="R588" s="158"/>
      <c r="S588" s="158"/>
      <c r="T588" s="158"/>
      <c r="U588" s="94">
        <v>534679260</v>
      </c>
      <c r="V588" s="158">
        <v>10</v>
      </c>
      <c r="W588" s="311">
        <v>43405</v>
      </c>
      <c r="X588" s="311"/>
      <c r="Y588" s="311"/>
      <c r="Z588" s="94">
        <v>752833976</v>
      </c>
      <c r="AA588" s="214">
        <v>10</v>
      </c>
      <c r="AB588" s="311">
        <v>43556</v>
      </c>
      <c r="AC588" s="311"/>
      <c r="AD588" s="214"/>
      <c r="AE588" s="158"/>
      <c r="AF588" s="158">
        <f t="shared" si="151"/>
        <v>0</v>
      </c>
      <c r="AG588" s="158"/>
      <c r="AH588" s="94">
        <v>0</v>
      </c>
      <c r="AI588" s="94">
        <v>0</v>
      </c>
      <c r="AJ588" s="94"/>
      <c r="AK588" s="158">
        <f t="shared" si="148"/>
        <v>0</v>
      </c>
      <c r="AL588" s="158">
        <v>877</v>
      </c>
      <c r="AM588" s="158">
        <v>10</v>
      </c>
      <c r="AN588" s="158"/>
      <c r="AO588" s="158"/>
      <c r="AP588" s="81"/>
      <c r="AQ588" s="81"/>
      <c r="AR588" s="81"/>
      <c r="AS588" s="81"/>
      <c r="AT588" s="98">
        <v>1</v>
      </c>
      <c r="AU588" s="58" t="s">
        <v>646</v>
      </c>
      <c r="AV588" s="348"/>
      <c r="AW588" s="51"/>
      <c r="AX588" s="56"/>
      <c r="AY588" s="56"/>
      <c r="AZ588" s="51">
        <v>20</v>
      </c>
      <c r="BA588" s="51"/>
      <c r="BB588" s="56"/>
      <c r="BC588" s="291"/>
      <c r="BD588" s="71">
        <v>20</v>
      </c>
      <c r="BE588" s="71"/>
      <c r="BF588" s="271">
        <v>2019</v>
      </c>
      <c r="BG588" s="271">
        <v>2019</v>
      </c>
      <c r="BH588" s="271"/>
      <c r="BI588" s="271" t="s">
        <v>2375</v>
      </c>
    </row>
    <row r="589" spans="1:61" s="204" customFormat="1" ht="18" customHeight="1">
      <c r="A589" s="160" t="s">
        <v>510</v>
      </c>
      <c r="B589" s="58" t="s">
        <v>264</v>
      </c>
      <c r="C589" s="149" t="s">
        <v>263</v>
      </c>
      <c r="D589" s="33" t="s">
        <v>7</v>
      </c>
      <c r="E589" s="33"/>
      <c r="F589" s="33"/>
      <c r="G589" s="33"/>
      <c r="H589" s="30" t="s">
        <v>1116</v>
      </c>
      <c r="I589" s="78">
        <v>336</v>
      </c>
      <c r="J589" s="212">
        <v>43406</v>
      </c>
      <c r="K589" s="158">
        <v>10</v>
      </c>
      <c r="L589" s="158">
        <v>10</v>
      </c>
      <c r="M589" s="158"/>
      <c r="N589" s="158">
        <v>10</v>
      </c>
      <c r="O589" s="158"/>
      <c r="P589" s="158">
        <v>647087621</v>
      </c>
      <c r="Q589" s="158"/>
      <c r="R589" s="158"/>
      <c r="S589" s="158"/>
      <c r="T589" s="158"/>
      <c r="U589" s="94">
        <v>259620986</v>
      </c>
      <c r="V589" s="158">
        <v>10</v>
      </c>
      <c r="W589" s="311">
        <v>43917</v>
      </c>
      <c r="X589" s="311"/>
      <c r="Y589" s="311"/>
      <c r="Z589" s="94">
        <v>0</v>
      </c>
      <c r="AA589" s="221"/>
      <c r="AB589" s="221"/>
      <c r="AC589" s="221"/>
      <c r="AD589" s="221"/>
      <c r="AE589" s="158"/>
      <c r="AF589" s="158">
        <f t="shared" ref="AF589:AF590" si="154">P589</f>
        <v>647087621</v>
      </c>
      <c r="AG589" s="158"/>
      <c r="AH589" s="94">
        <v>0</v>
      </c>
      <c r="AI589" s="94">
        <v>647087621</v>
      </c>
      <c r="AJ589" s="94"/>
      <c r="AK589" s="602">
        <f t="shared" ref="AK589:AK593" si="155">P589-R589-U589-Z589</f>
        <v>387466635</v>
      </c>
      <c r="AL589" s="72">
        <v>877</v>
      </c>
      <c r="AM589" s="72">
        <v>10</v>
      </c>
      <c r="AN589" s="446"/>
      <c r="AO589" s="158">
        <v>10</v>
      </c>
      <c r="AP589" s="98"/>
      <c r="AQ589" s="81"/>
      <c r="AR589" s="81"/>
      <c r="AS589" s="81"/>
      <c r="AT589" s="98">
        <v>0.1903</v>
      </c>
      <c r="AU589" s="58" t="s">
        <v>38</v>
      </c>
      <c r="AV589" s="348" t="s">
        <v>2233</v>
      </c>
      <c r="AW589" s="51"/>
      <c r="AX589" s="56"/>
      <c r="AY589" s="56"/>
      <c r="AZ589" s="56"/>
      <c r="BA589" s="56"/>
      <c r="BB589" s="56"/>
      <c r="BC589" s="291"/>
      <c r="BD589" s="291"/>
      <c r="BE589" s="291"/>
      <c r="BF589" s="271"/>
      <c r="BG589" s="271">
        <v>2019</v>
      </c>
      <c r="BH589" s="271">
        <v>2020</v>
      </c>
      <c r="BI589" s="271" t="s">
        <v>2375</v>
      </c>
    </row>
    <row r="590" spans="1:61" s="204" customFormat="1" ht="18" customHeight="1">
      <c r="A590" s="160" t="s">
        <v>510</v>
      </c>
      <c r="B590" s="58" t="s">
        <v>264</v>
      </c>
      <c r="C590" s="149" t="s">
        <v>263</v>
      </c>
      <c r="D590" s="33" t="s">
        <v>566</v>
      </c>
      <c r="E590" s="33"/>
      <c r="F590" s="33"/>
      <c r="G590" s="33"/>
      <c r="H590" s="30" t="s">
        <v>1605</v>
      </c>
      <c r="I590" s="30">
        <v>1376</v>
      </c>
      <c r="J590" s="212">
        <v>43685</v>
      </c>
      <c r="K590" s="158"/>
      <c r="L590" s="158"/>
      <c r="M590" s="158">
        <v>1</v>
      </c>
      <c r="N590" s="158">
        <v>1</v>
      </c>
      <c r="O590" s="158"/>
      <c r="P590" s="158">
        <v>64541123</v>
      </c>
      <c r="Q590" s="158"/>
      <c r="R590" s="158"/>
      <c r="S590" s="158"/>
      <c r="T590" s="158"/>
      <c r="U590" s="94">
        <v>34734582</v>
      </c>
      <c r="V590" s="158">
        <v>10</v>
      </c>
      <c r="W590" s="311">
        <v>43917</v>
      </c>
      <c r="X590" s="311"/>
      <c r="Y590" s="311"/>
      <c r="Z590" s="94"/>
      <c r="AA590" s="69"/>
      <c r="AB590" s="284"/>
      <c r="AC590" s="284"/>
      <c r="AD590" s="284"/>
      <c r="AE590" s="158"/>
      <c r="AF590" s="158">
        <f t="shared" si="154"/>
        <v>64541123</v>
      </c>
      <c r="AG590" s="158"/>
      <c r="AH590" s="158"/>
      <c r="AI590" s="158">
        <v>64541123</v>
      </c>
      <c r="AJ590" s="158"/>
      <c r="AK590" s="602">
        <f t="shared" si="155"/>
        <v>29806541</v>
      </c>
      <c r="AL590" s="72">
        <v>877</v>
      </c>
      <c r="AM590" s="72">
        <v>10</v>
      </c>
      <c r="AN590" s="446"/>
      <c r="AO590" s="158">
        <v>1</v>
      </c>
      <c r="AP590" s="98"/>
      <c r="AQ590" s="81"/>
      <c r="AR590" s="81"/>
      <c r="AS590" s="81"/>
      <c r="AT590" s="98">
        <v>0.1903</v>
      </c>
      <c r="AU590" s="58" t="s">
        <v>38</v>
      </c>
      <c r="AV590" s="386" t="s">
        <v>2174</v>
      </c>
      <c r="AW590" s="51"/>
      <c r="AX590" s="56"/>
      <c r="AY590" s="56"/>
      <c r="AZ590" s="56"/>
      <c r="BA590" s="56"/>
      <c r="BB590" s="56"/>
      <c r="BC590" s="291"/>
      <c r="BD590" s="291"/>
      <c r="BE590" s="291"/>
      <c r="BF590" s="271"/>
      <c r="BG590" s="271">
        <v>2019</v>
      </c>
      <c r="BH590" s="271">
        <v>2020</v>
      </c>
      <c r="BI590" s="271" t="s">
        <v>2375</v>
      </c>
    </row>
    <row r="591" spans="1:61" s="204" customFormat="1" ht="18" customHeight="1">
      <c r="A591" s="160" t="s">
        <v>510</v>
      </c>
      <c r="B591" s="58" t="s">
        <v>197</v>
      </c>
      <c r="C591" s="148" t="s">
        <v>1211</v>
      </c>
      <c r="D591" s="33" t="s">
        <v>222</v>
      </c>
      <c r="E591" s="33"/>
      <c r="F591" s="33"/>
      <c r="G591" s="33"/>
      <c r="H591" s="30" t="s">
        <v>1113</v>
      </c>
      <c r="I591" s="78">
        <v>783</v>
      </c>
      <c r="J591" s="212">
        <v>43455</v>
      </c>
      <c r="K591" s="158">
        <v>68</v>
      </c>
      <c r="L591" s="158">
        <v>68</v>
      </c>
      <c r="M591" s="158"/>
      <c r="N591" s="158">
        <v>68</v>
      </c>
      <c r="O591" s="158"/>
      <c r="P591" s="12">
        <v>4476265319</v>
      </c>
      <c r="Q591" s="12"/>
      <c r="R591" s="158"/>
      <c r="S591" s="158"/>
      <c r="T591" s="12"/>
      <c r="U591" s="94">
        <v>2434466702</v>
      </c>
      <c r="V591" s="158">
        <v>10</v>
      </c>
      <c r="W591" s="311">
        <v>43497</v>
      </c>
      <c r="X591" s="311"/>
      <c r="Y591" s="311"/>
      <c r="Z591" s="94">
        <v>2041798617</v>
      </c>
      <c r="AA591" s="221">
        <v>10</v>
      </c>
      <c r="AB591" s="311">
        <v>43647</v>
      </c>
      <c r="AC591" s="577"/>
      <c r="AD591" s="221"/>
      <c r="AE591" s="158"/>
      <c r="AF591" s="158">
        <f t="shared" si="151"/>
        <v>0</v>
      </c>
      <c r="AG591" s="158"/>
      <c r="AH591" s="158">
        <v>0</v>
      </c>
      <c r="AI591" s="158">
        <v>0</v>
      </c>
      <c r="AJ591" s="94"/>
      <c r="AK591" s="158">
        <f t="shared" si="155"/>
        <v>0</v>
      </c>
      <c r="AL591" s="158">
        <v>877</v>
      </c>
      <c r="AM591" s="158">
        <v>10</v>
      </c>
      <c r="AN591" s="158"/>
      <c r="AO591" s="158"/>
      <c r="AP591" s="81">
        <v>68</v>
      </c>
      <c r="AQ591" s="81"/>
      <c r="AR591" s="81"/>
      <c r="AS591" s="81"/>
      <c r="AT591" s="98">
        <v>1</v>
      </c>
      <c r="AU591" s="58" t="s">
        <v>646</v>
      </c>
      <c r="AV591" s="348" t="s">
        <v>1420</v>
      </c>
      <c r="AW591" s="51"/>
      <c r="AX591" s="56"/>
      <c r="AY591" s="56"/>
      <c r="AZ591" s="56"/>
      <c r="BA591" s="81">
        <v>68</v>
      </c>
      <c r="BB591" s="56"/>
      <c r="BC591" s="56"/>
      <c r="BD591" s="81">
        <v>68</v>
      </c>
      <c r="BE591" s="81"/>
      <c r="BF591" s="271">
        <v>2020</v>
      </c>
      <c r="BG591" s="271">
        <v>2019</v>
      </c>
      <c r="BH591" s="430">
        <v>2020</v>
      </c>
      <c r="BI591" s="271" t="s">
        <v>2375</v>
      </c>
    </row>
    <row r="592" spans="1:61" s="204" customFormat="1" ht="18" customHeight="1">
      <c r="A592" s="160" t="s">
        <v>510</v>
      </c>
      <c r="B592" s="58" t="s">
        <v>216</v>
      </c>
      <c r="C592" s="148" t="s">
        <v>1212</v>
      </c>
      <c r="D592" s="33" t="s">
        <v>772</v>
      </c>
      <c r="E592" s="33"/>
      <c r="F592" s="33"/>
      <c r="G592" s="33"/>
      <c r="H592" s="30" t="s">
        <v>1116</v>
      </c>
      <c r="I592" s="78">
        <v>348</v>
      </c>
      <c r="J592" s="212">
        <v>43410</v>
      </c>
      <c r="K592" s="158">
        <f>39-2</f>
        <v>37</v>
      </c>
      <c r="L592" s="158">
        <v>37</v>
      </c>
      <c r="M592" s="158"/>
      <c r="N592" s="158"/>
      <c r="O592" s="158">
        <v>37</v>
      </c>
      <c r="P592" s="158">
        <f>2554566991-122346883</f>
        <v>2432220108</v>
      </c>
      <c r="Q592" s="158"/>
      <c r="R592" s="158"/>
      <c r="S592" s="158"/>
      <c r="T592" s="158"/>
      <c r="U592" s="94">
        <v>1079687017</v>
      </c>
      <c r="V592" s="158">
        <v>10</v>
      </c>
      <c r="W592" s="311">
        <v>43405</v>
      </c>
      <c r="X592" s="311"/>
      <c r="Y592" s="311"/>
      <c r="Z592" s="94">
        <v>1352533091</v>
      </c>
      <c r="AA592" s="221">
        <v>20</v>
      </c>
      <c r="AB592" s="311">
        <v>43739</v>
      </c>
      <c r="AC592" s="577"/>
      <c r="AD592" s="221"/>
      <c r="AE592" s="158"/>
      <c r="AF592" s="158">
        <f t="shared" si="151"/>
        <v>0</v>
      </c>
      <c r="AG592" s="158"/>
      <c r="AH592" s="158">
        <v>0</v>
      </c>
      <c r="AI592" s="158">
        <v>0</v>
      </c>
      <c r="AJ592" s="94"/>
      <c r="AK592" s="158">
        <f t="shared" si="155"/>
        <v>0</v>
      </c>
      <c r="AL592" s="158">
        <v>877</v>
      </c>
      <c r="AM592" s="158">
        <v>20</v>
      </c>
      <c r="AN592" s="158"/>
      <c r="AO592" s="158"/>
      <c r="AP592" s="158"/>
      <c r="AQ592" s="81">
        <v>37</v>
      </c>
      <c r="AR592" s="81"/>
      <c r="AS592" s="81"/>
      <c r="AT592" s="98">
        <v>0.60670000000000002</v>
      </c>
      <c r="AU592" s="58" t="s">
        <v>942</v>
      </c>
      <c r="AV592" s="348"/>
      <c r="AW592" s="51"/>
      <c r="AX592" s="56"/>
      <c r="AY592" s="56"/>
      <c r="AZ592" s="56"/>
      <c r="BA592" s="56"/>
      <c r="BB592" s="56"/>
      <c r="BC592" s="291"/>
      <c r="BD592" s="291"/>
      <c r="BE592" s="291"/>
      <c r="BF592" s="271"/>
      <c r="BG592" s="271">
        <v>2019</v>
      </c>
      <c r="BH592" s="430">
        <v>2020</v>
      </c>
      <c r="BI592" s="271" t="s">
        <v>2375</v>
      </c>
    </row>
    <row r="593" spans="1:61" s="204" customFormat="1" ht="18" customHeight="1">
      <c r="A593" s="160" t="s">
        <v>510</v>
      </c>
      <c r="B593" s="58" t="s">
        <v>216</v>
      </c>
      <c r="C593" s="148" t="s">
        <v>1212</v>
      </c>
      <c r="D593" s="33" t="s">
        <v>772</v>
      </c>
      <c r="E593" s="33"/>
      <c r="F593" s="33"/>
      <c r="G593" s="33"/>
      <c r="H593" s="30" t="s">
        <v>1116</v>
      </c>
      <c r="I593" s="78">
        <v>348</v>
      </c>
      <c r="J593" s="212">
        <v>43410</v>
      </c>
      <c r="K593" s="158">
        <v>2</v>
      </c>
      <c r="L593" s="158">
        <v>2</v>
      </c>
      <c r="M593" s="158"/>
      <c r="N593" s="158"/>
      <c r="O593" s="158">
        <v>2</v>
      </c>
      <c r="P593" s="158">
        <v>122346883</v>
      </c>
      <c r="Q593" s="158"/>
      <c r="R593" s="158"/>
      <c r="S593" s="158"/>
      <c r="T593" s="158"/>
      <c r="U593" s="94"/>
      <c r="V593" s="158"/>
      <c r="W593" s="311"/>
      <c r="X593" s="311"/>
      <c r="Y593" s="311"/>
      <c r="Z593" s="94"/>
      <c r="AA593" s="221"/>
      <c r="AB593" s="221"/>
      <c r="AC593" s="221"/>
      <c r="AD593" s="221"/>
      <c r="AE593" s="158"/>
      <c r="AF593" s="158">
        <f t="shared" si="151"/>
        <v>122346883</v>
      </c>
      <c r="AG593" s="158"/>
      <c r="AH593" s="158">
        <v>0</v>
      </c>
      <c r="AI593" s="158">
        <v>122346883</v>
      </c>
      <c r="AJ593" s="94"/>
      <c r="AK593" s="666">
        <f t="shared" si="155"/>
        <v>122346883</v>
      </c>
      <c r="AL593" s="666">
        <v>877</v>
      </c>
      <c r="AM593" s="666">
        <v>20</v>
      </c>
      <c r="AN593" s="158"/>
      <c r="AO593" s="158"/>
      <c r="AP593" s="158"/>
      <c r="AQ593" s="81">
        <v>2</v>
      </c>
      <c r="AR593" s="81"/>
      <c r="AS593" s="81"/>
      <c r="AT593" s="98">
        <v>0</v>
      </c>
      <c r="AU593" s="58" t="s">
        <v>942</v>
      </c>
      <c r="AV593" s="348"/>
      <c r="AW593" s="51"/>
      <c r="AX593" s="56"/>
      <c r="AY593" s="56"/>
      <c r="AZ593" s="56"/>
      <c r="BA593" s="56"/>
      <c r="BB593" s="56"/>
      <c r="BC593" s="291"/>
      <c r="BD593" s="291"/>
      <c r="BE593" s="291"/>
      <c r="BF593" s="271"/>
      <c r="BG593" s="271">
        <v>2019</v>
      </c>
      <c r="BH593" s="271">
        <v>2020</v>
      </c>
      <c r="BI593" s="271" t="s">
        <v>2375</v>
      </c>
    </row>
    <row r="594" spans="1:61" s="204" customFormat="1" ht="18" customHeight="1">
      <c r="A594" s="248" t="s">
        <v>510</v>
      </c>
      <c r="B594" s="58" t="s">
        <v>280</v>
      </c>
      <c r="C594" s="148" t="s">
        <v>1157</v>
      </c>
      <c r="D594" s="33" t="s">
        <v>57</v>
      </c>
      <c r="E594" s="33"/>
      <c r="F594" s="33"/>
      <c r="G594" s="33"/>
      <c r="H594" s="30" t="s">
        <v>1113</v>
      </c>
      <c r="I594" s="30">
        <v>736</v>
      </c>
      <c r="J594" s="212">
        <v>43453</v>
      </c>
      <c r="K594" s="158">
        <v>21</v>
      </c>
      <c r="L594" s="158">
        <v>21</v>
      </c>
      <c r="M594" s="158"/>
      <c r="N594" s="158"/>
      <c r="O594" s="158"/>
      <c r="P594" s="158">
        <v>1381517520</v>
      </c>
      <c r="Q594" s="158"/>
      <c r="R594" s="158"/>
      <c r="S594" s="158"/>
      <c r="T594" s="158"/>
      <c r="U594" s="94">
        <v>717358060</v>
      </c>
      <c r="V594" s="158">
        <v>10</v>
      </c>
      <c r="W594" s="311">
        <v>43497</v>
      </c>
      <c r="X594" s="311"/>
      <c r="Y594" s="311"/>
      <c r="Z594" s="94">
        <v>664159460</v>
      </c>
      <c r="AA594" s="158">
        <v>10</v>
      </c>
      <c r="AB594" s="311">
        <v>43617</v>
      </c>
      <c r="AC594" s="583"/>
      <c r="AD594" s="92"/>
      <c r="AE594" s="158"/>
      <c r="AF594" s="158">
        <f t="shared" si="151"/>
        <v>0</v>
      </c>
      <c r="AG594" s="158"/>
      <c r="AH594" s="158">
        <v>0</v>
      </c>
      <c r="AI594" s="158">
        <v>0</v>
      </c>
      <c r="AJ594" s="94"/>
      <c r="AK594" s="158">
        <f t="shared" si="148"/>
        <v>0</v>
      </c>
      <c r="AL594" s="158">
        <v>877</v>
      </c>
      <c r="AM594" s="158">
        <v>10</v>
      </c>
      <c r="AN594" s="158"/>
      <c r="AO594" s="158"/>
      <c r="AP594" s="158"/>
      <c r="AQ594" s="81"/>
      <c r="AR594" s="81"/>
      <c r="AS594" s="81"/>
      <c r="AT594" s="98">
        <v>1</v>
      </c>
      <c r="AU594" s="58" t="s">
        <v>646</v>
      </c>
      <c r="AV594" s="348"/>
      <c r="AW594" s="51"/>
      <c r="AX594" s="56"/>
      <c r="AY594" s="56"/>
      <c r="AZ594" s="81">
        <v>21</v>
      </c>
      <c r="BA594" s="81"/>
      <c r="BB594" s="56"/>
      <c r="BC594" s="56"/>
      <c r="BD594" s="81">
        <v>21</v>
      </c>
      <c r="BE594" s="81"/>
      <c r="BF594" s="271">
        <v>2019</v>
      </c>
      <c r="BG594" s="271">
        <v>2019</v>
      </c>
      <c r="BH594" s="271"/>
      <c r="BI594" s="271" t="s">
        <v>2375</v>
      </c>
    </row>
    <row r="595" spans="1:61" s="204" customFormat="1" ht="18" customHeight="1">
      <c r="A595" s="160" t="s">
        <v>510</v>
      </c>
      <c r="B595" s="58" t="s">
        <v>211</v>
      </c>
      <c r="C595" s="148" t="s">
        <v>1158</v>
      </c>
      <c r="D595" s="33" t="s">
        <v>7</v>
      </c>
      <c r="E595" s="33"/>
      <c r="F595" s="33"/>
      <c r="G595" s="33"/>
      <c r="H595" s="30" t="s">
        <v>1113</v>
      </c>
      <c r="I595" s="30">
        <v>730</v>
      </c>
      <c r="J595" s="212">
        <v>43453</v>
      </c>
      <c r="K595" s="158">
        <v>7</v>
      </c>
      <c r="L595" s="158">
        <v>7</v>
      </c>
      <c r="M595" s="158"/>
      <c r="N595" s="158"/>
      <c r="O595" s="158"/>
      <c r="P595" s="158">
        <v>459433662</v>
      </c>
      <c r="Q595" s="158"/>
      <c r="R595" s="158"/>
      <c r="S595" s="158"/>
      <c r="T595" s="158"/>
      <c r="U595" s="94">
        <v>237999156</v>
      </c>
      <c r="V595" s="158">
        <v>10</v>
      </c>
      <c r="W595" s="311">
        <v>43435</v>
      </c>
      <c r="X595" s="311"/>
      <c r="Y595" s="311"/>
      <c r="Z595" s="94">
        <v>221434506</v>
      </c>
      <c r="AA595" s="158">
        <v>10</v>
      </c>
      <c r="AB595" s="311">
        <v>43586</v>
      </c>
      <c r="AC595" s="311"/>
      <c r="AD595" s="158"/>
      <c r="AE595" s="158"/>
      <c r="AF595" s="158">
        <f t="shared" si="151"/>
        <v>0</v>
      </c>
      <c r="AG595" s="158"/>
      <c r="AH595" s="158">
        <v>0</v>
      </c>
      <c r="AI595" s="158">
        <v>0</v>
      </c>
      <c r="AJ595" s="94"/>
      <c r="AK595" s="158">
        <f t="shared" si="148"/>
        <v>0</v>
      </c>
      <c r="AL595" s="158">
        <v>877</v>
      </c>
      <c r="AM595" s="158">
        <v>10</v>
      </c>
      <c r="AN595" s="158"/>
      <c r="AO595" s="158"/>
      <c r="AP595" s="158"/>
      <c r="AQ595" s="81"/>
      <c r="AR595" s="81"/>
      <c r="AS595" s="81"/>
      <c r="AT595" s="98">
        <v>1</v>
      </c>
      <c r="AU595" s="58" t="s">
        <v>646</v>
      </c>
      <c r="AV595" s="348"/>
      <c r="AW595" s="51"/>
      <c r="AX595" s="56"/>
      <c r="AY595" s="56"/>
      <c r="AZ595" s="81">
        <v>7</v>
      </c>
      <c r="BA595" s="81"/>
      <c r="BB595" s="56"/>
      <c r="BC595" s="56"/>
      <c r="BD595" s="81">
        <v>7</v>
      </c>
      <c r="BE595" s="81"/>
      <c r="BF595" s="271">
        <v>2019</v>
      </c>
      <c r="BG595" s="271">
        <v>2019</v>
      </c>
      <c r="BH595" s="271"/>
      <c r="BI595" s="271" t="s">
        <v>2375</v>
      </c>
    </row>
    <row r="596" spans="1:61" s="204" customFormat="1" ht="18" customHeight="1">
      <c r="A596" s="230" t="s">
        <v>510</v>
      </c>
      <c r="B596" s="58" t="s">
        <v>203</v>
      </c>
      <c r="C596" s="148" t="s">
        <v>1159</v>
      </c>
      <c r="D596" s="33" t="s">
        <v>1005</v>
      </c>
      <c r="E596" s="33"/>
      <c r="F596" s="33"/>
      <c r="G596" s="33"/>
      <c r="H596" s="30" t="s">
        <v>1113</v>
      </c>
      <c r="I596" s="30">
        <v>741</v>
      </c>
      <c r="J596" s="212">
        <v>43453</v>
      </c>
      <c r="K596" s="158">
        <v>32</v>
      </c>
      <c r="L596" s="158">
        <v>32</v>
      </c>
      <c r="M596" s="158"/>
      <c r="N596" s="158"/>
      <c r="O596" s="158"/>
      <c r="P596" s="158">
        <v>2102158100</v>
      </c>
      <c r="Q596" s="158"/>
      <c r="R596" s="158"/>
      <c r="S596" s="158"/>
      <c r="T596" s="158"/>
      <c r="U596" s="94">
        <v>1141235649</v>
      </c>
      <c r="V596" s="158">
        <v>10</v>
      </c>
      <c r="W596" s="311">
        <v>43435</v>
      </c>
      <c r="X596" s="311"/>
      <c r="Y596" s="311"/>
      <c r="Z596" s="94">
        <v>960922451</v>
      </c>
      <c r="AA596" s="158">
        <v>10</v>
      </c>
      <c r="AB596" s="311">
        <v>43617</v>
      </c>
      <c r="AC596" s="329"/>
      <c r="AD596" s="5"/>
      <c r="AE596" s="158"/>
      <c r="AF596" s="158">
        <f t="shared" si="151"/>
        <v>0</v>
      </c>
      <c r="AG596" s="158"/>
      <c r="AH596" s="158">
        <v>0</v>
      </c>
      <c r="AI596" s="158">
        <v>0</v>
      </c>
      <c r="AJ596" s="94"/>
      <c r="AK596" s="158">
        <f t="shared" si="148"/>
        <v>0</v>
      </c>
      <c r="AL596" s="158">
        <v>877</v>
      </c>
      <c r="AM596" s="158">
        <v>10</v>
      </c>
      <c r="AN596" s="158"/>
      <c r="AO596" s="158"/>
      <c r="AP596" s="158"/>
      <c r="AQ596" s="81"/>
      <c r="AR596" s="81"/>
      <c r="AS596" s="81"/>
      <c r="AT596" s="2">
        <v>1</v>
      </c>
      <c r="AU596" s="58" t="s">
        <v>646</v>
      </c>
      <c r="AV596" s="348"/>
      <c r="AW596" s="51"/>
      <c r="AX596" s="56"/>
      <c r="AY596" s="56"/>
      <c r="AZ596" s="81">
        <v>32</v>
      </c>
      <c r="BA596" s="81"/>
      <c r="BB596" s="56"/>
      <c r="BC596" s="56"/>
      <c r="BD596" s="81">
        <v>32</v>
      </c>
      <c r="BE596" s="81"/>
      <c r="BF596" s="271">
        <v>2019</v>
      </c>
      <c r="BG596" s="271">
        <v>2019</v>
      </c>
      <c r="BH596" s="271"/>
      <c r="BI596" s="271" t="s">
        <v>2375</v>
      </c>
    </row>
    <row r="597" spans="1:61" s="204" customFormat="1" ht="18" customHeight="1">
      <c r="A597" s="160" t="s">
        <v>510</v>
      </c>
      <c r="B597" s="58" t="s">
        <v>280</v>
      </c>
      <c r="C597" s="148" t="s">
        <v>1160</v>
      </c>
      <c r="D597" s="33" t="s">
        <v>1161</v>
      </c>
      <c r="E597" s="33"/>
      <c r="F597" s="33"/>
      <c r="G597" s="33"/>
      <c r="H597" s="30" t="s">
        <v>1113</v>
      </c>
      <c r="I597" s="78">
        <v>778</v>
      </c>
      <c r="J597" s="212">
        <v>43455</v>
      </c>
      <c r="K597" s="158">
        <v>10</v>
      </c>
      <c r="L597" s="158">
        <v>10</v>
      </c>
      <c r="M597" s="158"/>
      <c r="N597" s="158"/>
      <c r="O597" s="158"/>
      <c r="P597" s="158">
        <v>657833375</v>
      </c>
      <c r="Q597" s="158"/>
      <c r="R597" s="158"/>
      <c r="S597" s="158"/>
      <c r="T597" s="158"/>
      <c r="U597" s="94">
        <v>354546942</v>
      </c>
      <c r="V597" s="158">
        <v>10</v>
      </c>
      <c r="W597" s="311">
        <v>43497</v>
      </c>
      <c r="X597" s="311"/>
      <c r="Y597" s="311"/>
      <c r="Z597" s="94">
        <v>303286433</v>
      </c>
      <c r="AA597" s="69">
        <v>10</v>
      </c>
      <c r="AB597" s="311">
        <v>43647</v>
      </c>
      <c r="AC597" s="577"/>
      <c r="AD597" s="69"/>
      <c r="AE597" s="158"/>
      <c r="AF597" s="158">
        <f t="shared" si="151"/>
        <v>0</v>
      </c>
      <c r="AG597" s="158"/>
      <c r="AH597" s="158">
        <v>0</v>
      </c>
      <c r="AI597" s="158">
        <v>0</v>
      </c>
      <c r="AJ597" s="94"/>
      <c r="AK597" s="158">
        <f t="shared" si="148"/>
        <v>0</v>
      </c>
      <c r="AL597" s="158">
        <v>877</v>
      </c>
      <c r="AM597" s="158">
        <v>10</v>
      </c>
      <c r="AN597" s="158"/>
      <c r="AO597" s="158"/>
      <c r="AP597" s="81"/>
      <c r="AQ597" s="81"/>
      <c r="AR597" s="81"/>
      <c r="AS597" s="81"/>
      <c r="AT597" s="98">
        <v>1</v>
      </c>
      <c r="AU597" s="58" t="s">
        <v>646</v>
      </c>
      <c r="AV597" s="348"/>
      <c r="AW597" s="51"/>
      <c r="AX597" s="56"/>
      <c r="AY597" s="56"/>
      <c r="AZ597" s="81">
        <v>10</v>
      </c>
      <c r="BA597" s="81"/>
      <c r="BB597" s="56"/>
      <c r="BC597" s="56"/>
      <c r="BD597" s="81">
        <v>10</v>
      </c>
      <c r="BE597" s="81"/>
      <c r="BF597" s="271">
        <v>2019</v>
      </c>
      <c r="BG597" s="271">
        <v>2019</v>
      </c>
      <c r="BH597" s="271"/>
      <c r="BI597" s="271" t="s">
        <v>2375</v>
      </c>
    </row>
    <row r="598" spans="1:61" s="204" customFormat="1" ht="18" customHeight="1">
      <c r="A598" s="248" t="s">
        <v>510</v>
      </c>
      <c r="B598" s="58" t="s">
        <v>211</v>
      </c>
      <c r="C598" s="148" t="s">
        <v>257</v>
      </c>
      <c r="D598" s="33" t="s">
        <v>7</v>
      </c>
      <c r="E598" s="33"/>
      <c r="F598" s="33"/>
      <c r="G598" s="33"/>
      <c r="H598" s="30" t="s">
        <v>1113</v>
      </c>
      <c r="I598" s="30">
        <v>709</v>
      </c>
      <c r="J598" s="212">
        <v>43452</v>
      </c>
      <c r="K598" s="158">
        <v>55</v>
      </c>
      <c r="L598" s="158">
        <v>55</v>
      </c>
      <c r="M598" s="158"/>
      <c r="N598" s="158"/>
      <c r="O598" s="158"/>
      <c r="P598" s="158">
        <v>3620436919</v>
      </c>
      <c r="Q598" s="158"/>
      <c r="R598" s="158"/>
      <c r="S598" s="158"/>
      <c r="T598" s="158"/>
      <c r="U598" s="94">
        <v>1882382720</v>
      </c>
      <c r="V598" s="158">
        <v>20</v>
      </c>
      <c r="W598" s="311">
        <v>43586</v>
      </c>
      <c r="X598" s="311"/>
      <c r="Y598" s="311"/>
      <c r="Z598" s="94">
        <f>1738054199-1738054199+1738054199</f>
        <v>1738054199</v>
      </c>
      <c r="AA598" s="158">
        <v>20</v>
      </c>
      <c r="AB598" s="311">
        <v>43678</v>
      </c>
      <c r="AC598" s="311"/>
      <c r="AD598" s="158"/>
      <c r="AE598" s="158"/>
      <c r="AF598" s="158">
        <f t="shared" si="151"/>
        <v>0</v>
      </c>
      <c r="AG598" s="158"/>
      <c r="AH598" s="158">
        <v>0</v>
      </c>
      <c r="AI598" s="158">
        <v>0</v>
      </c>
      <c r="AJ598" s="94"/>
      <c r="AK598" s="158">
        <f t="shared" si="148"/>
        <v>0</v>
      </c>
      <c r="AL598" s="158">
        <v>877</v>
      </c>
      <c r="AM598" s="158">
        <v>20</v>
      </c>
      <c r="AN598" s="158"/>
      <c r="AO598" s="158"/>
      <c r="AP598" s="158"/>
      <c r="AQ598" s="81"/>
      <c r="AR598" s="81"/>
      <c r="AS598" s="81"/>
      <c r="AT598" s="2">
        <v>1</v>
      </c>
      <c r="AU598" s="58" t="s">
        <v>646</v>
      </c>
      <c r="AV598" s="348"/>
      <c r="AW598" s="51"/>
      <c r="AX598" s="56"/>
      <c r="AY598" s="56"/>
      <c r="AZ598" s="158">
        <v>55</v>
      </c>
      <c r="BA598" s="158"/>
      <c r="BB598" s="56"/>
      <c r="BC598" s="56"/>
      <c r="BD598" s="158">
        <v>55</v>
      </c>
      <c r="BE598" s="158"/>
      <c r="BF598" s="271">
        <v>2019</v>
      </c>
      <c r="BG598" s="271">
        <v>2019</v>
      </c>
      <c r="BH598" s="271"/>
      <c r="BI598" s="271" t="s">
        <v>2375</v>
      </c>
    </row>
    <row r="599" spans="1:61" s="204" customFormat="1" ht="18" customHeight="1">
      <c r="A599" s="160" t="s">
        <v>510</v>
      </c>
      <c r="B599" s="58" t="s">
        <v>197</v>
      </c>
      <c r="C599" s="148" t="s">
        <v>1168</v>
      </c>
      <c r="D599" s="33" t="s">
        <v>1169</v>
      </c>
      <c r="E599" s="33"/>
      <c r="F599" s="33"/>
      <c r="G599" s="33"/>
      <c r="H599" s="30" t="s">
        <v>1113</v>
      </c>
      <c r="I599" s="30">
        <v>710</v>
      </c>
      <c r="J599" s="212">
        <v>43452</v>
      </c>
      <c r="K599" s="158">
        <v>41</v>
      </c>
      <c r="L599" s="158">
        <v>41</v>
      </c>
      <c r="M599" s="158"/>
      <c r="N599" s="158"/>
      <c r="O599" s="158"/>
      <c r="P599" s="158">
        <v>2691876371</v>
      </c>
      <c r="Q599" s="158"/>
      <c r="R599" s="158"/>
      <c r="S599" s="158"/>
      <c r="T599" s="158"/>
      <c r="U599" s="94">
        <v>1426649361</v>
      </c>
      <c r="V599" s="158">
        <v>30</v>
      </c>
      <c r="W599" s="311">
        <v>43435</v>
      </c>
      <c r="X599" s="311"/>
      <c r="Y599" s="311"/>
      <c r="Z599" s="94">
        <v>1265227010</v>
      </c>
      <c r="AA599" s="158">
        <v>20</v>
      </c>
      <c r="AB599" s="311">
        <v>43586</v>
      </c>
      <c r="AC599" s="311"/>
      <c r="AD599" s="158"/>
      <c r="AE599" s="158"/>
      <c r="AF599" s="158">
        <f t="shared" ref="AF599:AF605" si="156">P599-U599-Z599</f>
        <v>0</v>
      </c>
      <c r="AG599" s="158"/>
      <c r="AH599" s="158">
        <v>0</v>
      </c>
      <c r="AI599" s="158">
        <v>0</v>
      </c>
      <c r="AJ599" s="94"/>
      <c r="AK599" s="158">
        <f t="shared" si="148"/>
        <v>0</v>
      </c>
      <c r="AL599" s="158">
        <v>877</v>
      </c>
      <c r="AM599" s="158">
        <v>20</v>
      </c>
      <c r="AN599" s="158"/>
      <c r="AO599" s="158"/>
      <c r="AP599" s="158"/>
      <c r="AQ599" s="81"/>
      <c r="AR599" s="81"/>
      <c r="AS599" s="81"/>
      <c r="AT599" s="98">
        <v>1</v>
      </c>
      <c r="AU599" s="58" t="s">
        <v>646</v>
      </c>
      <c r="AV599" s="348"/>
      <c r="AW599" s="51"/>
      <c r="AX599" s="56"/>
      <c r="AY599" s="56"/>
      <c r="AZ599" s="81">
        <v>41</v>
      </c>
      <c r="BA599" s="81"/>
      <c r="BB599" s="56"/>
      <c r="BC599" s="56"/>
      <c r="BD599" s="81">
        <v>41</v>
      </c>
      <c r="BE599" s="81"/>
      <c r="BF599" s="271">
        <v>2019</v>
      </c>
      <c r="BG599" s="271">
        <v>2019</v>
      </c>
      <c r="BH599" s="271"/>
      <c r="BI599" s="271" t="s">
        <v>2375</v>
      </c>
    </row>
    <row r="600" spans="1:61" s="204" customFormat="1" ht="18" customHeight="1">
      <c r="A600" s="230" t="s">
        <v>510</v>
      </c>
      <c r="B600" s="58" t="s">
        <v>203</v>
      </c>
      <c r="C600" s="148" t="s">
        <v>1170</v>
      </c>
      <c r="D600" s="33" t="s">
        <v>524</v>
      </c>
      <c r="E600" s="33"/>
      <c r="F600" s="33"/>
      <c r="G600" s="33"/>
      <c r="H600" s="30" t="s">
        <v>1113</v>
      </c>
      <c r="I600" s="30">
        <v>772</v>
      </c>
      <c r="J600" s="212">
        <v>43455</v>
      </c>
      <c r="K600" s="158">
        <v>28</v>
      </c>
      <c r="L600" s="158">
        <v>28</v>
      </c>
      <c r="M600" s="158"/>
      <c r="N600" s="158"/>
      <c r="O600" s="158"/>
      <c r="P600" s="158">
        <v>1841250670</v>
      </c>
      <c r="Q600" s="158"/>
      <c r="R600" s="158"/>
      <c r="S600" s="158"/>
      <c r="T600" s="158"/>
      <c r="U600" s="94">
        <v>970167503</v>
      </c>
      <c r="V600" s="158">
        <v>10</v>
      </c>
      <c r="W600" s="311">
        <v>43497</v>
      </c>
      <c r="X600" s="311"/>
      <c r="Y600" s="311"/>
      <c r="Z600" s="94">
        <v>871083167</v>
      </c>
      <c r="AA600" s="158">
        <v>10</v>
      </c>
      <c r="AB600" s="311">
        <v>43617</v>
      </c>
      <c r="AC600" s="311"/>
      <c r="AD600" s="158"/>
      <c r="AE600" s="158"/>
      <c r="AF600" s="158">
        <f t="shared" si="156"/>
        <v>0</v>
      </c>
      <c r="AG600" s="158"/>
      <c r="AH600" s="158">
        <v>0</v>
      </c>
      <c r="AI600" s="158">
        <v>0</v>
      </c>
      <c r="AJ600" s="94"/>
      <c r="AK600" s="158">
        <f t="shared" si="148"/>
        <v>0</v>
      </c>
      <c r="AL600" s="158">
        <v>877</v>
      </c>
      <c r="AM600" s="158">
        <v>10</v>
      </c>
      <c r="AN600" s="158"/>
      <c r="AO600" s="158"/>
      <c r="AP600" s="81"/>
      <c r="AQ600" s="81"/>
      <c r="AR600" s="81"/>
      <c r="AS600" s="81"/>
      <c r="AT600" s="98">
        <v>1</v>
      </c>
      <c r="AU600" s="58" t="s">
        <v>646</v>
      </c>
      <c r="AV600" s="348" t="s">
        <v>1709</v>
      </c>
      <c r="AW600" s="51"/>
      <c r="AX600" s="56"/>
      <c r="AY600" s="56"/>
      <c r="AZ600" s="81">
        <v>28</v>
      </c>
      <c r="BA600" s="81"/>
      <c r="BB600" s="56"/>
      <c r="BC600" s="56"/>
      <c r="BD600" s="81">
        <v>28</v>
      </c>
      <c r="BE600" s="81"/>
      <c r="BF600" s="271">
        <v>2019</v>
      </c>
      <c r="BG600" s="271">
        <v>2019</v>
      </c>
      <c r="BH600" s="271"/>
      <c r="BI600" s="271" t="s">
        <v>2375</v>
      </c>
    </row>
    <row r="601" spans="1:61" s="204" customFormat="1" ht="18" customHeight="1">
      <c r="A601" s="160" t="s">
        <v>510</v>
      </c>
      <c r="B601" s="58" t="s">
        <v>216</v>
      </c>
      <c r="C601" s="148" t="s">
        <v>1247</v>
      </c>
      <c r="D601" s="33" t="s">
        <v>61</v>
      </c>
      <c r="E601" s="33"/>
      <c r="F601" s="33"/>
      <c r="G601" s="33"/>
      <c r="H601" s="30" t="s">
        <v>1232</v>
      </c>
      <c r="I601" s="30">
        <v>482</v>
      </c>
      <c r="J601" s="212">
        <v>43538</v>
      </c>
      <c r="K601" s="158"/>
      <c r="L601" s="158"/>
      <c r="M601" s="158">
        <v>18</v>
      </c>
      <c r="N601" s="158"/>
      <c r="O601" s="158"/>
      <c r="P601" s="158">
        <v>1264209725</v>
      </c>
      <c r="Q601" s="158"/>
      <c r="R601" s="158"/>
      <c r="S601" s="158"/>
      <c r="T601" s="158"/>
      <c r="U601" s="94">
        <v>685151502</v>
      </c>
      <c r="V601" s="158">
        <v>10</v>
      </c>
      <c r="W601" s="311">
        <v>43556</v>
      </c>
      <c r="X601" s="311"/>
      <c r="Y601" s="311"/>
      <c r="Z601" s="94">
        <f>579058223-6321050</f>
        <v>572737173</v>
      </c>
      <c r="AA601" s="69">
        <v>10</v>
      </c>
      <c r="AB601" s="311">
        <v>43647</v>
      </c>
      <c r="AC601" s="577"/>
      <c r="AD601" s="69"/>
      <c r="AE601" s="158"/>
      <c r="AF601" s="158">
        <f t="shared" si="156"/>
        <v>6321050</v>
      </c>
      <c r="AG601" s="158"/>
      <c r="AH601" s="158">
        <v>0</v>
      </c>
      <c r="AI601" s="75">
        <v>6321050</v>
      </c>
      <c r="AJ601" s="94"/>
      <c r="AK601" s="602">
        <f t="shared" si="148"/>
        <v>6321050</v>
      </c>
      <c r="AL601" s="72">
        <v>877</v>
      </c>
      <c r="AM601" s="72">
        <v>10</v>
      </c>
      <c r="AN601" s="158"/>
      <c r="AO601" s="158"/>
      <c r="AP601" s="158"/>
      <c r="AQ601" s="81"/>
      <c r="AR601" s="81"/>
      <c r="AS601" s="81"/>
      <c r="AT601" s="2">
        <v>1</v>
      </c>
      <c r="AU601" s="58" t="s">
        <v>646</v>
      </c>
      <c r="AV601" s="348" t="s">
        <v>2362</v>
      </c>
      <c r="AW601" s="51"/>
      <c r="AX601" s="56"/>
      <c r="AY601" s="56"/>
      <c r="AZ601" s="158">
        <v>18</v>
      </c>
      <c r="BA601" s="158"/>
      <c r="BB601" s="56"/>
      <c r="BC601" s="56"/>
      <c r="BD601" s="158">
        <v>18</v>
      </c>
      <c r="BE601" s="158"/>
      <c r="BF601" s="271">
        <v>2019</v>
      </c>
      <c r="BG601" s="271">
        <v>2019</v>
      </c>
      <c r="BH601" s="430" t="s">
        <v>2361</v>
      </c>
      <c r="BI601" s="271" t="s">
        <v>2375</v>
      </c>
    </row>
    <row r="602" spans="1:61" s="204" customFormat="1" ht="18" customHeight="1">
      <c r="A602" s="160" t="s">
        <v>510</v>
      </c>
      <c r="B602" s="58" t="s">
        <v>547</v>
      </c>
      <c r="C602" s="148" t="s">
        <v>1248</v>
      </c>
      <c r="D602" s="33" t="s">
        <v>862</v>
      </c>
      <c r="E602" s="33"/>
      <c r="F602" s="33"/>
      <c r="G602" s="33"/>
      <c r="H602" s="30" t="s">
        <v>1232</v>
      </c>
      <c r="I602" s="30">
        <v>484</v>
      </c>
      <c r="J602" s="212">
        <v>43538</v>
      </c>
      <c r="K602" s="158"/>
      <c r="L602" s="158"/>
      <c r="M602" s="158">
        <f>147-63</f>
        <v>84</v>
      </c>
      <c r="N602" s="158"/>
      <c r="O602" s="158"/>
      <c r="P602" s="158">
        <f>10319783257-4422764253</f>
        <v>5897019004</v>
      </c>
      <c r="Q602" s="158"/>
      <c r="R602" s="158"/>
      <c r="S602" s="158"/>
      <c r="T602" s="158"/>
      <c r="U602" s="94">
        <v>5584450875</v>
      </c>
      <c r="V602" s="158">
        <v>10</v>
      </c>
      <c r="W602" s="311">
        <v>43586</v>
      </c>
      <c r="X602" s="311"/>
      <c r="Y602" s="311"/>
      <c r="Z602" s="94">
        <f>4735332382-4422764253</f>
        <v>312568129</v>
      </c>
      <c r="AA602" s="69">
        <v>20</v>
      </c>
      <c r="AB602" s="311">
        <v>43739</v>
      </c>
      <c r="AC602" s="577"/>
      <c r="AD602" s="69"/>
      <c r="AE602" s="158"/>
      <c r="AF602" s="158">
        <f t="shared" si="156"/>
        <v>0</v>
      </c>
      <c r="AG602" s="158"/>
      <c r="AH602" s="158">
        <v>0</v>
      </c>
      <c r="AI602" s="158">
        <v>0</v>
      </c>
      <c r="AJ602" s="94"/>
      <c r="AK602" s="158">
        <f t="shared" si="148"/>
        <v>0</v>
      </c>
      <c r="AL602" s="158">
        <v>877</v>
      </c>
      <c r="AM602" s="158">
        <v>20</v>
      </c>
      <c r="AN602" s="158"/>
      <c r="AO602" s="158"/>
      <c r="AP602" s="81"/>
      <c r="AQ602" s="81"/>
      <c r="AR602" s="81"/>
      <c r="AS602" s="81"/>
      <c r="AT602" s="98">
        <v>1</v>
      </c>
      <c r="AU602" s="58" t="s">
        <v>646</v>
      </c>
      <c r="AV602" s="348" t="s">
        <v>1316</v>
      </c>
      <c r="AW602" s="51"/>
      <c r="AX602" s="56"/>
      <c r="AY602" s="56"/>
      <c r="AZ602" s="81">
        <v>84</v>
      </c>
      <c r="BA602" s="81"/>
      <c r="BB602" s="56"/>
      <c r="BC602" s="56"/>
      <c r="BD602" s="81">
        <v>84</v>
      </c>
      <c r="BE602" s="81"/>
      <c r="BF602" s="271">
        <v>2019</v>
      </c>
      <c r="BG602" s="271">
        <v>2019</v>
      </c>
      <c r="BH602" s="271"/>
      <c r="BI602" s="271" t="s">
        <v>2375</v>
      </c>
    </row>
    <row r="603" spans="1:61" s="204" customFormat="1" ht="18" customHeight="1">
      <c r="A603" s="160" t="s">
        <v>510</v>
      </c>
      <c r="B603" s="58" t="s">
        <v>547</v>
      </c>
      <c r="C603" s="148" t="s">
        <v>1248</v>
      </c>
      <c r="D603" s="33" t="s">
        <v>862</v>
      </c>
      <c r="E603" s="33"/>
      <c r="F603" s="33"/>
      <c r="G603" s="33"/>
      <c r="H603" s="30" t="s">
        <v>1232</v>
      </c>
      <c r="I603" s="30">
        <v>484</v>
      </c>
      <c r="J603" s="212">
        <v>43538</v>
      </c>
      <c r="K603" s="158"/>
      <c r="L603" s="158"/>
      <c r="M603" s="158">
        <v>63</v>
      </c>
      <c r="N603" s="158">
        <v>63</v>
      </c>
      <c r="O603" s="158"/>
      <c r="P603" s="158">
        <v>4422764253</v>
      </c>
      <c r="Q603" s="158"/>
      <c r="R603" s="158"/>
      <c r="S603" s="158"/>
      <c r="T603" s="158"/>
      <c r="U603" s="94"/>
      <c r="V603" s="158"/>
      <c r="W603" s="311"/>
      <c r="X603" s="311"/>
      <c r="Y603" s="311"/>
      <c r="Z603" s="94">
        <v>4422764253</v>
      </c>
      <c r="AA603" s="69">
        <v>20</v>
      </c>
      <c r="AB603" s="311">
        <v>43739</v>
      </c>
      <c r="AC603" s="577"/>
      <c r="AD603" s="69"/>
      <c r="AE603" s="158"/>
      <c r="AF603" s="158">
        <f t="shared" si="156"/>
        <v>0</v>
      </c>
      <c r="AG603" s="158"/>
      <c r="AH603" s="158">
        <v>0</v>
      </c>
      <c r="AI603" s="158">
        <v>0</v>
      </c>
      <c r="AJ603" s="94"/>
      <c r="AK603" s="158">
        <f t="shared" ref="AK603:AK604" si="157">P603-R603-U603-Z603</f>
        <v>0</v>
      </c>
      <c r="AL603" s="158">
        <v>877</v>
      </c>
      <c r="AM603" s="158">
        <v>20</v>
      </c>
      <c r="AN603" s="158"/>
      <c r="AO603" s="158"/>
      <c r="AP603" s="81">
        <v>63</v>
      </c>
      <c r="AQ603" s="81"/>
      <c r="AR603" s="81"/>
      <c r="AS603" s="81"/>
      <c r="AT603" s="98">
        <v>1</v>
      </c>
      <c r="AU603" s="58" t="s">
        <v>646</v>
      </c>
      <c r="AV603" s="348"/>
      <c r="AW603" s="51"/>
      <c r="AX603" s="56"/>
      <c r="AY603" s="56"/>
      <c r="AZ603" s="56"/>
      <c r="BA603" s="81">
        <v>63</v>
      </c>
      <c r="BB603" s="56"/>
      <c r="BC603" s="56"/>
      <c r="BD603" s="81">
        <v>63</v>
      </c>
      <c r="BE603" s="81"/>
      <c r="BF603" s="271">
        <v>2020</v>
      </c>
      <c r="BG603" s="271">
        <v>2019</v>
      </c>
      <c r="BH603" s="430">
        <v>2020</v>
      </c>
      <c r="BI603" s="271" t="s">
        <v>2375</v>
      </c>
    </row>
    <row r="604" spans="1:61" s="204" customFormat="1" ht="18" customHeight="1">
      <c r="A604" s="160" t="s">
        <v>510</v>
      </c>
      <c r="B604" s="58" t="s">
        <v>216</v>
      </c>
      <c r="C604" s="148" t="s">
        <v>1269</v>
      </c>
      <c r="D604" s="33" t="s">
        <v>7</v>
      </c>
      <c r="E604" s="33"/>
      <c r="F604" s="33"/>
      <c r="G604" s="33"/>
      <c r="H604" s="30" t="s">
        <v>1232</v>
      </c>
      <c r="I604" s="30">
        <v>516</v>
      </c>
      <c r="J604" s="212">
        <v>43544</v>
      </c>
      <c r="K604" s="158"/>
      <c r="L604" s="158">
        <v>54</v>
      </c>
      <c r="M604" s="158"/>
      <c r="N604" s="158">
        <v>54</v>
      </c>
      <c r="O604" s="158"/>
      <c r="P604" s="158">
        <v>3792544876</v>
      </c>
      <c r="Q604" s="158"/>
      <c r="R604" s="158"/>
      <c r="S604" s="158"/>
      <c r="T604" s="158"/>
      <c r="U604" s="94">
        <v>2062344528</v>
      </c>
      <c r="V604" s="158">
        <v>10</v>
      </c>
      <c r="W604" s="311">
        <v>43586</v>
      </c>
      <c r="X604" s="311"/>
      <c r="Y604" s="311"/>
      <c r="Z604" s="94">
        <v>1730200348</v>
      </c>
      <c r="AA604" s="69">
        <v>20</v>
      </c>
      <c r="AB604" s="311">
        <v>43709</v>
      </c>
      <c r="AC604" s="577"/>
      <c r="AD604" s="69"/>
      <c r="AE604" s="158"/>
      <c r="AF604" s="158">
        <f t="shared" si="156"/>
        <v>0</v>
      </c>
      <c r="AG604" s="158"/>
      <c r="AH604" s="158">
        <v>0</v>
      </c>
      <c r="AI604" s="158">
        <v>0</v>
      </c>
      <c r="AJ604" s="94"/>
      <c r="AK604" s="158">
        <f t="shared" si="157"/>
        <v>0</v>
      </c>
      <c r="AL604" s="158">
        <v>877</v>
      </c>
      <c r="AM604" s="158">
        <v>20</v>
      </c>
      <c r="AN604" s="158"/>
      <c r="AO604" s="158"/>
      <c r="AP604" s="81">
        <v>54</v>
      </c>
      <c r="AQ604" s="81"/>
      <c r="AR604" s="81"/>
      <c r="AS604" s="81"/>
      <c r="AT604" s="98">
        <v>1</v>
      </c>
      <c r="AU604" s="58" t="s">
        <v>646</v>
      </c>
      <c r="AV604" s="348"/>
      <c r="AW604" s="51"/>
      <c r="AX604" s="56"/>
      <c r="AY604" s="56"/>
      <c r="AZ604" s="56"/>
      <c r="BA604" s="81">
        <v>54</v>
      </c>
      <c r="BB604" s="56"/>
      <c r="BC604" s="56"/>
      <c r="BD604" s="81">
        <v>54</v>
      </c>
      <c r="BE604" s="81"/>
      <c r="BF604" s="271">
        <v>2020</v>
      </c>
      <c r="BG604" s="271">
        <v>2019</v>
      </c>
      <c r="BH604" s="430">
        <v>2020</v>
      </c>
      <c r="BI604" s="271" t="s">
        <v>2375</v>
      </c>
    </row>
    <row r="605" spans="1:61" s="204" customFormat="1" ht="18" customHeight="1">
      <c r="A605" s="160" t="s">
        <v>510</v>
      </c>
      <c r="B605" s="58" t="s">
        <v>546</v>
      </c>
      <c r="C605" s="55" t="s">
        <v>1268</v>
      </c>
      <c r="D605" s="33" t="s">
        <v>40</v>
      </c>
      <c r="E605" s="33"/>
      <c r="F605" s="33"/>
      <c r="G605" s="33"/>
      <c r="H605" s="30" t="s">
        <v>1232</v>
      </c>
      <c r="I605" s="30">
        <v>488</v>
      </c>
      <c r="J605" s="212">
        <v>43539</v>
      </c>
      <c r="K605" s="158"/>
      <c r="L605" s="158"/>
      <c r="M605" s="158">
        <v>15</v>
      </c>
      <c r="N605" s="158"/>
      <c r="O605" s="158"/>
      <c r="P605" s="158">
        <v>1017919577</v>
      </c>
      <c r="Q605" s="158"/>
      <c r="R605" s="158"/>
      <c r="S605" s="158"/>
      <c r="T605" s="158"/>
      <c r="U605" s="94">
        <v>525206013</v>
      </c>
      <c r="V605" s="158">
        <v>10</v>
      </c>
      <c r="W605" s="311">
        <v>43586</v>
      </c>
      <c r="X605" s="311"/>
      <c r="Y605" s="311"/>
      <c r="Z605" s="94">
        <v>492713564</v>
      </c>
      <c r="AA605" s="69">
        <v>20</v>
      </c>
      <c r="AB605" s="311">
        <v>43709</v>
      </c>
      <c r="AC605" s="577"/>
      <c r="AD605" s="69"/>
      <c r="AE605" s="158"/>
      <c r="AF605" s="158">
        <f t="shared" si="156"/>
        <v>0</v>
      </c>
      <c r="AG605" s="158"/>
      <c r="AH605" s="158">
        <v>0</v>
      </c>
      <c r="AI605" s="158">
        <v>0</v>
      </c>
      <c r="AJ605" s="94"/>
      <c r="AK605" s="158">
        <f t="shared" si="148"/>
        <v>0</v>
      </c>
      <c r="AL605" s="158">
        <v>877</v>
      </c>
      <c r="AM605" s="158">
        <v>20</v>
      </c>
      <c r="AN605" s="158"/>
      <c r="AO605" s="158"/>
      <c r="AP605" s="158"/>
      <c r="AQ605" s="81"/>
      <c r="AR605" s="81"/>
      <c r="AS605" s="81"/>
      <c r="AT605" s="2">
        <v>1</v>
      </c>
      <c r="AU605" s="58" t="s">
        <v>646</v>
      </c>
      <c r="AV605" s="348"/>
      <c r="AW605" s="51"/>
      <c r="AX605" s="56"/>
      <c r="AY605" s="56"/>
      <c r="AZ605" s="158">
        <v>15</v>
      </c>
      <c r="BA605" s="158"/>
      <c r="BB605" s="56"/>
      <c r="BC605" s="56"/>
      <c r="BD605" s="158">
        <v>15</v>
      </c>
      <c r="BE605" s="158"/>
      <c r="BF605" s="271">
        <v>2019</v>
      </c>
      <c r="BG605" s="271">
        <v>2019</v>
      </c>
      <c r="BH605" s="271"/>
      <c r="BI605" s="271" t="s">
        <v>2375</v>
      </c>
    </row>
    <row r="606" spans="1:61" s="204" customFormat="1" ht="18" customHeight="1">
      <c r="A606" s="160" t="s">
        <v>510</v>
      </c>
      <c r="B606" s="58" t="s">
        <v>216</v>
      </c>
      <c r="C606" s="55" t="s">
        <v>1636</v>
      </c>
      <c r="D606" s="33" t="s">
        <v>1642</v>
      </c>
      <c r="E606" s="33"/>
      <c r="F606" s="33"/>
      <c r="G606" s="33"/>
      <c r="H606" s="30" t="s">
        <v>1605</v>
      </c>
      <c r="I606" s="30">
        <v>1377</v>
      </c>
      <c r="J606" s="212">
        <v>43685</v>
      </c>
      <c r="K606" s="158"/>
      <c r="L606" s="158"/>
      <c r="M606" s="158">
        <v>31</v>
      </c>
      <c r="N606" s="158">
        <v>31</v>
      </c>
      <c r="O606" s="158"/>
      <c r="P606" s="158">
        <v>2229641351</v>
      </c>
      <c r="Q606" s="158"/>
      <c r="R606" s="158"/>
      <c r="S606" s="158"/>
      <c r="T606" s="158"/>
      <c r="U606" s="94">
        <v>1196035726</v>
      </c>
      <c r="V606" s="158">
        <v>20</v>
      </c>
      <c r="W606" s="311">
        <v>43678</v>
      </c>
      <c r="X606" s="311"/>
      <c r="Y606" s="311"/>
      <c r="Z606" s="94">
        <v>1033605625</v>
      </c>
      <c r="AA606" s="69">
        <v>20</v>
      </c>
      <c r="AB606" s="311">
        <v>43800</v>
      </c>
      <c r="AC606" s="582"/>
      <c r="AD606" s="284"/>
      <c r="AE606" s="158"/>
      <c r="AF606" s="158">
        <f>P606-U606-Z606</f>
        <v>0</v>
      </c>
      <c r="AG606" s="158"/>
      <c r="AH606" s="158">
        <v>0</v>
      </c>
      <c r="AI606" s="158">
        <v>0</v>
      </c>
      <c r="AJ606" s="94"/>
      <c r="AK606" s="158">
        <f t="shared" ref="AK606:AK609" si="158">P606-R606-U606-Z606</f>
        <v>0</v>
      </c>
      <c r="AL606" s="158">
        <v>877</v>
      </c>
      <c r="AM606" s="158">
        <v>20</v>
      </c>
      <c r="AN606" s="158"/>
      <c r="AO606" s="158"/>
      <c r="AP606" s="81">
        <v>31</v>
      </c>
      <c r="AQ606" s="81"/>
      <c r="AR606" s="81"/>
      <c r="AS606" s="81"/>
      <c r="AT606" s="98">
        <v>1</v>
      </c>
      <c r="AU606" s="58" t="s">
        <v>646</v>
      </c>
      <c r="AV606" s="348"/>
      <c r="AW606" s="51"/>
      <c r="AX606" s="56"/>
      <c r="AY606" s="56"/>
      <c r="AZ606" s="56"/>
      <c r="BA606" s="81">
        <v>31</v>
      </c>
      <c r="BB606" s="56"/>
      <c r="BC606" s="56"/>
      <c r="BD606" s="81">
        <v>31</v>
      </c>
      <c r="BE606" s="81"/>
      <c r="BF606" s="271">
        <v>2020</v>
      </c>
      <c r="BG606" s="271">
        <v>2019</v>
      </c>
      <c r="BH606" s="430">
        <v>2020</v>
      </c>
      <c r="BI606" s="271" t="s">
        <v>2375</v>
      </c>
    </row>
    <row r="607" spans="1:61" s="204" customFormat="1" ht="18" customHeight="1">
      <c r="A607" s="160" t="s">
        <v>510</v>
      </c>
      <c r="B607" s="58" t="s">
        <v>280</v>
      </c>
      <c r="C607" s="148" t="s">
        <v>1637</v>
      </c>
      <c r="D607" s="33" t="s">
        <v>566</v>
      </c>
      <c r="E607" s="33"/>
      <c r="F607" s="33"/>
      <c r="G607" s="33"/>
      <c r="H607" s="30" t="s">
        <v>1605</v>
      </c>
      <c r="I607" s="30">
        <v>1374</v>
      </c>
      <c r="J607" s="212">
        <v>43685</v>
      </c>
      <c r="K607" s="158"/>
      <c r="L607" s="158"/>
      <c r="M607" s="158">
        <v>6</v>
      </c>
      <c r="N607" s="158">
        <v>6</v>
      </c>
      <c r="O607" s="158"/>
      <c r="P607" s="158">
        <v>437130410</v>
      </c>
      <c r="Q607" s="158"/>
      <c r="R607" s="158"/>
      <c r="S607" s="158"/>
      <c r="T607" s="158"/>
      <c r="U607" s="94">
        <v>236818076</v>
      </c>
      <c r="V607" s="158">
        <v>20</v>
      </c>
      <c r="W607" s="311">
        <v>43678</v>
      </c>
      <c r="X607" s="311"/>
      <c r="Y607" s="311"/>
      <c r="Z607" s="94">
        <v>200312334</v>
      </c>
      <c r="AA607" s="69">
        <v>20</v>
      </c>
      <c r="AB607" s="311">
        <v>43800</v>
      </c>
      <c r="AC607" s="582"/>
      <c r="AD607" s="284"/>
      <c r="AE607" s="158"/>
      <c r="AF607" s="158">
        <f>P607-U607-Z607</f>
        <v>0</v>
      </c>
      <c r="AG607" s="158"/>
      <c r="AH607" s="158">
        <v>0</v>
      </c>
      <c r="AI607" s="158">
        <v>0</v>
      </c>
      <c r="AJ607" s="94"/>
      <c r="AK607" s="158">
        <f t="shared" si="158"/>
        <v>0</v>
      </c>
      <c r="AL607" s="158">
        <v>877</v>
      </c>
      <c r="AM607" s="158">
        <v>20</v>
      </c>
      <c r="AN607" s="158"/>
      <c r="AO607" s="158"/>
      <c r="AP607" s="81">
        <v>6</v>
      </c>
      <c r="AQ607" s="81"/>
      <c r="AR607" s="81"/>
      <c r="AS607" s="81"/>
      <c r="AT607" s="98">
        <v>1</v>
      </c>
      <c r="AU607" s="58" t="s">
        <v>646</v>
      </c>
      <c r="AV607" s="348"/>
      <c r="AW607" s="51"/>
      <c r="AX607" s="56"/>
      <c r="AY607" s="56"/>
      <c r="AZ607" s="56"/>
      <c r="BA607" s="81">
        <v>6</v>
      </c>
      <c r="BB607" s="56"/>
      <c r="BC607" s="56"/>
      <c r="BD607" s="81">
        <v>6</v>
      </c>
      <c r="BE607" s="81"/>
      <c r="BF607" s="271">
        <v>2020</v>
      </c>
      <c r="BG607" s="271">
        <v>2019</v>
      </c>
      <c r="BH607" s="430">
        <v>2020</v>
      </c>
      <c r="BI607" s="271" t="s">
        <v>2375</v>
      </c>
    </row>
    <row r="608" spans="1:61" s="204" customFormat="1" ht="18" customHeight="1">
      <c r="A608" s="160" t="s">
        <v>510</v>
      </c>
      <c r="B608" s="58" t="s">
        <v>199</v>
      </c>
      <c r="C608" s="55" t="s">
        <v>1638</v>
      </c>
      <c r="D608" s="33" t="s">
        <v>566</v>
      </c>
      <c r="E608" s="33"/>
      <c r="F608" s="33"/>
      <c r="G608" s="33"/>
      <c r="H608" s="30" t="s">
        <v>1605</v>
      </c>
      <c r="I608" s="30">
        <v>1366</v>
      </c>
      <c r="J608" s="212">
        <v>43685</v>
      </c>
      <c r="K608" s="158"/>
      <c r="L608" s="158"/>
      <c r="M608" s="158">
        <v>15</v>
      </c>
      <c r="N608" s="158">
        <v>15</v>
      </c>
      <c r="O608" s="158"/>
      <c r="P608" s="158">
        <v>1084085195</v>
      </c>
      <c r="Q608" s="158"/>
      <c r="R608" s="158"/>
      <c r="S608" s="158"/>
      <c r="T608" s="158"/>
      <c r="U608" s="94">
        <v>587805276</v>
      </c>
      <c r="V608" s="158">
        <v>20</v>
      </c>
      <c r="W608" s="311">
        <v>43678</v>
      </c>
      <c r="X608" s="311"/>
      <c r="Y608" s="311"/>
      <c r="Z608" s="94">
        <v>496279919</v>
      </c>
      <c r="AA608" s="158">
        <v>20</v>
      </c>
      <c r="AB608" s="311">
        <v>43800</v>
      </c>
      <c r="AC608" s="582"/>
      <c r="AD608" s="284"/>
      <c r="AE608" s="158"/>
      <c r="AF608" s="158">
        <f>P608-U608-Z608</f>
        <v>0</v>
      </c>
      <c r="AG608" s="158"/>
      <c r="AH608" s="158">
        <v>0</v>
      </c>
      <c r="AI608" s="158">
        <v>0</v>
      </c>
      <c r="AJ608" s="94"/>
      <c r="AK608" s="158">
        <f t="shared" si="158"/>
        <v>0</v>
      </c>
      <c r="AL608" s="158">
        <v>877</v>
      </c>
      <c r="AM608" s="158">
        <v>20</v>
      </c>
      <c r="AN608" s="158"/>
      <c r="AO608" s="158"/>
      <c r="AP608" s="81">
        <v>15</v>
      </c>
      <c r="AQ608" s="81"/>
      <c r="AR608" s="81"/>
      <c r="AS608" s="81"/>
      <c r="AT608" s="98">
        <v>1</v>
      </c>
      <c r="AU608" s="58" t="s">
        <v>646</v>
      </c>
      <c r="AV608" s="348"/>
      <c r="AW608" s="51"/>
      <c r="AX608" s="56"/>
      <c r="AY608" s="56"/>
      <c r="AZ608" s="56"/>
      <c r="BA608" s="81">
        <v>15</v>
      </c>
      <c r="BB608" s="56"/>
      <c r="BC608" s="56"/>
      <c r="BD608" s="81">
        <v>15</v>
      </c>
      <c r="BE608" s="81"/>
      <c r="BF608" s="271">
        <v>2020</v>
      </c>
      <c r="BG608" s="271">
        <v>2019</v>
      </c>
      <c r="BH608" s="430">
        <v>2020</v>
      </c>
      <c r="BI608" s="271" t="s">
        <v>2375</v>
      </c>
    </row>
    <row r="609" spans="1:61" s="204" customFormat="1" ht="18" customHeight="1">
      <c r="A609" s="160" t="s">
        <v>510</v>
      </c>
      <c r="B609" s="58" t="s">
        <v>280</v>
      </c>
      <c r="C609" s="148" t="s">
        <v>1639</v>
      </c>
      <c r="D609" s="33" t="s">
        <v>566</v>
      </c>
      <c r="E609" s="33"/>
      <c r="F609" s="33"/>
      <c r="G609" s="33"/>
      <c r="H609" s="30" t="s">
        <v>1605</v>
      </c>
      <c r="I609" s="30">
        <v>1372</v>
      </c>
      <c r="J609" s="212">
        <v>43685</v>
      </c>
      <c r="K609" s="158"/>
      <c r="L609" s="158"/>
      <c r="M609" s="158">
        <v>13</v>
      </c>
      <c r="N609" s="158">
        <v>13</v>
      </c>
      <c r="O609" s="158"/>
      <c r="P609" s="158">
        <v>940868147</v>
      </c>
      <c r="Q609" s="158"/>
      <c r="R609" s="158"/>
      <c r="S609" s="158"/>
      <c r="T609" s="158"/>
      <c r="U609" s="94">
        <v>503959770</v>
      </c>
      <c r="V609" s="158">
        <v>20</v>
      </c>
      <c r="W609" s="311">
        <v>43678</v>
      </c>
      <c r="X609" s="311"/>
      <c r="Y609" s="311"/>
      <c r="Z609" s="94">
        <v>436908377</v>
      </c>
      <c r="AA609" s="158">
        <v>20</v>
      </c>
      <c r="AB609" s="311">
        <v>43800</v>
      </c>
      <c r="AC609" s="582"/>
      <c r="AD609" s="284"/>
      <c r="AE609" s="158"/>
      <c r="AF609" s="158">
        <f>P609-U609-Z609</f>
        <v>0</v>
      </c>
      <c r="AG609" s="158"/>
      <c r="AH609" s="158">
        <v>0</v>
      </c>
      <c r="AI609" s="158">
        <v>0</v>
      </c>
      <c r="AJ609" s="94"/>
      <c r="AK609" s="158">
        <f t="shared" si="158"/>
        <v>0</v>
      </c>
      <c r="AL609" s="158">
        <v>877</v>
      </c>
      <c r="AM609" s="158">
        <v>20</v>
      </c>
      <c r="AN609" s="158"/>
      <c r="AO609" s="158"/>
      <c r="AP609" s="81">
        <v>13</v>
      </c>
      <c r="AQ609" s="81"/>
      <c r="AR609" s="81"/>
      <c r="AS609" s="81"/>
      <c r="AT609" s="98">
        <v>1</v>
      </c>
      <c r="AU609" s="58" t="s">
        <v>646</v>
      </c>
      <c r="AV609" s="348"/>
      <c r="AW609" s="51"/>
      <c r="AX609" s="56"/>
      <c r="AY609" s="56"/>
      <c r="AZ609" s="56"/>
      <c r="BA609" s="81">
        <v>13</v>
      </c>
      <c r="BB609" s="56"/>
      <c r="BC609" s="56"/>
      <c r="BD609" s="81">
        <v>13</v>
      </c>
      <c r="BE609" s="81"/>
      <c r="BF609" s="271">
        <v>2020</v>
      </c>
      <c r="BG609" s="271">
        <v>2019</v>
      </c>
      <c r="BH609" s="430">
        <v>2020</v>
      </c>
      <c r="BI609" s="271" t="s">
        <v>2375</v>
      </c>
    </row>
    <row r="610" spans="1:61" s="204" customFormat="1" ht="18" customHeight="1">
      <c r="A610" s="160" t="s">
        <v>510</v>
      </c>
      <c r="B610" s="58" t="s">
        <v>280</v>
      </c>
      <c r="C610" s="148" t="s">
        <v>1640</v>
      </c>
      <c r="D610" s="33" t="s">
        <v>57</v>
      </c>
      <c r="E610" s="33"/>
      <c r="F610" s="33"/>
      <c r="G610" s="33"/>
      <c r="H610" s="30" t="s">
        <v>1605</v>
      </c>
      <c r="I610" s="30">
        <v>1371</v>
      </c>
      <c r="J610" s="212">
        <v>43685</v>
      </c>
      <c r="K610" s="158"/>
      <c r="L610" s="158"/>
      <c r="M610" s="158">
        <v>13</v>
      </c>
      <c r="N610" s="158"/>
      <c r="O610" s="158"/>
      <c r="P610" s="158">
        <v>947361554</v>
      </c>
      <c r="Q610" s="158"/>
      <c r="R610" s="158"/>
      <c r="S610" s="158"/>
      <c r="T610" s="158"/>
      <c r="U610" s="94">
        <v>514145321</v>
      </c>
      <c r="V610" s="158">
        <v>20</v>
      </c>
      <c r="W610" s="311">
        <v>43678</v>
      </c>
      <c r="X610" s="311"/>
      <c r="Y610" s="311"/>
      <c r="Z610" s="94">
        <v>433216233</v>
      </c>
      <c r="AA610" s="69">
        <v>20</v>
      </c>
      <c r="AB610" s="311">
        <v>43770</v>
      </c>
      <c r="AC610" s="582"/>
      <c r="AD610" s="284"/>
      <c r="AE610" s="158"/>
      <c r="AF610" s="158">
        <f>P610-U610-Z610</f>
        <v>0</v>
      </c>
      <c r="AG610" s="158"/>
      <c r="AH610" s="158">
        <v>0</v>
      </c>
      <c r="AI610" s="158">
        <v>0</v>
      </c>
      <c r="AJ610" s="94"/>
      <c r="AK610" s="158">
        <f t="shared" si="148"/>
        <v>0</v>
      </c>
      <c r="AL610" s="158">
        <v>877</v>
      </c>
      <c r="AM610" s="158">
        <v>20</v>
      </c>
      <c r="AN610" s="158"/>
      <c r="AO610" s="158"/>
      <c r="AP610" s="61"/>
      <c r="AQ610" s="81"/>
      <c r="AR610" s="81"/>
      <c r="AS610" s="81"/>
      <c r="AT610" s="2">
        <v>1</v>
      </c>
      <c r="AU610" s="58" t="s">
        <v>646</v>
      </c>
      <c r="AV610" s="348"/>
      <c r="AW610" s="51"/>
      <c r="AX610" s="56"/>
      <c r="AY610" s="56"/>
      <c r="AZ610" s="61">
        <v>13</v>
      </c>
      <c r="BA610" s="61"/>
      <c r="BB610" s="56"/>
      <c r="BC610" s="553"/>
      <c r="BD610" s="61">
        <v>13</v>
      </c>
      <c r="BE610" s="61"/>
      <c r="BF610" s="271">
        <v>2019</v>
      </c>
      <c r="BG610" s="271">
        <v>2019</v>
      </c>
      <c r="BH610" s="271"/>
      <c r="BI610" s="271" t="s">
        <v>2375</v>
      </c>
    </row>
    <row r="611" spans="1:61" s="204" customFormat="1" ht="18" customHeight="1">
      <c r="A611" s="160" t="s">
        <v>510</v>
      </c>
      <c r="B611" s="58" t="s">
        <v>197</v>
      </c>
      <c r="C611" s="148" t="s">
        <v>1641</v>
      </c>
      <c r="D611" s="33" t="s">
        <v>287</v>
      </c>
      <c r="E611" s="33"/>
      <c r="F611" s="33"/>
      <c r="G611" s="33"/>
      <c r="H611" s="30" t="s">
        <v>1605</v>
      </c>
      <c r="I611" s="30">
        <v>1379</v>
      </c>
      <c r="J611" s="212">
        <v>43685</v>
      </c>
      <c r="K611" s="158"/>
      <c r="L611" s="158"/>
      <c r="M611" s="158">
        <v>25</v>
      </c>
      <c r="N611" s="158">
        <v>25</v>
      </c>
      <c r="O611" s="158"/>
      <c r="P611" s="158">
        <v>1573323147</v>
      </c>
      <c r="Q611" s="158"/>
      <c r="R611" s="158"/>
      <c r="S611" s="158"/>
      <c r="T611" s="158"/>
      <c r="U611" s="94">
        <v>838522082</v>
      </c>
      <c r="V611" s="158">
        <v>20</v>
      </c>
      <c r="W611" s="311">
        <v>43678</v>
      </c>
      <c r="X611" s="311"/>
      <c r="Y611" s="311"/>
      <c r="Z611" s="94">
        <v>734801065</v>
      </c>
      <c r="AA611" s="158">
        <v>20</v>
      </c>
      <c r="AB611" s="311">
        <v>43770</v>
      </c>
      <c r="AC611" s="582"/>
      <c r="AD611" s="284"/>
      <c r="AE611" s="158"/>
      <c r="AF611" s="158">
        <f t="shared" ref="AF611" si="159">P611-U611-Z611-AH611</f>
        <v>0</v>
      </c>
      <c r="AG611" s="158"/>
      <c r="AH611" s="158">
        <v>0</v>
      </c>
      <c r="AI611" s="158">
        <v>0</v>
      </c>
      <c r="AJ611" s="94"/>
      <c r="AK611" s="158">
        <f t="shared" ref="AK611:AK634" si="160">P611-R611-U611-Z611</f>
        <v>0</v>
      </c>
      <c r="AL611" s="158">
        <v>877</v>
      </c>
      <c r="AM611" s="158">
        <v>20</v>
      </c>
      <c r="AN611" s="158"/>
      <c r="AO611" s="158"/>
      <c r="AP611" s="81">
        <v>25</v>
      </c>
      <c r="AQ611" s="81"/>
      <c r="AR611" s="81"/>
      <c r="AS611" s="81"/>
      <c r="AT611" s="98">
        <v>1</v>
      </c>
      <c r="AU611" s="58" t="s">
        <v>646</v>
      </c>
      <c r="AV611" s="348"/>
      <c r="AW611" s="51"/>
      <c r="AX611" s="56"/>
      <c r="AY611" s="56"/>
      <c r="AZ611" s="56"/>
      <c r="BA611" s="81">
        <v>25</v>
      </c>
      <c r="BB611" s="56"/>
      <c r="BC611" s="56"/>
      <c r="BD611" s="81">
        <v>25</v>
      </c>
      <c r="BE611" s="81"/>
      <c r="BF611" s="271">
        <v>2020</v>
      </c>
      <c r="BG611" s="271">
        <v>2019</v>
      </c>
      <c r="BH611" s="430">
        <v>2020</v>
      </c>
      <c r="BI611" s="271" t="s">
        <v>2375</v>
      </c>
    </row>
    <row r="612" spans="1:61" s="204" customFormat="1" ht="39" customHeight="1">
      <c r="A612" s="160" t="s">
        <v>510</v>
      </c>
      <c r="B612" s="58" t="s">
        <v>2423</v>
      </c>
      <c r="C612" s="55" t="s">
        <v>1610</v>
      </c>
      <c r="D612" s="33" t="s">
        <v>1611</v>
      </c>
      <c r="E612" s="33"/>
      <c r="F612" s="33"/>
      <c r="G612" s="33"/>
      <c r="H612" s="30" t="s">
        <v>1605</v>
      </c>
      <c r="I612" s="115" t="s">
        <v>2228</v>
      </c>
      <c r="J612" s="215" t="s">
        <v>2229</v>
      </c>
      <c r="K612" s="158"/>
      <c r="L612" s="158"/>
      <c r="M612" s="158">
        <v>58</v>
      </c>
      <c r="N612" s="158">
        <v>58</v>
      </c>
      <c r="O612" s="158"/>
      <c r="P612" s="158">
        <v>4228645092</v>
      </c>
      <c r="Q612" s="158"/>
      <c r="R612" s="158"/>
      <c r="S612" s="158"/>
      <c r="T612" s="158"/>
      <c r="U612" s="94">
        <v>2296475173</v>
      </c>
      <c r="V612" s="158">
        <v>20</v>
      </c>
      <c r="W612" s="311">
        <v>43709</v>
      </c>
      <c r="X612" s="311"/>
      <c r="Y612" s="311"/>
      <c r="Z612" s="94">
        <v>1932169919</v>
      </c>
      <c r="AA612" s="69">
        <v>20</v>
      </c>
      <c r="AB612" s="311">
        <v>43888</v>
      </c>
      <c r="AC612" s="582"/>
      <c r="AD612" s="284"/>
      <c r="AE612" s="158"/>
      <c r="AF612" s="158">
        <f>P612-R612-U612</f>
        <v>1932169919</v>
      </c>
      <c r="AG612" s="158"/>
      <c r="AH612" s="158">
        <f t="shared" ref="AH612:AH618" si="161">P612-U612-Z612</f>
        <v>0</v>
      </c>
      <c r="AI612" s="158">
        <v>1932169919</v>
      </c>
      <c r="AJ612" s="158"/>
      <c r="AK612" s="666">
        <f t="shared" si="160"/>
        <v>0</v>
      </c>
      <c r="AL612" s="666">
        <v>877</v>
      </c>
      <c r="AM612" s="666">
        <v>20</v>
      </c>
      <c r="AN612" s="158"/>
      <c r="AO612" s="158"/>
      <c r="AP612" s="158">
        <v>58</v>
      </c>
      <c r="AQ612" s="81"/>
      <c r="AR612" s="81"/>
      <c r="AS612" s="81"/>
      <c r="AT612" s="98">
        <v>1</v>
      </c>
      <c r="AU612" s="58" t="s">
        <v>646</v>
      </c>
      <c r="AV612" s="104" t="s">
        <v>2230</v>
      </c>
      <c r="AW612" s="51"/>
      <c r="AX612" s="56"/>
      <c r="AY612" s="56"/>
      <c r="AZ612" s="56"/>
      <c r="BA612" s="158">
        <v>58</v>
      </c>
      <c r="BB612" s="56"/>
      <c r="BC612" s="56"/>
      <c r="BD612" s="158">
        <v>58</v>
      </c>
      <c r="BE612" s="291"/>
      <c r="BF612" s="271">
        <v>2020</v>
      </c>
      <c r="BG612" s="271">
        <v>2019</v>
      </c>
      <c r="BH612" s="430">
        <v>2020</v>
      </c>
      <c r="BI612" s="271" t="s">
        <v>2375</v>
      </c>
    </row>
    <row r="613" spans="1:61" s="204" customFormat="1" ht="18" customHeight="1">
      <c r="A613" s="160" t="s">
        <v>510</v>
      </c>
      <c r="B613" s="58" t="s">
        <v>280</v>
      </c>
      <c r="C613" s="148" t="s">
        <v>1582</v>
      </c>
      <c r="D613" s="33" t="s">
        <v>214</v>
      </c>
      <c r="E613" s="33"/>
      <c r="F613" s="33"/>
      <c r="G613" s="33"/>
      <c r="H613" s="30" t="s">
        <v>1553</v>
      </c>
      <c r="I613" s="30">
        <v>1642</v>
      </c>
      <c r="J613" s="212">
        <v>43728</v>
      </c>
      <c r="K613" s="158"/>
      <c r="L613" s="158"/>
      <c r="M613" s="158">
        <v>4</v>
      </c>
      <c r="N613" s="158">
        <v>4</v>
      </c>
      <c r="O613" s="158"/>
      <c r="P613" s="158">
        <v>278769491</v>
      </c>
      <c r="Q613" s="158"/>
      <c r="R613" s="158"/>
      <c r="S613" s="158"/>
      <c r="T613" s="158"/>
      <c r="U613" s="94">
        <v>152398300</v>
      </c>
      <c r="V613" s="158">
        <v>20</v>
      </c>
      <c r="W613" s="311">
        <v>43739</v>
      </c>
      <c r="X613" s="311"/>
      <c r="Y613" s="311"/>
      <c r="Z613" s="94">
        <v>126371191</v>
      </c>
      <c r="AA613" s="158">
        <v>20</v>
      </c>
      <c r="AB613" s="311">
        <v>43800</v>
      </c>
      <c r="AC613" s="582"/>
      <c r="AD613" s="284"/>
      <c r="AE613" s="158"/>
      <c r="AF613" s="158">
        <f>P613-U613-Z613</f>
        <v>0</v>
      </c>
      <c r="AG613" s="158"/>
      <c r="AH613" s="94">
        <v>0</v>
      </c>
      <c r="AI613" s="94">
        <v>0</v>
      </c>
      <c r="AJ613" s="94"/>
      <c r="AK613" s="158">
        <f t="shared" si="160"/>
        <v>0</v>
      </c>
      <c r="AL613" s="158">
        <v>877</v>
      </c>
      <c r="AM613" s="158">
        <v>20</v>
      </c>
      <c r="AN613" s="158"/>
      <c r="AO613" s="158"/>
      <c r="AP613" s="81">
        <v>4</v>
      </c>
      <c r="AQ613" s="81"/>
      <c r="AR613" s="81"/>
      <c r="AS613" s="81"/>
      <c r="AT613" s="98">
        <v>1</v>
      </c>
      <c r="AU613" s="58" t="s">
        <v>646</v>
      </c>
      <c r="AV613" s="348"/>
      <c r="AW613" s="51"/>
      <c r="AX613" s="56"/>
      <c r="AY613" s="56"/>
      <c r="AZ613" s="56"/>
      <c r="BA613" s="81">
        <v>4</v>
      </c>
      <c r="BB613" s="56"/>
      <c r="BC613" s="56"/>
      <c r="BD613" s="81">
        <v>4</v>
      </c>
      <c r="BE613" s="81"/>
      <c r="BF613" s="271">
        <v>2020</v>
      </c>
      <c r="BG613" s="271">
        <v>2019</v>
      </c>
      <c r="BH613" s="430">
        <v>2020</v>
      </c>
      <c r="BI613" s="271" t="s">
        <v>2375</v>
      </c>
    </row>
    <row r="614" spans="1:61" s="204" customFormat="1" ht="18" customHeight="1">
      <c r="A614" s="160" t="s">
        <v>510</v>
      </c>
      <c r="B614" s="58" t="s">
        <v>262</v>
      </c>
      <c r="C614" s="148" t="s">
        <v>1130</v>
      </c>
      <c r="D614" s="33" t="s">
        <v>1555</v>
      </c>
      <c r="E614" s="33"/>
      <c r="F614" s="33"/>
      <c r="G614" s="33"/>
      <c r="H614" s="30" t="s">
        <v>1553</v>
      </c>
      <c r="I614" s="30">
        <v>1650</v>
      </c>
      <c r="J614" s="212">
        <v>43728</v>
      </c>
      <c r="K614" s="158"/>
      <c r="L614" s="158"/>
      <c r="M614" s="158">
        <v>54</v>
      </c>
      <c r="N614" s="158">
        <v>54</v>
      </c>
      <c r="O614" s="158"/>
      <c r="P614" s="158">
        <v>4499705617</v>
      </c>
      <c r="Q614" s="158"/>
      <c r="R614" s="158">
        <v>592066530</v>
      </c>
      <c r="S614" s="158">
        <v>20</v>
      </c>
      <c r="T614" s="311">
        <v>43739</v>
      </c>
      <c r="U614" s="94"/>
      <c r="V614" s="158"/>
      <c r="W614" s="311"/>
      <c r="X614" s="311"/>
      <c r="Y614" s="311"/>
      <c r="Z614" s="94"/>
      <c r="AA614" s="69"/>
      <c r="AB614" s="284"/>
      <c r="AC614" s="284"/>
      <c r="AD614" s="284"/>
      <c r="AE614" s="158"/>
      <c r="AF614" s="158">
        <f>P614-R614-U614-Z614</f>
        <v>3907639087</v>
      </c>
      <c r="AG614" s="158"/>
      <c r="AH614" s="94">
        <v>0</v>
      </c>
      <c r="AI614" s="94">
        <v>3907639087</v>
      </c>
      <c r="AJ614" s="94"/>
      <c r="AK614" s="666">
        <f t="shared" si="160"/>
        <v>3907639087</v>
      </c>
      <c r="AL614" s="666">
        <v>877</v>
      </c>
      <c r="AM614" s="666">
        <v>20</v>
      </c>
      <c r="AN614" s="158">
        <v>54</v>
      </c>
      <c r="AO614" s="158"/>
      <c r="AP614" s="98"/>
      <c r="AQ614" s="81"/>
      <c r="AR614" s="81"/>
      <c r="AS614" s="81"/>
      <c r="AT614" s="98">
        <v>0</v>
      </c>
      <c r="AU614" s="58" t="s">
        <v>521</v>
      </c>
      <c r="AV614" s="348"/>
      <c r="AW614" s="51"/>
      <c r="AX614" s="56"/>
      <c r="AY614" s="56"/>
      <c r="AZ614" s="56"/>
      <c r="BA614" s="56"/>
      <c r="BB614" s="56"/>
      <c r="BC614" s="291"/>
      <c r="BD614" s="291"/>
      <c r="BE614" s="291"/>
      <c r="BF614" s="271"/>
      <c r="BG614" s="271">
        <v>2019</v>
      </c>
      <c r="BH614" s="430">
        <v>2020</v>
      </c>
      <c r="BI614" s="271" t="s">
        <v>2375</v>
      </c>
    </row>
    <row r="615" spans="1:61" s="204" customFormat="1" ht="18" customHeight="1">
      <c r="A615" s="160" t="s">
        <v>510</v>
      </c>
      <c r="B615" s="58" t="s">
        <v>208</v>
      </c>
      <c r="C615" s="149" t="s">
        <v>1580</v>
      </c>
      <c r="D615" s="33" t="s">
        <v>61</v>
      </c>
      <c r="E615" s="33"/>
      <c r="F615" s="33"/>
      <c r="G615" s="33"/>
      <c r="H615" s="30" t="s">
        <v>1553</v>
      </c>
      <c r="I615" s="30">
        <v>1654</v>
      </c>
      <c r="J615" s="212">
        <v>43728</v>
      </c>
      <c r="K615" s="158"/>
      <c r="L615" s="158"/>
      <c r="M615" s="158">
        <v>53</v>
      </c>
      <c r="N615" s="158">
        <v>53</v>
      </c>
      <c r="O615" s="158"/>
      <c r="P615" s="158">
        <v>4128448032</v>
      </c>
      <c r="Q615" s="158"/>
      <c r="R615" s="158">
        <v>345244491</v>
      </c>
      <c r="S615" s="158">
        <v>20</v>
      </c>
      <c r="T615" s="311">
        <v>43770</v>
      </c>
      <c r="U615" s="94">
        <v>2048407433</v>
      </c>
      <c r="V615" s="158">
        <v>20</v>
      </c>
      <c r="W615" s="311">
        <v>43861</v>
      </c>
      <c r="X615" s="311"/>
      <c r="Y615" s="311"/>
      <c r="Z615" s="94">
        <v>1734796108</v>
      </c>
      <c r="AA615" s="69">
        <v>20</v>
      </c>
      <c r="AB615" s="311">
        <v>43980</v>
      </c>
      <c r="AC615" s="582"/>
      <c r="AD615" s="284"/>
      <c r="AE615" s="158"/>
      <c r="AF615" s="158">
        <f>P615-R615</f>
        <v>3783203541</v>
      </c>
      <c r="AG615" s="158"/>
      <c r="AH615" s="158">
        <f>P615-U615-Z615-345244491</f>
        <v>0</v>
      </c>
      <c r="AI615" s="158">
        <v>3783203541</v>
      </c>
      <c r="AJ615" s="158"/>
      <c r="AK615" s="666">
        <f t="shared" si="160"/>
        <v>0</v>
      </c>
      <c r="AL615" s="666">
        <v>877</v>
      </c>
      <c r="AM615" s="666">
        <v>20</v>
      </c>
      <c r="AN615" s="158"/>
      <c r="AO615" s="158">
        <v>53</v>
      </c>
      <c r="AP615" s="98"/>
      <c r="AQ615" s="81"/>
      <c r="AR615" s="81"/>
      <c r="AS615" s="81"/>
      <c r="AT615" s="98">
        <v>0.52</v>
      </c>
      <c r="AU615" s="58" t="s">
        <v>38</v>
      </c>
      <c r="AV615" s="348"/>
      <c r="AW615" s="51"/>
      <c r="AX615" s="56"/>
      <c r="AY615" s="56"/>
      <c r="AZ615" s="56"/>
      <c r="BA615" s="56"/>
      <c r="BB615" s="56"/>
      <c r="BC615" s="291"/>
      <c r="BD615" s="291"/>
      <c r="BE615" s="291"/>
      <c r="BF615" s="271"/>
      <c r="BG615" s="271">
        <v>2019</v>
      </c>
      <c r="BH615" s="430">
        <v>2020</v>
      </c>
      <c r="BI615" s="271" t="s">
        <v>2375</v>
      </c>
    </row>
    <row r="616" spans="1:61" s="204" customFormat="1" ht="18" customHeight="1">
      <c r="A616" s="160" t="s">
        <v>510</v>
      </c>
      <c r="B616" s="58" t="s">
        <v>203</v>
      </c>
      <c r="C616" s="149" t="s">
        <v>1581</v>
      </c>
      <c r="D616" s="33" t="s">
        <v>1583</v>
      </c>
      <c r="E616" s="33"/>
      <c r="F616" s="33"/>
      <c r="G616" s="33"/>
      <c r="H616" s="30" t="s">
        <v>1553</v>
      </c>
      <c r="I616" s="30">
        <v>1660</v>
      </c>
      <c r="J616" s="212">
        <v>43731</v>
      </c>
      <c r="K616" s="158"/>
      <c r="L616" s="158"/>
      <c r="M616" s="158">
        <v>44</v>
      </c>
      <c r="N616" s="158">
        <v>44</v>
      </c>
      <c r="O616" s="158"/>
      <c r="P616" s="158">
        <v>3208086516</v>
      </c>
      <c r="Q616" s="158"/>
      <c r="R616" s="158"/>
      <c r="S616" s="158"/>
      <c r="T616" s="158"/>
      <c r="U616" s="94">
        <v>1762498677</v>
      </c>
      <c r="V616" s="158">
        <v>20</v>
      </c>
      <c r="W616" s="311">
        <v>43739</v>
      </c>
      <c r="X616" s="311"/>
      <c r="Y616" s="311"/>
      <c r="Z616" s="94">
        <v>1445587839</v>
      </c>
      <c r="AA616" s="69">
        <v>20</v>
      </c>
      <c r="AB616" s="311">
        <v>43920</v>
      </c>
      <c r="AC616" s="582"/>
      <c r="AD616" s="284"/>
      <c r="AE616" s="158"/>
      <c r="AF616" s="158">
        <f>P616-R616-U616</f>
        <v>1445587839</v>
      </c>
      <c r="AG616" s="158"/>
      <c r="AH616" s="158">
        <f t="shared" si="161"/>
        <v>0</v>
      </c>
      <c r="AI616" s="158">
        <v>1445587839</v>
      </c>
      <c r="AJ616" s="158"/>
      <c r="AK616" s="666">
        <f t="shared" si="160"/>
        <v>0</v>
      </c>
      <c r="AL616" s="666">
        <v>877</v>
      </c>
      <c r="AM616" s="666">
        <v>20</v>
      </c>
      <c r="AN616" s="158"/>
      <c r="AO616" s="158">
        <v>44</v>
      </c>
      <c r="AP616" s="98"/>
      <c r="AQ616" s="81"/>
      <c r="AR616" s="81"/>
      <c r="AS616" s="81"/>
      <c r="AT616" s="98">
        <v>0.77459999999999996</v>
      </c>
      <c r="AU616" s="58" t="s">
        <v>38</v>
      </c>
      <c r="AV616" s="348"/>
      <c r="AW616" s="51"/>
      <c r="AX616" s="56"/>
      <c r="AY616" s="56"/>
      <c r="AZ616" s="56"/>
      <c r="BA616" s="56"/>
      <c r="BB616" s="56"/>
      <c r="BC616" s="291"/>
      <c r="BD616" s="291"/>
      <c r="BE616" s="291"/>
      <c r="BF616" s="271"/>
      <c r="BG616" s="271">
        <v>2019</v>
      </c>
      <c r="BH616" s="430">
        <v>2020</v>
      </c>
      <c r="BI616" s="271" t="s">
        <v>2375</v>
      </c>
    </row>
    <row r="617" spans="1:61" s="204" customFormat="1" ht="31.5" customHeight="1">
      <c r="A617" s="160" t="s">
        <v>510</v>
      </c>
      <c r="B617" s="58" t="s">
        <v>1985</v>
      </c>
      <c r="C617" s="55" t="s">
        <v>1928</v>
      </c>
      <c r="D617" s="33" t="s">
        <v>1584</v>
      </c>
      <c r="E617" s="33"/>
      <c r="F617" s="33"/>
      <c r="G617" s="33"/>
      <c r="H617" s="30" t="s">
        <v>1553</v>
      </c>
      <c r="I617" s="30">
        <v>1665</v>
      </c>
      <c r="J617" s="212">
        <v>43731</v>
      </c>
      <c r="K617" s="158"/>
      <c r="L617" s="158"/>
      <c r="M617" s="158">
        <v>25</v>
      </c>
      <c r="N617" s="158">
        <v>25</v>
      </c>
      <c r="O617" s="158"/>
      <c r="P617" s="158">
        <v>1822797405</v>
      </c>
      <c r="Q617" s="158"/>
      <c r="R617" s="158"/>
      <c r="S617" s="158"/>
      <c r="T617" s="158"/>
      <c r="U617" s="94">
        <v>994432232</v>
      </c>
      <c r="V617" s="158">
        <v>20</v>
      </c>
      <c r="W617" s="311">
        <v>43739</v>
      </c>
      <c r="X617" s="311"/>
      <c r="Y617" s="311"/>
      <c r="Z617" s="94">
        <v>828365173</v>
      </c>
      <c r="AA617" s="158">
        <v>20</v>
      </c>
      <c r="AB617" s="311">
        <v>43800</v>
      </c>
      <c r="AC617" s="582"/>
      <c r="AD617" s="284"/>
      <c r="AE617" s="158"/>
      <c r="AF617" s="158">
        <f>P617-U617-Z617</f>
        <v>0</v>
      </c>
      <c r="AG617" s="158"/>
      <c r="AH617" s="94">
        <v>0</v>
      </c>
      <c r="AI617" s="94">
        <v>0</v>
      </c>
      <c r="AJ617" s="94"/>
      <c r="AK617" s="158">
        <f t="shared" si="160"/>
        <v>0</v>
      </c>
      <c r="AL617" s="158">
        <v>877</v>
      </c>
      <c r="AM617" s="158">
        <v>20</v>
      </c>
      <c r="AN617" s="158"/>
      <c r="AO617" s="158"/>
      <c r="AP617" s="81">
        <v>25</v>
      </c>
      <c r="AQ617" s="81"/>
      <c r="AR617" s="81"/>
      <c r="AS617" s="81"/>
      <c r="AT617" s="98">
        <v>1</v>
      </c>
      <c r="AU617" s="58" t="s">
        <v>646</v>
      </c>
      <c r="AV617" s="348"/>
      <c r="AW617" s="51"/>
      <c r="AX617" s="56"/>
      <c r="AY617" s="56"/>
      <c r="AZ617" s="56"/>
      <c r="BA617" s="81">
        <v>25</v>
      </c>
      <c r="BB617" s="56"/>
      <c r="BC617" s="56"/>
      <c r="BD617" s="81">
        <v>25</v>
      </c>
      <c r="BE617" s="81"/>
      <c r="BF617" s="271">
        <v>2020</v>
      </c>
      <c r="BG617" s="271">
        <v>2019</v>
      </c>
      <c r="BH617" s="430">
        <v>2020</v>
      </c>
      <c r="BI617" s="271" t="s">
        <v>2375</v>
      </c>
    </row>
    <row r="618" spans="1:61" s="204" customFormat="1" ht="18" customHeight="1">
      <c r="A618" s="160" t="s">
        <v>510</v>
      </c>
      <c r="B618" s="58" t="s">
        <v>197</v>
      </c>
      <c r="C618" s="148" t="s">
        <v>2225</v>
      </c>
      <c r="D618" s="33" t="s">
        <v>215</v>
      </c>
      <c r="E618" s="33"/>
      <c r="F618" s="33"/>
      <c r="G618" s="33"/>
      <c r="H618" s="30" t="s">
        <v>1553</v>
      </c>
      <c r="I618" s="30">
        <v>1667</v>
      </c>
      <c r="J618" s="212">
        <v>43731</v>
      </c>
      <c r="K618" s="158"/>
      <c r="L618" s="158"/>
      <c r="M618" s="158">
        <v>13</v>
      </c>
      <c r="N618" s="158">
        <v>13</v>
      </c>
      <c r="O618" s="158"/>
      <c r="P618" s="158">
        <v>946660325</v>
      </c>
      <c r="Q618" s="158"/>
      <c r="R618" s="158"/>
      <c r="S618" s="158"/>
      <c r="T618" s="158"/>
      <c r="U618" s="94">
        <v>510111043</v>
      </c>
      <c r="V618" s="158">
        <v>20</v>
      </c>
      <c r="W618" s="311">
        <v>43739</v>
      </c>
      <c r="X618" s="311"/>
      <c r="Y618" s="311"/>
      <c r="Z618" s="94">
        <v>436549282</v>
      </c>
      <c r="AA618" s="69">
        <v>20</v>
      </c>
      <c r="AB618" s="311">
        <v>43889</v>
      </c>
      <c r="AC618" s="582"/>
      <c r="AD618" s="284"/>
      <c r="AE618" s="158"/>
      <c r="AF618" s="158">
        <f>P618-R618-U618</f>
        <v>436549282</v>
      </c>
      <c r="AG618" s="158"/>
      <c r="AH618" s="158">
        <f t="shared" si="161"/>
        <v>0</v>
      </c>
      <c r="AI618" s="158">
        <v>436549282</v>
      </c>
      <c r="AJ618" s="158"/>
      <c r="AK618" s="666">
        <f t="shared" si="160"/>
        <v>0</v>
      </c>
      <c r="AL618" s="666">
        <v>877</v>
      </c>
      <c r="AM618" s="666">
        <v>20</v>
      </c>
      <c r="AN618" s="158"/>
      <c r="AO618" s="158"/>
      <c r="AP618" s="81">
        <v>13</v>
      </c>
      <c r="AQ618" s="81"/>
      <c r="AR618" s="81"/>
      <c r="AS618" s="81"/>
      <c r="AT618" s="98">
        <v>1</v>
      </c>
      <c r="AU618" s="58" t="s">
        <v>646</v>
      </c>
      <c r="AV618" s="348"/>
      <c r="AW618" s="51"/>
      <c r="AX618" s="56"/>
      <c r="AY618" s="56"/>
      <c r="AZ618" s="56"/>
      <c r="BA618" s="81">
        <v>13</v>
      </c>
      <c r="BB618" s="56"/>
      <c r="BC618" s="56"/>
      <c r="BD618" s="81">
        <v>13</v>
      </c>
      <c r="BE618" s="81"/>
      <c r="BF618" s="271">
        <v>2020</v>
      </c>
      <c r="BG618" s="271">
        <v>2019</v>
      </c>
      <c r="BH618" s="430">
        <v>2020</v>
      </c>
      <c r="BI618" s="271" t="s">
        <v>2375</v>
      </c>
    </row>
    <row r="619" spans="1:61" s="204" customFormat="1" ht="30" customHeight="1">
      <c r="A619" s="160" t="s">
        <v>510</v>
      </c>
      <c r="B619" s="58" t="s">
        <v>197</v>
      </c>
      <c r="C619" s="148" t="s">
        <v>1886</v>
      </c>
      <c r="D619" s="33" t="s">
        <v>1887</v>
      </c>
      <c r="E619" s="659"/>
      <c r="F619" s="78">
        <v>4</v>
      </c>
      <c r="G619" s="78"/>
      <c r="H619" s="30" t="s">
        <v>657</v>
      </c>
      <c r="I619" s="115" t="s">
        <v>1888</v>
      </c>
      <c r="J619" s="215" t="s">
        <v>1889</v>
      </c>
      <c r="K619" s="158"/>
      <c r="L619" s="158"/>
      <c r="M619" s="158">
        <v>28</v>
      </c>
      <c r="N619" s="158">
        <v>28</v>
      </c>
      <c r="O619" s="158"/>
      <c r="P619" s="158">
        <v>2234129678</v>
      </c>
      <c r="Q619" s="158"/>
      <c r="R619" s="158">
        <v>306992000</v>
      </c>
      <c r="S619" s="158">
        <v>10</v>
      </c>
      <c r="T619" s="311">
        <v>43770</v>
      </c>
      <c r="U619" s="94">
        <v>1053555012</v>
      </c>
      <c r="V619" s="158">
        <v>10</v>
      </c>
      <c r="W619" s="311">
        <v>43979</v>
      </c>
      <c r="X619" s="311"/>
      <c r="Y619" s="311"/>
      <c r="Z619" s="94"/>
      <c r="AA619" s="69"/>
      <c r="AB619" s="284"/>
      <c r="AC619" s="284"/>
      <c r="AD619" s="284"/>
      <c r="AE619" s="158"/>
      <c r="AF619" s="158">
        <f>P619-R619</f>
        <v>1927137678</v>
      </c>
      <c r="AG619" s="158"/>
      <c r="AH619" s="94">
        <v>0</v>
      </c>
      <c r="AI619" s="94">
        <v>1927137678</v>
      </c>
      <c r="AJ619" s="94"/>
      <c r="AK619" s="666">
        <f>P619-R619-U619-Z619</f>
        <v>873582666</v>
      </c>
      <c r="AL619" s="666" t="s">
        <v>2184</v>
      </c>
      <c r="AM619" s="666" t="s">
        <v>1822</v>
      </c>
      <c r="AN619" s="158">
        <v>28</v>
      </c>
      <c r="AO619" s="158"/>
      <c r="AP619" s="98"/>
      <c r="AQ619" s="81"/>
      <c r="AR619" s="81"/>
      <c r="AS619" s="81"/>
      <c r="AT619" s="98">
        <v>0</v>
      </c>
      <c r="AU619" s="58" t="s">
        <v>521</v>
      </c>
      <c r="AV619" s="422" t="s">
        <v>2356</v>
      </c>
      <c r="AW619" s="51"/>
      <c r="AX619" s="56"/>
      <c r="AY619" s="56"/>
      <c r="AZ619" s="56"/>
      <c r="BA619" s="56"/>
      <c r="BB619" s="56"/>
      <c r="BC619" s="291"/>
      <c r="BD619" s="291"/>
      <c r="BE619" s="291"/>
      <c r="BF619" s="271"/>
      <c r="BG619" s="271">
        <v>2019</v>
      </c>
      <c r="BH619" s="430">
        <v>2020</v>
      </c>
      <c r="BI619" s="271" t="s">
        <v>2375</v>
      </c>
    </row>
    <row r="620" spans="1:61" s="204" customFormat="1" ht="18" customHeight="1">
      <c r="A620" s="160" t="s">
        <v>510</v>
      </c>
      <c r="B620" s="58" t="s">
        <v>262</v>
      </c>
      <c r="C620" s="148" t="s">
        <v>259</v>
      </c>
      <c r="D620" s="33" t="s">
        <v>214</v>
      </c>
      <c r="E620" s="33"/>
      <c r="F620" s="33"/>
      <c r="G620" s="33"/>
      <c r="H620" s="30" t="s">
        <v>1920</v>
      </c>
      <c r="I620" s="115">
        <v>2080</v>
      </c>
      <c r="J620" s="212">
        <v>43801</v>
      </c>
      <c r="K620" s="158"/>
      <c r="L620" s="158"/>
      <c r="M620" s="158">
        <v>18</v>
      </c>
      <c r="N620" s="158">
        <v>18</v>
      </c>
      <c r="O620" s="158"/>
      <c r="P620" s="158">
        <v>1264142509</v>
      </c>
      <c r="Q620" s="158"/>
      <c r="R620" s="158"/>
      <c r="S620" s="158"/>
      <c r="T620" s="311"/>
      <c r="U620" s="94">
        <v>691611256</v>
      </c>
      <c r="V620" s="158">
        <v>20</v>
      </c>
      <c r="W620" s="311">
        <v>43800</v>
      </c>
      <c r="X620" s="311"/>
      <c r="Y620" s="311"/>
      <c r="Z620" s="94">
        <v>572531253</v>
      </c>
      <c r="AA620" s="69">
        <v>20</v>
      </c>
      <c r="AB620" s="311">
        <v>43920</v>
      </c>
      <c r="AC620" s="582"/>
      <c r="AD620" s="284"/>
      <c r="AE620" s="158"/>
      <c r="AF620" s="158">
        <f>P620-R620-U620</f>
        <v>572531253</v>
      </c>
      <c r="AG620" s="158"/>
      <c r="AH620" s="158">
        <f t="shared" ref="AH620:AH624" si="162">P620-U620-Z620</f>
        <v>0</v>
      </c>
      <c r="AI620" s="158">
        <v>572531253</v>
      </c>
      <c r="AJ620" s="158"/>
      <c r="AK620" s="666">
        <f t="shared" si="160"/>
        <v>0</v>
      </c>
      <c r="AL620" s="666">
        <v>877</v>
      </c>
      <c r="AM620" s="666">
        <v>20</v>
      </c>
      <c r="AN620" s="268"/>
      <c r="AO620" s="158"/>
      <c r="AP620" s="158">
        <v>18</v>
      </c>
      <c r="AQ620" s="81"/>
      <c r="AR620" s="81"/>
      <c r="AS620" s="81"/>
      <c r="AT620" s="98">
        <v>1</v>
      </c>
      <c r="AU620" s="58" t="s">
        <v>646</v>
      </c>
      <c r="AV620" s="104" t="s">
        <v>1565</v>
      </c>
      <c r="AW620" s="51"/>
      <c r="AX620" s="56"/>
      <c r="AY620" s="56"/>
      <c r="AZ620" s="56"/>
      <c r="BA620" s="158">
        <v>18</v>
      </c>
      <c r="BB620" s="56"/>
      <c r="BC620" s="56"/>
      <c r="BD620" s="158">
        <v>18</v>
      </c>
      <c r="BE620" s="291"/>
      <c r="BF620" s="271">
        <v>2020</v>
      </c>
      <c r="BG620" s="271">
        <v>2019</v>
      </c>
      <c r="BH620" s="430">
        <v>2020</v>
      </c>
      <c r="BI620" s="271" t="s">
        <v>2375</v>
      </c>
    </row>
    <row r="621" spans="1:61" s="204" customFormat="1" ht="18" customHeight="1">
      <c r="A621" s="160" t="s">
        <v>510</v>
      </c>
      <c r="B621" s="58" t="s">
        <v>1925</v>
      </c>
      <c r="C621" s="58" t="s">
        <v>1922</v>
      </c>
      <c r="D621" s="33" t="s">
        <v>1624</v>
      </c>
      <c r="E621" s="33"/>
      <c r="F621" s="33"/>
      <c r="G621" s="33"/>
      <c r="H621" s="30" t="s">
        <v>1920</v>
      </c>
      <c r="I621" s="115">
        <v>2110</v>
      </c>
      <c r="J621" s="212">
        <v>43805</v>
      </c>
      <c r="K621" s="158"/>
      <c r="L621" s="158"/>
      <c r="M621" s="158">
        <v>62</v>
      </c>
      <c r="N621" s="158">
        <v>62</v>
      </c>
      <c r="O621" s="158"/>
      <c r="P621" s="158">
        <v>4520537558</v>
      </c>
      <c r="Q621" s="158"/>
      <c r="R621" s="158"/>
      <c r="S621" s="158"/>
      <c r="T621" s="311"/>
      <c r="U621" s="94">
        <v>2485631908</v>
      </c>
      <c r="V621" s="158">
        <v>20</v>
      </c>
      <c r="W621" s="311">
        <v>43800</v>
      </c>
      <c r="X621" s="311"/>
      <c r="Y621" s="311"/>
      <c r="Z621" s="94">
        <v>2034905650</v>
      </c>
      <c r="AA621" s="69">
        <v>20</v>
      </c>
      <c r="AB621" s="311">
        <v>43980</v>
      </c>
      <c r="AC621" s="582"/>
      <c r="AD621" s="284"/>
      <c r="AE621" s="158"/>
      <c r="AF621" s="158">
        <f t="shared" ref="AF621:AF627" si="163">P621-R621-U621</f>
        <v>2034905650</v>
      </c>
      <c r="AG621" s="158"/>
      <c r="AH621" s="158">
        <f t="shared" si="162"/>
        <v>0</v>
      </c>
      <c r="AI621" s="158">
        <v>2034905650</v>
      </c>
      <c r="AJ621" s="158"/>
      <c r="AK621" s="666">
        <f t="shared" si="160"/>
        <v>0</v>
      </c>
      <c r="AL621" s="666">
        <v>877</v>
      </c>
      <c r="AM621" s="666">
        <v>20</v>
      </c>
      <c r="AN621" s="158"/>
      <c r="AO621" s="158">
        <v>62</v>
      </c>
      <c r="AP621" s="98"/>
      <c r="AQ621" s="81"/>
      <c r="AR621" s="81"/>
      <c r="AS621" s="81"/>
      <c r="AT621" s="2">
        <v>0.60340000000000005</v>
      </c>
      <c r="AU621" s="58" t="s">
        <v>38</v>
      </c>
      <c r="AV621" s="104" t="s">
        <v>1565</v>
      </c>
      <c r="AW621" s="51"/>
      <c r="AX621" s="56"/>
      <c r="AY621" s="56"/>
      <c r="AZ621" s="56"/>
      <c r="BA621" s="56"/>
      <c r="BB621" s="56"/>
      <c r="BC621" s="291"/>
      <c r="BD621" s="291"/>
      <c r="BE621" s="291"/>
      <c r="BF621" s="271"/>
      <c r="BG621" s="271">
        <v>2019</v>
      </c>
      <c r="BH621" s="430">
        <v>2020</v>
      </c>
      <c r="BI621" s="271" t="s">
        <v>2375</v>
      </c>
    </row>
    <row r="622" spans="1:61" s="204" customFormat="1" ht="18" customHeight="1">
      <c r="A622" s="160" t="s">
        <v>510</v>
      </c>
      <c r="B622" s="58" t="s">
        <v>216</v>
      </c>
      <c r="C622" s="58" t="s">
        <v>1923</v>
      </c>
      <c r="D622" s="33" t="s">
        <v>1642</v>
      </c>
      <c r="E622" s="33"/>
      <c r="F622" s="33"/>
      <c r="G622" s="33"/>
      <c r="H622" s="30" t="s">
        <v>1920</v>
      </c>
      <c r="I622" s="115">
        <v>2053</v>
      </c>
      <c r="J622" s="212">
        <v>43797</v>
      </c>
      <c r="K622" s="158"/>
      <c r="L622" s="158"/>
      <c r="M622" s="158">
        <v>17</v>
      </c>
      <c r="N622" s="158">
        <v>17</v>
      </c>
      <c r="O622" s="158"/>
      <c r="P622" s="158">
        <v>1238198294</v>
      </c>
      <c r="Q622" s="158"/>
      <c r="R622" s="158"/>
      <c r="S622" s="158"/>
      <c r="T622" s="311"/>
      <c r="U622" s="94">
        <v>680963103</v>
      </c>
      <c r="V622" s="158">
        <v>20</v>
      </c>
      <c r="W622" s="311">
        <v>43800</v>
      </c>
      <c r="X622" s="311"/>
      <c r="Y622" s="311"/>
      <c r="Z622" s="94">
        <v>557235191</v>
      </c>
      <c r="AA622" s="69">
        <v>20</v>
      </c>
      <c r="AB622" s="311">
        <v>43951</v>
      </c>
      <c r="AC622" s="582"/>
      <c r="AD622" s="284"/>
      <c r="AE622" s="158"/>
      <c r="AF622" s="158">
        <f t="shared" si="163"/>
        <v>557235191</v>
      </c>
      <c r="AG622" s="158"/>
      <c r="AH622" s="158">
        <f t="shared" si="162"/>
        <v>0</v>
      </c>
      <c r="AI622" s="158">
        <v>557235191</v>
      </c>
      <c r="AJ622" s="158"/>
      <c r="AK622" s="666">
        <f t="shared" si="160"/>
        <v>0</v>
      </c>
      <c r="AL622" s="666">
        <v>877</v>
      </c>
      <c r="AM622" s="666">
        <v>20</v>
      </c>
      <c r="AN622" s="480"/>
      <c r="AO622" s="158">
        <v>17</v>
      </c>
      <c r="AP622" s="98"/>
      <c r="AQ622" s="81"/>
      <c r="AR622" s="81"/>
      <c r="AS622" s="81"/>
      <c r="AT622" s="98">
        <v>0.89490000000000003</v>
      </c>
      <c r="AU622" s="58" t="s">
        <v>38</v>
      </c>
      <c r="AV622" s="104" t="s">
        <v>1565</v>
      </c>
      <c r="AW622" s="51"/>
      <c r="AX622" s="56"/>
      <c r="AY622" s="56"/>
      <c r="AZ622" s="56"/>
      <c r="BA622" s="56"/>
      <c r="BB622" s="56"/>
      <c r="BC622" s="291"/>
      <c r="BD622" s="291"/>
      <c r="BE622" s="291"/>
      <c r="BF622" s="271"/>
      <c r="BG622" s="271">
        <v>2019</v>
      </c>
      <c r="BH622" s="430">
        <v>2020</v>
      </c>
      <c r="BI622" s="271" t="s">
        <v>2375</v>
      </c>
    </row>
    <row r="623" spans="1:61" s="204" customFormat="1" ht="18" customHeight="1">
      <c r="A623" s="160" t="s">
        <v>510</v>
      </c>
      <c r="B623" s="58" t="s">
        <v>546</v>
      </c>
      <c r="C623" s="58" t="s">
        <v>1924</v>
      </c>
      <c r="D623" s="33" t="s">
        <v>1926</v>
      </c>
      <c r="E623" s="33"/>
      <c r="F623" s="33"/>
      <c r="G623" s="33"/>
      <c r="H623" s="30" t="s">
        <v>1920</v>
      </c>
      <c r="I623" s="115">
        <v>2064</v>
      </c>
      <c r="J623" s="212">
        <v>43798</v>
      </c>
      <c r="K623" s="158"/>
      <c r="L623" s="158"/>
      <c r="M623" s="158">
        <v>28</v>
      </c>
      <c r="N623" s="158">
        <v>28</v>
      </c>
      <c r="O623" s="158"/>
      <c r="P623" s="158">
        <v>2041533057</v>
      </c>
      <c r="Q623" s="158"/>
      <c r="R623" s="158"/>
      <c r="S623" s="158"/>
      <c r="T623" s="311"/>
      <c r="U623" s="94">
        <v>1116315734</v>
      </c>
      <c r="V623" s="158">
        <v>20</v>
      </c>
      <c r="W623" s="311">
        <v>43800</v>
      </c>
      <c r="X623" s="311"/>
      <c r="Y623" s="311"/>
      <c r="Z623" s="94">
        <v>925217323</v>
      </c>
      <c r="AA623" s="69">
        <v>20</v>
      </c>
      <c r="AB623" s="311">
        <v>43951</v>
      </c>
      <c r="AC623" s="582"/>
      <c r="AD623" s="284"/>
      <c r="AE623" s="158"/>
      <c r="AF623" s="158">
        <f t="shared" si="163"/>
        <v>925217323</v>
      </c>
      <c r="AG623" s="158"/>
      <c r="AH623" s="158">
        <f t="shared" si="162"/>
        <v>0</v>
      </c>
      <c r="AI623" s="158">
        <v>925217323</v>
      </c>
      <c r="AJ623" s="158"/>
      <c r="AK623" s="666">
        <f t="shared" si="160"/>
        <v>0</v>
      </c>
      <c r="AL623" s="666">
        <v>877</v>
      </c>
      <c r="AM623" s="666">
        <v>20</v>
      </c>
      <c r="AN623" s="158"/>
      <c r="AO623" s="158">
        <v>28</v>
      </c>
      <c r="AP623" s="98"/>
      <c r="AQ623" s="81"/>
      <c r="AR623" s="81"/>
      <c r="AS623" s="81"/>
      <c r="AT623" s="2">
        <v>0.65710000000000002</v>
      </c>
      <c r="AU623" s="58" t="s">
        <v>38</v>
      </c>
      <c r="AV623" s="104" t="s">
        <v>1565</v>
      </c>
      <c r="AW623" s="51"/>
      <c r="AX623" s="56"/>
      <c r="AY623" s="56"/>
      <c r="AZ623" s="56"/>
      <c r="BA623" s="56"/>
      <c r="BB623" s="56"/>
      <c r="BC623" s="291"/>
      <c r="BD623" s="291"/>
      <c r="BE623" s="291"/>
      <c r="BF623" s="271"/>
      <c r="BG623" s="271">
        <v>2019</v>
      </c>
      <c r="BH623" s="430">
        <v>2020</v>
      </c>
      <c r="BI623" s="271" t="s">
        <v>2375</v>
      </c>
    </row>
    <row r="624" spans="1:61" s="204" customFormat="1" ht="27.75" customHeight="1">
      <c r="A624" s="160" t="s">
        <v>510</v>
      </c>
      <c r="B624" s="58" t="s">
        <v>1985</v>
      </c>
      <c r="C624" s="33" t="s">
        <v>1927</v>
      </c>
      <c r="D624" s="33" t="s">
        <v>1584</v>
      </c>
      <c r="E624" s="33"/>
      <c r="F624" s="33"/>
      <c r="G624" s="33"/>
      <c r="H624" s="30" t="s">
        <v>1920</v>
      </c>
      <c r="I624" s="115">
        <v>2097</v>
      </c>
      <c r="J624" s="212">
        <v>43803</v>
      </c>
      <c r="K624" s="158"/>
      <c r="L624" s="158"/>
      <c r="M624" s="158">
        <v>6</v>
      </c>
      <c r="N624" s="158">
        <v>6</v>
      </c>
      <c r="O624" s="158"/>
      <c r="P624" s="158">
        <v>437471375</v>
      </c>
      <c r="Q624" s="158"/>
      <c r="R624" s="158"/>
      <c r="S624" s="158"/>
      <c r="T624" s="311"/>
      <c r="U624" s="94">
        <v>240480812</v>
      </c>
      <c r="V624" s="158">
        <v>20</v>
      </c>
      <c r="W624" s="311">
        <v>43800</v>
      </c>
      <c r="X624" s="311"/>
      <c r="Y624" s="311"/>
      <c r="Z624" s="94">
        <v>196990563</v>
      </c>
      <c r="AA624" s="69">
        <v>20</v>
      </c>
      <c r="AB624" s="311">
        <v>43920</v>
      </c>
      <c r="AC624" s="582"/>
      <c r="AD624" s="284"/>
      <c r="AE624" s="158"/>
      <c r="AF624" s="158">
        <f t="shared" si="163"/>
        <v>196990563</v>
      </c>
      <c r="AG624" s="158"/>
      <c r="AH624" s="158">
        <f t="shared" si="162"/>
        <v>0</v>
      </c>
      <c r="AI624" s="158">
        <v>196990563</v>
      </c>
      <c r="AJ624" s="158"/>
      <c r="AK624" s="666">
        <f t="shared" si="160"/>
        <v>0</v>
      </c>
      <c r="AL624" s="666">
        <v>877</v>
      </c>
      <c r="AM624" s="666">
        <v>20</v>
      </c>
      <c r="AN624" s="446"/>
      <c r="AO624" s="158">
        <v>6</v>
      </c>
      <c r="AP624" s="98"/>
      <c r="AQ624" s="81"/>
      <c r="AR624" s="81"/>
      <c r="AS624" s="81"/>
      <c r="AT624" s="2">
        <v>0.69240000000000002</v>
      </c>
      <c r="AU624" s="58" t="s">
        <v>38</v>
      </c>
      <c r="AV624" s="104" t="s">
        <v>1565</v>
      </c>
      <c r="AW624" s="51"/>
      <c r="AX624" s="56"/>
      <c r="AY624" s="56"/>
      <c r="AZ624" s="56"/>
      <c r="BA624" s="56"/>
      <c r="BB624" s="56"/>
      <c r="BC624" s="291"/>
      <c r="BD624" s="291"/>
      <c r="BE624" s="291"/>
      <c r="BF624" s="271"/>
      <c r="BG624" s="271">
        <v>2019</v>
      </c>
      <c r="BH624" s="430">
        <v>2020</v>
      </c>
      <c r="BI624" s="271" t="s">
        <v>2375</v>
      </c>
    </row>
    <row r="625" spans="1:61" s="204" customFormat="1" ht="18" customHeight="1">
      <c r="A625" s="160" t="s">
        <v>510</v>
      </c>
      <c r="B625" s="58" t="s">
        <v>1986</v>
      </c>
      <c r="C625" s="251" t="s">
        <v>1930</v>
      </c>
      <c r="D625" s="33" t="s">
        <v>1169</v>
      </c>
      <c r="E625" s="33"/>
      <c r="F625" s="33"/>
      <c r="G625" s="33"/>
      <c r="H625" s="30" t="s">
        <v>1920</v>
      </c>
      <c r="I625" s="115">
        <v>2078</v>
      </c>
      <c r="J625" s="212">
        <v>43801</v>
      </c>
      <c r="K625" s="158"/>
      <c r="L625" s="158"/>
      <c r="M625" s="158">
        <v>31</v>
      </c>
      <c r="N625" s="158">
        <v>31</v>
      </c>
      <c r="O625" s="158"/>
      <c r="P625" s="158">
        <v>2259501759</v>
      </c>
      <c r="Q625" s="158"/>
      <c r="R625" s="158"/>
      <c r="S625" s="158"/>
      <c r="T625" s="311"/>
      <c r="U625" s="94">
        <v>1229028475</v>
      </c>
      <c r="V625" s="158">
        <v>10</v>
      </c>
      <c r="W625" s="311">
        <v>43800</v>
      </c>
      <c r="X625" s="311"/>
      <c r="Y625" s="311"/>
      <c r="Z625" s="94">
        <v>1030473284</v>
      </c>
      <c r="AA625" s="69">
        <v>10</v>
      </c>
      <c r="AB625" s="311">
        <v>43951</v>
      </c>
      <c r="AC625" s="582"/>
      <c r="AD625" s="284"/>
      <c r="AE625" s="158"/>
      <c r="AF625" s="158">
        <f t="shared" si="163"/>
        <v>1030473284</v>
      </c>
      <c r="AG625" s="158"/>
      <c r="AH625" s="158">
        <f>(P625-R625-U625-Z625)</f>
        <v>0</v>
      </c>
      <c r="AI625" s="158">
        <v>1030473284</v>
      </c>
      <c r="AJ625" s="158"/>
      <c r="AK625" s="158">
        <f t="shared" si="160"/>
        <v>0</v>
      </c>
      <c r="AL625" s="158">
        <v>877</v>
      </c>
      <c r="AM625" s="158">
        <v>10</v>
      </c>
      <c r="AN625" s="446"/>
      <c r="AO625" s="158">
        <v>31</v>
      </c>
      <c r="AP625" s="98"/>
      <c r="AQ625" s="81"/>
      <c r="AR625" s="81"/>
      <c r="AS625" s="81"/>
      <c r="AT625" s="2">
        <v>0.59909999999999997</v>
      </c>
      <c r="AU625" s="58" t="s">
        <v>38</v>
      </c>
      <c r="AV625" s="104" t="s">
        <v>1565</v>
      </c>
      <c r="AW625" s="51"/>
      <c r="AX625" s="56"/>
      <c r="AY625" s="56"/>
      <c r="AZ625" s="56"/>
      <c r="BA625" s="56"/>
      <c r="BB625" s="56"/>
      <c r="BC625" s="291"/>
      <c r="BD625" s="291"/>
      <c r="BE625" s="291"/>
      <c r="BF625" s="271"/>
      <c r="BG625" s="271">
        <v>2019</v>
      </c>
      <c r="BH625" s="430">
        <v>2020</v>
      </c>
      <c r="BI625" s="271" t="s">
        <v>2375</v>
      </c>
    </row>
    <row r="626" spans="1:61" s="204" customFormat="1" ht="18" customHeight="1">
      <c r="A626" s="160" t="s">
        <v>510</v>
      </c>
      <c r="B626" s="58" t="s">
        <v>280</v>
      </c>
      <c r="C626" s="251" t="s">
        <v>1931</v>
      </c>
      <c r="D626" s="33" t="s">
        <v>746</v>
      </c>
      <c r="E626" s="33"/>
      <c r="F626" s="33"/>
      <c r="G626" s="33"/>
      <c r="H626" s="30" t="s">
        <v>1920</v>
      </c>
      <c r="I626" s="115">
        <v>2077</v>
      </c>
      <c r="J626" s="212">
        <v>43801</v>
      </c>
      <c r="K626" s="158"/>
      <c r="L626" s="158"/>
      <c r="M626" s="158">
        <v>14</v>
      </c>
      <c r="N626" s="158">
        <v>14</v>
      </c>
      <c r="O626" s="158"/>
      <c r="P626" s="158">
        <v>1020758333</v>
      </c>
      <c r="Q626" s="158"/>
      <c r="R626" s="158"/>
      <c r="S626" s="158"/>
      <c r="T626" s="311"/>
      <c r="U626" s="94">
        <v>556428470</v>
      </c>
      <c r="V626" s="158">
        <v>20</v>
      </c>
      <c r="W626" s="311">
        <v>43800</v>
      </c>
      <c r="X626" s="311"/>
      <c r="Y626" s="311"/>
      <c r="Z626" s="94">
        <v>464329863</v>
      </c>
      <c r="AA626" s="69">
        <v>20</v>
      </c>
      <c r="AB626" s="311">
        <v>43920</v>
      </c>
      <c r="AC626" s="582"/>
      <c r="AD626" s="284"/>
      <c r="AE626" s="158"/>
      <c r="AF626" s="158">
        <f t="shared" si="163"/>
        <v>464329863</v>
      </c>
      <c r="AG626" s="158"/>
      <c r="AH626" s="158">
        <f>(P626-R626-U626-Z626)</f>
        <v>0</v>
      </c>
      <c r="AI626" s="158">
        <v>464329863</v>
      </c>
      <c r="AJ626" s="158"/>
      <c r="AK626" s="666">
        <f t="shared" si="160"/>
        <v>0</v>
      </c>
      <c r="AL626" s="666">
        <v>877</v>
      </c>
      <c r="AM626" s="666">
        <v>20</v>
      </c>
      <c r="AN626" s="158"/>
      <c r="AO626" s="158"/>
      <c r="AP626" s="158">
        <v>14</v>
      </c>
      <c r="AQ626" s="81"/>
      <c r="AR626" s="81"/>
      <c r="AS626" s="81"/>
      <c r="AT626" s="2">
        <v>1</v>
      </c>
      <c r="AU626" s="58" t="s">
        <v>646</v>
      </c>
      <c r="AV626" s="104" t="s">
        <v>1565</v>
      </c>
      <c r="AW626" s="51"/>
      <c r="AX626" s="56"/>
      <c r="AY626" s="56"/>
      <c r="AZ626" s="56"/>
      <c r="BA626" s="158">
        <v>14</v>
      </c>
      <c r="BB626" s="56"/>
      <c r="BC626" s="56"/>
      <c r="BD626" s="158">
        <v>14</v>
      </c>
      <c r="BE626" s="291"/>
      <c r="BF626" s="271">
        <v>2020</v>
      </c>
      <c r="BG626" s="271">
        <v>2019</v>
      </c>
      <c r="BH626" s="430">
        <v>2020</v>
      </c>
      <c r="BI626" s="271" t="s">
        <v>2375</v>
      </c>
    </row>
    <row r="627" spans="1:61" s="204" customFormat="1" ht="18" customHeight="1">
      <c r="A627" s="160" t="s">
        <v>510</v>
      </c>
      <c r="B627" s="58" t="s">
        <v>197</v>
      </c>
      <c r="C627" s="251" t="s">
        <v>1932</v>
      </c>
      <c r="D627" s="33" t="s">
        <v>287</v>
      </c>
      <c r="E627" s="33"/>
      <c r="F627" s="33"/>
      <c r="G627" s="33"/>
      <c r="H627" s="30" t="s">
        <v>1920</v>
      </c>
      <c r="I627" s="115">
        <v>2111</v>
      </c>
      <c r="J627" s="212">
        <v>43805</v>
      </c>
      <c r="K627" s="158"/>
      <c r="L627" s="158"/>
      <c r="M627" s="158">
        <v>17</v>
      </c>
      <c r="N627" s="158">
        <v>17</v>
      </c>
      <c r="O627" s="158"/>
      <c r="P627" s="158">
        <v>1063166914</v>
      </c>
      <c r="Q627" s="158"/>
      <c r="R627" s="158"/>
      <c r="S627" s="158"/>
      <c r="T627" s="311"/>
      <c r="U627" s="94">
        <v>579099555</v>
      </c>
      <c r="V627" s="158">
        <v>20</v>
      </c>
      <c r="W627" s="311">
        <v>43800</v>
      </c>
      <c r="X627" s="311"/>
      <c r="Y627" s="311"/>
      <c r="Z627" s="94">
        <v>484067359</v>
      </c>
      <c r="AA627" s="69">
        <v>20</v>
      </c>
      <c r="AB627" s="311">
        <v>43889</v>
      </c>
      <c r="AC627" s="582"/>
      <c r="AD627" s="284"/>
      <c r="AE627" s="158"/>
      <c r="AF627" s="158">
        <f t="shared" si="163"/>
        <v>484067359</v>
      </c>
      <c r="AG627" s="158"/>
      <c r="AH627" s="158">
        <f>(P627-R627-U627-Z627)</f>
        <v>0</v>
      </c>
      <c r="AI627" s="158">
        <v>484067359</v>
      </c>
      <c r="AJ627" s="158"/>
      <c r="AK627" s="666">
        <f t="shared" si="160"/>
        <v>0</v>
      </c>
      <c r="AL627" s="666">
        <v>877</v>
      </c>
      <c r="AM627" s="666">
        <v>20</v>
      </c>
      <c r="AN627" s="158"/>
      <c r="AO627" s="158"/>
      <c r="AP627" s="158">
        <v>17</v>
      </c>
      <c r="AQ627" s="81"/>
      <c r="AR627" s="81"/>
      <c r="AS627" s="81"/>
      <c r="AT627" s="2">
        <v>1</v>
      </c>
      <c r="AU627" s="58" t="s">
        <v>646</v>
      </c>
      <c r="AV627" s="104" t="s">
        <v>1565</v>
      </c>
      <c r="AW627" s="51"/>
      <c r="AX627" s="56"/>
      <c r="AY627" s="56"/>
      <c r="AZ627" s="56"/>
      <c r="BA627" s="158">
        <v>17</v>
      </c>
      <c r="BB627" s="56"/>
      <c r="BC627" s="56"/>
      <c r="BD627" s="158">
        <v>17</v>
      </c>
      <c r="BE627" s="291"/>
      <c r="BF627" s="271">
        <v>2020</v>
      </c>
      <c r="BG627" s="271">
        <v>2019</v>
      </c>
      <c r="BH627" s="430">
        <v>2020</v>
      </c>
      <c r="BI627" s="271" t="s">
        <v>2375</v>
      </c>
    </row>
    <row r="628" spans="1:61" s="204" customFormat="1" ht="18" customHeight="1">
      <c r="A628" s="160" t="s">
        <v>510</v>
      </c>
      <c r="B628" s="520" t="s">
        <v>203</v>
      </c>
      <c r="C628" s="251" t="s">
        <v>2264</v>
      </c>
      <c r="D628" s="33" t="s">
        <v>1629</v>
      </c>
      <c r="E628" s="660"/>
      <c r="F628" s="661">
        <v>4</v>
      </c>
      <c r="G628" s="661"/>
      <c r="H628" s="533" t="s">
        <v>2236</v>
      </c>
      <c r="I628" s="228">
        <v>316</v>
      </c>
      <c r="J628" s="459">
        <v>43910</v>
      </c>
      <c r="K628" s="61"/>
      <c r="L628" s="61"/>
      <c r="M628" s="61"/>
      <c r="N628" s="227">
        <v>47</v>
      </c>
      <c r="O628" s="61"/>
      <c r="P628" s="61">
        <f>(1863821254+1559354709)</f>
        <v>3423175963</v>
      </c>
      <c r="Q628" s="61"/>
      <c r="R628" s="158"/>
      <c r="S628" s="61"/>
      <c r="T628" s="460"/>
      <c r="U628" s="94">
        <v>1863821254</v>
      </c>
      <c r="V628" s="61">
        <v>10</v>
      </c>
      <c r="W628" s="460">
        <v>43951</v>
      </c>
      <c r="X628" s="460"/>
      <c r="Y628" s="460"/>
      <c r="Z628" s="225"/>
      <c r="AA628" s="461">
        <v>10</v>
      </c>
      <c r="AB628" s="311"/>
      <c r="AC628" s="311"/>
      <c r="AD628" s="158"/>
      <c r="AE628" s="158"/>
      <c r="AF628" s="158">
        <f>P628</f>
        <v>3423175963</v>
      </c>
      <c r="AG628" s="61"/>
      <c r="AH628" s="61"/>
      <c r="AI628" s="61">
        <v>3423175963</v>
      </c>
      <c r="AJ628" s="61"/>
      <c r="AK628" s="602">
        <f t="shared" si="160"/>
        <v>1559354709</v>
      </c>
      <c r="AL628" s="524">
        <v>877</v>
      </c>
      <c r="AM628" s="524">
        <v>10</v>
      </c>
      <c r="AN628" s="61"/>
      <c r="AO628" s="61">
        <v>47</v>
      </c>
      <c r="AP628" s="552"/>
      <c r="AQ628" s="227"/>
      <c r="AR628" s="227"/>
      <c r="AS628" s="227"/>
      <c r="AT628" s="2">
        <v>0</v>
      </c>
      <c r="AU628" s="58" t="s">
        <v>38</v>
      </c>
      <c r="AV628" s="462"/>
      <c r="AW628" s="60"/>
      <c r="AX628" s="553"/>
      <c r="AY628" s="553"/>
      <c r="AZ628" s="553"/>
      <c r="BA628" s="553"/>
      <c r="BB628" s="553"/>
      <c r="BC628" s="553"/>
      <c r="BD628" s="56"/>
      <c r="BE628" s="56"/>
      <c r="BF628" s="271"/>
      <c r="BG628" s="464"/>
      <c r="BH628" s="464">
        <v>2020</v>
      </c>
      <c r="BI628" s="271" t="s">
        <v>2375</v>
      </c>
    </row>
    <row r="629" spans="1:61" s="204" customFormat="1" ht="29.25" customHeight="1">
      <c r="A629" s="160" t="s">
        <v>510</v>
      </c>
      <c r="B629" s="520" t="s">
        <v>203</v>
      </c>
      <c r="C629" s="251" t="s">
        <v>2279</v>
      </c>
      <c r="D629" s="33" t="s">
        <v>1629</v>
      </c>
      <c r="E629" s="660"/>
      <c r="F629" s="661">
        <v>4</v>
      </c>
      <c r="G629" s="661"/>
      <c r="H629" s="533" t="s">
        <v>2236</v>
      </c>
      <c r="I629" s="550" t="s">
        <v>2280</v>
      </c>
      <c r="J629" s="549" t="s">
        <v>2281</v>
      </c>
      <c r="K629" s="61"/>
      <c r="L629" s="61"/>
      <c r="M629" s="61"/>
      <c r="N629" s="227">
        <v>18</v>
      </c>
      <c r="O629" s="61"/>
      <c r="P629" s="61">
        <f>(710295734+585168953)</f>
        <v>1295464687</v>
      </c>
      <c r="Q629" s="61"/>
      <c r="R629" s="158"/>
      <c r="S629" s="61"/>
      <c r="T629" s="460"/>
      <c r="U629" s="94">
        <v>710295734</v>
      </c>
      <c r="V629" s="61">
        <v>20</v>
      </c>
      <c r="W629" s="460">
        <v>43951</v>
      </c>
      <c r="X629" s="460"/>
      <c r="Y629" s="460"/>
      <c r="Z629" s="225"/>
      <c r="AA629" s="461">
        <v>20</v>
      </c>
      <c r="AB629" s="311"/>
      <c r="AC629" s="311"/>
      <c r="AD629" s="158"/>
      <c r="AE629" s="158"/>
      <c r="AF629" s="158">
        <f t="shared" ref="AF629" si="164">P629</f>
        <v>1295464687</v>
      </c>
      <c r="AG629" s="61"/>
      <c r="AH629" s="61"/>
      <c r="AI629" s="61">
        <v>1295464687</v>
      </c>
      <c r="AJ629" s="61"/>
      <c r="AK629" s="666">
        <f t="shared" si="160"/>
        <v>585168953</v>
      </c>
      <c r="AL629" s="667">
        <v>877</v>
      </c>
      <c r="AM629" s="667">
        <v>20</v>
      </c>
      <c r="AN629" s="61"/>
      <c r="AO629" s="61">
        <v>18</v>
      </c>
      <c r="AP629" s="552"/>
      <c r="AQ629" s="227"/>
      <c r="AR629" s="227"/>
      <c r="AS629" s="227"/>
      <c r="AT629" s="2">
        <v>3.8800000000000001E-2</v>
      </c>
      <c r="AU629" s="58" t="s">
        <v>38</v>
      </c>
      <c r="AV629" s="462" t="s">
        <v>2260</v>
      </c>
      <c r="AW629" s="60"/>
      <c r="AX629" s="553"/>
      <c r="AY629" s="553"/>
      <c r="AZ629" s="553"/>
      <c r="BA629" s="553"/>
      <c r="BB629" s="553"/>
      <c r="BC629" s="553"/>
      <c r="BD629" s="56"/>
      <c r="BE629" s="56"/>
      <c r="BF629" s="271"/>
      <c r="BG629" s="464"/>
      <c r="BH629" s="712">
        <v>2020</v>
      </c>
      <c r="BI629" s="271" t="s">
        <v>2375</v>
      </c>
    </row>
    <row r="630" spans="1:61" s="204" customFormat="1" ht="29.25" customHeight="1">
      <c r="A630" s="160" t="s">
        <v>510</v>
      </c>
      <c r="B630" s="520" t="s">
        <v>546</v>
      </c>
      <c r="C630" s="251" t="s">
        <v>2282</v>
      </c>
      <c r="D630" s="33" t="s">
        <v>1642</v>
      </c>
      <c r="E630" s="660"/>
      <c r="F630" s="661">
        <v>4</v>
      </c>
      <c r="G630" s="661"/>
      <c r="H630" s="533" t="s">
        <v>2236</v>
      </c>
      <c r="I630" s="550">
        <v>278</v>
      </c>
      <c r="J630" s="549">
        <v>43901</v>
      </c>
      <c r="K630" s="61"/>
      <c r="L630" s="61"/>
      <c r="M630" s="61"/>
      <c r="N630" s="61">
        <v>32</v>
      </c>
      <c r="O630" s="61"/>
      <c r="P630" s="61">
        <f>(1281155800+1048274600)</f>
        <v>2329430400</v>
      </c>
      <c r="Q630" s="61"/>
      <c r="R630" s="158"/>
      <c r="S630" s="61"/>
      <c r="T630" s="460"/>
      <c r="U630" s="94">
        <v>1281155800</v>
      </c>
      <c r="V630" s="61">
        <v>10</v>
      </c>
      <c r="W630" s="460">
        <v>43951</v>
      </c>
      <c r="X630" s="460"/>
      <c r="Y630" s="460"/>
      <c r="Z630" s="225"/>
      <c r="AA630" s="461">
        <v>10</v>
      </c>
      <c r="AB630" s="311"/>
      <c r="AC630" s="311"/>
      <c r="AD630" s="158"/>
      <c r="AE630" s="158"/>
      <c r="AF630" s="158">
        <f>P630</f>
        <v>2329430400</v>
      </c>
      <c r="AG630" s="61"/>
      <c r="AH630" s="61"/>
      <c r="AI630" s="61">
        <v>2329430400</v>
      </c>
      <c r="AJ630" s="61"/>
      <c r="AK630" s="602">
        <f t="shared" si="160"/>
        <v>1048274600</v>
      </c>
      <c r="AL630" s="524">
        <v>877</v>
      </c>
      <c r="AM630" s="524">
        <v>10</v>
      </c>
      <c r="AN630" s="61"/>
      <c r="AO630" s="61">
        <v>32</v>
      </c>
      <c r="AP630" s="552"/>
      <c r="AQ630" s="227"/>
      <c r="AR630" s="227"/>
      <c r="AS630" s="227"/>
      <c r="AT630" s="2">
        <v>0</v>
      </c>
      <c r="AU630" s="58" t="s">
        <v>38</v>
      </c>
      <c r="AV630" s="462"/>
      <c r="AW630" s="60"/>
      <c r="AX630" s="553"/>
      <c r="AY630" s="553"/>
      <c r="AZ630" s="553"/>
      <c r="BA630" s="553"/>
      <c r="BB630" s="553"/>
      <c r="BC630" s="553"/>
      <c r="BD630" s="56"/>
      <c r="BE630" s="56"/>
      <c r="BF630" s="271"/>
      <c r="BG630" s="464"/>
      <c r="BH630" s="464">
        <v>2020</v>
      </c>
      <c r="BI630" s="271" t="s">
        <v>2375</v>
      </c>
    </row>
    <row r="631" spans="1:61" s="204" customFormat="1" ht="29.25" customHeight="1">
      <c r="A631" s="160" t="s">
        <v>510</v>
      </c>
      <c r="B631" s="520" t="s">
        <v>197</v>
      </c>
      <c r="C631" s="251" t="s">
        <v>2287</v>
      </c>
      <c r="D631" s="33" t="s">
        <v>2288</v>
      </c>
      <c r="E631" s="660"/>
      <c r="F631" s="661">
        <v>4</v>
      </c>
      <c r="G631" s="661"/>
      <c r="H631" s="533" t="s">
        <v>2236</v>
      </c>
      <c r="I631" s="550">
        <v>324</v>
      </c>
      <c r="J631" s="549">
        <v>43910</v>
      </c>
      <c r="K631" s="61"/>
      <c r="L631" s="61"/>
      <c r="M631" s="61"/>
      <c r="N631" s="61">
        <v>56</v>
      </c>
      <c r="O631" s="61"/>
      <c r="P631" s="61">
        <v>4637924711</v>
      </c>
      <c r="Q631" s="61"/>
      <c r="R631" s="158">
        <v>584061550</v>
      </c>
      <c r="S631" s="158">
        <v>20</v>
      </c>
      <c r="T631" s="311">
        <v>43951</v>
      </c>
      <c r="U631" s="94"/>
      <c r="V631" s="61">
        <v>20</v>
      </c>
      <c r="W631" s="460"/>
      <c r="X631" s="460"/>
      <c r="Y631" s="460"/>
      <c r="Z631" s="225"/>
      <c r="AA631" s="461">
        <v>20</v>
      </c>
      <c r="AB631" s="311"/>
      <c r="AC631" s="311"/>
      <c r="AD631" s="158"/>
      <c r="AE631" s="158"/>
      <c r="AF631" s="158">
        <f>P631</f>
        <v>4637924711</v>
      </c>
      <c r="AG631" s="61"/>
      <c r="AH631" s="61">
        <v>0</v>
      </c>
      <c r="AI631" s="61">
        <v>4637924711</v>
      </c>
      <c r="AJ631" s="61"/>
      <c r="AK631" s="666">
        <f t="shared" si="160"/>
        <v>4053863161</v>
      </c>
      <c r="AL631" s="667">
        <v>877</v>
      </c>
      <c r="AM631" s="667">
        <v>20</v>
      </c>
      <c r="AN631" s="61">
        <v>56</v>
      </c>
      <c r="AO631" s="61"/>
      <c r="AP631" s="552"/>
      <c r="AQ631" s="227"/>
      <c r="AR631" s="227"/>
      <c r="AS631" s="227"/>
      <c r="AT631" s="2">
        <v>0</v>
      </c>
      <c r="AU631" s="58" t="s">
        <v>521</v>
      </c>
      <c r="AV631" s="462"/>
      <c r="AW631" s="60"/>
      <c r="AX631" s="553"/>
      <c r="AY631" s="553"/>
      <c r="AZ631" s="553"/>
      <c r="BA631" s="553"/>
      <c r="BB631" s="553"/>
      <c r="BC631" s="553"/>
      <c r="BD631" s="56"/>
      <c r="BE631" s="56"/>
      <c r="BF631" s="271"/>
      <c r="BG631" s="464"/>
      <c r="BH631" s="712">
        <v>2020</v>
      </c>
      <c r="BI631" s="271" t="s">
        <v>2375</v>
      </c>
    </row>
    <row r="632" spans="1:61" s="204" customFormat="1" ht="29.25" customHeight="1">
      <c r="A632" s="160" t="s">
        <v>510</v>
      </c>
      <c r="B632" s="520" t="s">
        <v>203</v>
      </c>
      <c r="C632" s="251" t="s">
        <v>272</v>
      </c>
      <c r="D632" s="33" t="s">
        <v>2290</v>
      </c>
      <c r="E632" s="660"/>
      <c r="F632" s="661">
        <v>4</v>
      </c>
      <c r="G632" s="661"/>
      <c r="H632" s="533" t="s">
        <v>2236</v>
      </c>
      <c r="I632" s="550">
        <v>396</v>
      </c>
      <c r="J632" s="549">
        <v>43955</v>
      </c>
      <c r="K632" s="61"/>
      <c r="L632" s="61"/>
      <c r="M632" s="61"/>
      <c r="N632" s="61">
        <v>44</v>
      </c>
      <c r="O632" s="61"/>
      <c r="P632" s="61">
        <f>(1753274079+1451955747)</f>
        <v>3205229826</v>
      </c>
      <c r="Q632" s="61"/>
      <c r="R632" s="158"/>
      <c r="S632" s="61"/>
      <c r="T632" s="460"/>
      <c r="U632" s="94">
        <v>1753274079</v>
      </c>
      <c r="V632" s="61">
        <v>10</v>
      </c>
      <c r="W632" s="460">
        <v>43979</v>
      </c>
      <c r="X632" s="460"/>
      <c r="Y632" s="460"/>
      <c r="Z632" s="225"/>
      <c r="AA632" s="461">
        <v>10</v>
      </c>
      <c r="AB632" s="311"/>
      <c r="AC632" s="311"/>
      <c r="AD632" s="158"/>
      <c r="AE632" s="158"/>
      <c r="AF632" s="158">
        <f t="shared" ref="AF632" si="165">P632</f>
        <v>3205229826</v>
      </c>
      <c r="AG632" s="61"/>
      <c r="AH632" s="61"/>
      <c r="AI632" s="61">
        <v>3205229826</v>
      </c>
      <c r="AJ632" s="61"/>
      <c r="AK632" s="602">
        <f t="shared" si="160"/>
        <v>1451955747</v>
      </c>
      <c r="AL632" s="524">
        <v>877</v>
      </c>
      <c r="AM632" s="524">
        <v>10</v>
      </c>
      <c r="AN632" s="61"/>
      <c r="AO632" s="61">
        <v>44</v>
      </c>
      <c r="AP632" s="552"/>
      <c r="AQ632" s="227"/>
      <c r="AR632" s="227"/>
      <c r="AS632" s="227"/>
      <c r="AT632" s="2">
        <v>0</v>
      </c>
      <c r="AU632" s="58" t="s">
        <v>38</v>
      </c>
      <c r="AV632" s="462"/>
      <c r="AW632" s="60"/>
      <c r="AX632" s="553"/>
      <c r="AY632" s="553"/>
      <c r="AZ632" s="553"/>
      <c r="BA632" s="553"/>
      <c r="BB632" s="553"/>
      <c r="BC632" s="553"/>
      <c r="BD632" s="56"/>
      <c r="BE632" s="56"/>
      <c r="BF632" s="271"/>
      <c r="BG632" s="464"/>
      <c r="BH632" s="464">
        <v>2020</v>
      </c>
      <c r="BI632" s="271" t="s">
        <v>2375</v>
      </c>
    </row>
    <row r="633" spans="1:61" s="204" customFormat="1" ht="29.25" customHeight="1">
      <c r="A633" s="160" t="s">
        <v>510</v>
      </c>
      <c r="B633" s="520" t="s">
        <v>264</v>
      </c>
      <c r="C633" s="251" t="s">
        <v>2295</v>
      </c>
      <c r="D633" s="33" t="s">
        <v>566</v>
      </c>
      <c r="E633" s="660"/>
      <c r="F633" s="661">
        <v>4</v>
      </c>
      <c r="G633" s="661"/>
      <c r="H633" s="533" t="s">
        <v>2236</v>
      </c>
      <c r="I633" s="550">
        <v>229</v>
      </c>
      <c r="J633" s="549">
        <v>43886</v>
      </c>
      <c r="K633" s="61"/>
      <c r="L633" s="61"/>
      <c r="M633" s="61"/>
      <c r="N633" s="61">
        <v>40</v>
      </c>
      <c r="O633" s="61"/>
      <c r="P633" s="61">
        <f>1313598968+1597987157</f>
        <v>2911586125</v>
      </c>
      <c r="Q633" s="61"/>
      <c r="R633" s="158"/>
      <c r="S633" s="61"/>
      <c r="T633" s="460"/>
      <c r="U633" s="94">
        <v>1597987157</v>
      </c>
      <c r="V633" s="61">
        <v>10</v>
      </c>
      <c r="W633" s="460">
        <v>43976</v>
      </c>
      <c r="X633" s="460"/>
      <c r="Y633" s="460"/>
      <c r="Z633" s="225"/>
      <c r="AA633" s="461"/>
      <c r="AB633" s="311"/>
      <c r="AC633" s="311"/>
      <c r="AD633" s="158"/>
      <c r="AE633" s="158"/>
      <c r="AF633" s="158">
        <f>P633</f>
        <v>2911586125</v>
      </c>
      <c r="AG633" s="61"/>
      <c r="AH633" s="61"/>
      <c r="AI633" s="61">
        <v>2911586125</v>
      </c>
      <c r="AJ633" s="61">
        <v>10</v>
      </c>
      <c r="AK633" s="602">
        <f t="shared" si="160"/>
        <v>1313598968</v>
      </c>
      <c r="AL633" s="524">
        <v>877</v>
      </c>
      <c r="AM633" s="524">
        <v>10</v>
      </c>
      <c r="AN633" s="61"/>
      <c r="AO633" s="61">
        <v>40</v>
      </c>
      <c r="AP633" s="552"/>
      <c r="AQ633" s="227"/>
      <c r="AR633" s="227"/>
      <c r="AS633" s="227"/>
      <c r="AT633" s="2">
        <v>0</v>
      </c>
      <c r="AU633" s="58" t="s">
        <v>38</v>
      </c>
      <c r="AV633" s="462"/>
      <c r="AW633" s="60"/>
      <c r="AX633" s="553"/>
      <c r="AY633" s="553"/>
      <c r="AZ633" s="553"/>
      <c r="BA633" s="553"/>
      <c r="BB633" s="553"/>
      <c r="BC633" s="553"/>
      <c r="BD633" s="56"/>
      <c r="BE633" s="56"/>
      <c r="BF633" s="271"/>
      <c r="BG633" s="464"/>
      <c r="BH633" s="464">
        <v>2020</v>
      </c>
      <c r="BI633" s="271" t="s">
        <v>2375</v>
      </c>
    </row>
    <row r="634" spans="1:61" s="204" customFormat="1" ht="29.25" customHeight="1">
      <c r="A634" s="160" t="s">
        <v>510</v>
      </c>
      <c r="B634" s="520" t="s">
        <v>264</v>
      </c>
      <c r="C634" s="659" t="s">
        <v>2332</v>
      </c>
      <c r="D634" s="694" t="s">
        <v>566</v>
      </c>
      <c r="E634" s="660"/>
      <c r="F634" s="661"/>
      <c r="G634" s="661"/>
      <c r="H634" s="533" t="s">
        <v>2236</v>
      </c>
      <c r="I634" s="550" t="s">
        <v>2334</v>
      </c>
      <c r="J634" s="549" t="s">
        <v>2333</v>
      </c>
      <c r="K634" s="61"/>
      <c r="L634" s="61"/>
      <c r="M634" s="61"/>
      <c r="N634" s="61">
        <v>26</v>
      </c>
      <c r="O634" s="61"/>
      <c r="P634" s="61">
        <v>1893305018</v>
      </c>
      <c r="Q634" s="61"/>
      <c r="R634" s="158"/>
      <c r="S634" s="61"/>
      <c r="T634" s="460"/>
      <c r="U634" s="94">
        <v>1041298941</v>
      </c>
      <c r="V634" s="61">
        <v>10</v>
      </c>
      <c r="W634" s="460">
        <v>44012</v>
      </c>
      <c r="X634" s="460"/>
      <c r="Y634" s="460"/>
      <c r="Z634" s="225"/>
      <c r="AA634" s="461">
        <v>10</v>
      </c>
      <c r="AB634" s="311"/>
      <c r="AC634" s="311"/>
      <c r="AD634" s="158"/>
      <c r="AE634" s="158"/>
      <c r="AF634" s="158"/>
      <c r="AG634" s="61"/>
      <c r="AH634" s="61"/>
      <c r="AI634" s="61">
        <v>1893305018</v>
      </c>
      <c r="AJ634" s="61"/>
      <c r="AK634" s="602">
        <f t="shared" si="160"/>
        <v>852006077</v>
      </c>
      <c r="AL634" s="524">
        <v>877</v>
      </c>
      <c r="AM634" s="524">
        <v>10</v>
      </c>
      <c r="AN634" s="61">
        <v>26</v>
      </c>
      <c r="AO634" s="61"/>
      <c r="AP634" s="552"/>
      <c r="AQ634" s="227"/>
      <c r="AR634" s="227"/>
      <c r="AS634" s="227"/>
      <c r="AT634" s="2">
        <v>0</v>
      </c>
      <c r="AU634" s="58" t="s">
        <v>521</v>
      </c>
      <c r="AV634" s="462"/>
      <c r="AW634" s="60"/>
      <c r="AX634" s="553"/>
      <c r="AY634" s="553"/>
      <c r="AZ634" s="553"/>
      <c r="BA634" s="553"/>
      <c r="BB634" s="553"/>
      <c r="BC634" s="553"/>
      <c r="BD634" s="56"/>
      <c r="BE634" s="56"/>
      <c r="BF634" s="271"/>
      <c r="BG634" s="464"/>
      <c r="BH634" s="464">
        <v>2020</v>
      </c>
      <c r="BI634" s="271" t="s">
        <v>2375</v>
      </c>
    </row>
    <row r="635" spans="1:61" ht="14.25" customHeight="1">
      <c r="A635" s="371" t="s">
        <v>1949</v>
      </c>
      <c r="B635" s="371"/>
      <c r="C635" s="371"/>
      <c r="D635" s="371"/>
      <c r="E635" s="371"/>
      <c r="F635" s="371"/>
      <c r="G635" s="371"/>
      <c r="H635" s="371"/>
      <c r="I635" s="371"/>
      <c r="J635" s="371"/>
      <c r="K635" s="371">
        <f>SUM(K636:K637)</f>
        <v>0</v>
      </c>
      <c r="L635" s="370">
        <f t="shared" ref="L635:N635" si="166">SUM(L636:L637)</f>
        <v>0</v>
      </c>
      <c r="M635" s="370">
        <f t="shared" si="166"/>
        <v>230</v>
      </c>
      <c r="N635" s="370">
        <f t="shared" si="166"/>
        <v>230</v>
      </c>
      <c r="O635" s="370">
        <f t="shared" ref="O635" si="167">SUM(O636:O637)</f>
        <v>0</v>
      </c>
      <c r="P635" s="371"/>
      <c r="Q635" s="371"/>
      <c r="R635" s="371"/>
      <c r="S635" s="371"/>
      <c r="T635" s="371"/>
      <c r="U635" s="371"/>
      <c r="V635" s="371"/>
      <c r="W635" s="371"/>
      <c r="X635" s="371"/>
      <c r="Y635" s="371"/>
      <c r="Z635" s="371"/>
      <c r="AA635" s="371"/>
      <c r="AB635" s="371"/>
      <c r="AC635" s="371"/>
      <c r="AD635" s="371"/>
      <c r="AE635" s="371"/>
      <c r="AF635" s="371"/>
      <c r="AG635" s="371"/>
      <c r="AH635" s="371"/>
      <c r="AI635" s="371"/>
      <c r="AJ635" s="371"/>
      <c r="AK635" s="371"/>
      <c r="AL635" s="371"/>
      <c r="AM635" s="371"/>
      <c r="AN635" s="370">
        <f t="shared" ref="AN635:AS635" si="168">SUM(AN636:AN637)</f>
        <v>230</v>
      </c>
      <c r="AO635" s="370">
        <f t="shared" si="168"/>
        <v>0</v>
      </c>
      <c r="AP635" s="370">
        <f t="shared" si="168"/>
        <v>0</v>
      </c>
      <c r="AQ635" s="370">
        <f t="shared" si="168"/>
        <v>0</v>
      </c>
      <c r="AR635" s="370">
        <f t="shared" si="168"/>
        <v>0</v>
      </c>
      <c r="AS635" s="370">
        <f t="shared" si="168"/>
        <v>0</v>
      </c>
      <c r="AT635" s="371"/>
      <c r="AU635" s="371"/>
      <c r="AV635" s="385"/>
      <c r="AW635" s="371"/>
      <c r="AX635" s="371"/>
      <c r="AY635" s="370">
        <f t="shared" ref="AY635:BE635" si="169">SUM(AY636:AY637)</f>
        <v>0</v>
      </c>
      <c r="AZ635" s="370">
        <f t="shared" si="169"/>
        <v>0</v>
      </c>
      <c r="BA635" s="370">
        <f t="shared" si="169"/>
        <v>0</v>
      </c>
      <c r="BB635" s="370">
        <f t="shared" si="169"/>
        <v>0</v>
      </c>
      <c r="BC635" s="370">
        <f t="shared" si="169"/>
        <v>0</v>
      </c>
      <c r="BD635" s="370">
        <f t="shared" si="169"/>
        <v>0</v>
      </c>
      <c r="BE635" s="370">
        <f t="shared" si="169"/>
        <v>0</v>
      </c>
      <c r="BF635" s="371"/>
      <c r="BG635" s="371">
        <v>2019</v>
      </c>
      <c r="BH635" s="371">
        <v>2020</v>
      </c>
      <c r="BI635" s="434" t="s">
        <v>2419</v>
      </c>
    </row>
    <row r="636" spans="1:61" s="204" customFormat="1" ht="18" customHeight="1">
      <c r="A636" s="160" t="s">
        <v>1949</v>
      </c>
      <c r="B636" s="58" t="s">
        <v>1950</v>
      </c>
      <c r="C636" s="251" t="s">
        <v>2344</v>
      </c>
      <c r="D636" s="33" t="s">
        <v>3</v>
      </c>
      <c r="E636" s="33"/>
      <c r="F636" s="33"/>
      <c r="G636" s="33"/>
      <c r="H636" s="30" t="s">
        <v>1920</v>
      </c>
      <c r="I636" s="115">
        <v>2083</v>
      </c>
      <c r="J636" s="212">
        <v>43802</v>
      </c>
      <c r="K636" s="158"/>
      <c r="L636" s="158"/>
      <c r="M636" s="158">
        <v>80</v>
      </c>
      <c r="N636" s="158">
        <v>80</v>
      </c>
      <c r="O636" s="158"/>
      <c r="P636" s="158">
        <v>6591888189</v>
      </c>
      <c r="Q636" s="158"/>
      <c r="R636" s="158">
        <v>876000000</v>
      </c>
      <c r="S636" s="158">
        <v>10</v>
      </c>
      <c r="T636" s="311">
        <v>43888</v>
      </c>
      <c r="U636" s="94"/>
      <c r="V636" s="158"/>
      <c r="W636" s="311"/>
      <c r="X636" s="311"/>
      <c r="Y636" s="311"/>
      <c r="Z636" s="94"/>
      <c r="AA636" s="69"/>
      <c r="AB636" s="284"/>
      <c r="AC636" s="284"/>
      <c r="AD636" s="284"/>
      <c r="AE636" s="158"/>
      <c r="AF636" s="158">
        <f>P636-AH636</f>
        <v>876000000</v>
      </c>
      <c r="AG636" s="158"/>
      <c r="AH636" s="158">
        <f>(3134127298+2581760891)</f>
        <v>5715888189</v>
      </c>
      <c r="AI636" s="158">
        <v>5715888189</v>
      </c>
      <c r="AJ636" s="158"/>
      <c r="AK636" s="602">
        <f>P636-R636-U636-Z636</f>
        <v>5715888189</v>
      </c>
      <c r="AL636" s="72">
        <v>877</v>
      </c>
      <c r="AM636" s="72">
        <v>10</v>
      </c>
      <c r="AN636" s="158">
        <v>80</v>
      </c>
      <c r="AO636" s="158"/>
      <c r="AP636" s="56"/>
      <c r="AQ636" s="51"/>
      <c r="AR636" s="51"/>
      <c r="AS636" s="51"/>
      <c r="AT636" s="2">
        <v>0</v>
      </c>
      <c r="AU636" s="58" t="s">
        <v>521</v>
      </c>
      <c r="AV636" s="104" t="s">
        <v>1565</v>
      </c>
      <c r="AW636" s="51"/>
      <c r="AX636" s="56"/>
      <c r="AY636" s="56"/>
      <c r="AZ636" s="56"/>
      <c r="BA636" s="56"/>
      <c r="BB636" s="56"/>
      <c r="BC636" s="291"/>
      <c r="BD636" s="291"/>
      <c r="BE636" s="291"/>
      <c r="BF636" s="271"/>
      <c r="BG636" s="271">
        <v>2019</v>
      </c>
      <c r="BH636" s="271">
        <v>2020</v>
      </c>
      <c r="BI636" s="271" t="s">
        <v>2375</v>
      </c>
    </row>
    <row r="637" spans="1:61" s="204" customFormat="1" ht="18" customHeight="1">
      <c r="A637" s="160" t="s">
        <v>1949</v>
      </c>
      <c r="B637" s="58" t="s">
        <v>1950</v>
      </c>
      <c r="C637" s="251" t="s">
        <v>2345</v>
      </c>
      <c r="D637" s="33" t="s">
        <v>1308</v>
      </c>
      <c r="E637" s="33"/>
      <c r="F637" s="33"/>
      <c r="G637" s="33"/>
      <c r="H637" s="30" t="s">
        <v>1920</v>
      </c>
      <c r="I637" s="115">
        <v>2241</v>
      </c>
      <c r="J637" s="212">
        <v>43822</v>
      </c>
      <c r="K637" s="158"/>
      <c r="L637" s="158"/>
      <c r="M637" s="158">
        <v>150</v>
      </c>
      <c r="N637" s="158">
        <v>150</v>
      </c>
      <c r="O637" s="158"/>
      <c r="P637" s="158">
        <v>11789016806</v>
      </c>
      <c r="Q637" s="158"/>
      <c r="R637" s="158">
        <v>900000000</v>
      </c>
      <c r="S637" s="158">
        <v>10</v>
      </c>
      <c r="T637" s="311">
        <v>43951</v>
      </c>
      <c r="U637" s="94"/>
      <c r="V637" s="158"/>
      <c r="W637" s="311"/>
      <c r="X637" s="311"/>
      <c r="Y637" s="311"/>
      <c r="Z637" s="94"/>
      <c r="AA637" s="69"/>
      <c r="AB637" s="284"/>
      <c r="AC637" s="284"/>
      <c r="AD637" s="284"/>
      <c r="AE637" s="158"/>
      <c r="AF637" s="158">
        <f t="shared" ref="AF637" si="170">P637</f>
        <v>11789016806</v>
      </c>
      <c r="AG637" s="158"/>
      <c r="AH637" s="94">
        <v>0</v>
      </c>
      <c r="AI637" s="158">
        <v>11789016806</v>
      </c>
      <c r="AJ637" s="94"/>
      <c r="AK637" s="602">
        <f>P637-R637-U637-Z637</f>
        <v>10889016806</v>
      </c>
      <c r="AL637" s="72">
        <v>877</v>
      </c>
      <c r="AM637" s="72">
        <v>10</v>
      </c>
      <c r="AN637" s="158">
        <v>150</v>
      </c>
      <c r="AO637" s="158"/>
      <c r="AP637" s="56"/>
      <c r="AQ637" s="51"/>
      <c r="AR637" s="51"/>
      <c r="AS637" s="51"/>
      <c r="AT637" s="2">
        <v>0</v>
      </c>
      <c r="AU637" s="58" t="s">
        <v>521</v>
      </c>
      <c r="AV637" s="104" t="s">
        <v>1565</v>
      </c>
      <c r="AW637" s="51"/>
      <c r="AX637" s="56"/>
      <c r="AY637" s="56"/>
      <c r="AZ637" s="56"/>
      <c r="BA637" s="56"/>
      <c r="BB637" s="56"/>
      <c r="BC637" s="291"/>
      <c r="BD637" s="291"/>
      <c r="BE637" s="291"/>
      <c r="BF637" s="271"/>
      <c r="BG637" s="271">
        <v>2019</v>
      </c>
      <c r="BH637" s="271">
        <v>2020</v>
      </c>
      <c r="BI637" s="271" t="s">
        <v>2375</v>
      </c>
    </row>
    <row r="638" spans="1:61" ht="14.25" customHeight="1">
      <c r="A638" s="371" t="s">
        <v>770</v>
      </c>
      <c r="B638" s="371"/>
      <c r="C638" s="371"/>
      <c r="D638" s="371"/>
      <c r="E638" s="371"/>
      <c r="F638" s="371"/>
      <c r="G638" s="371"/>
      <c r="H638" s="371"/>
      <c r="I638" s="371"/>
      <c r="J638" s="371"/>
      <c r="K638" s="371">
        <f>SUM(K639:K645)</f>
        <v>157</v>
      </c>
      <c r="L638" s="370">
        <f t="shared" ref="L638:O638" si="171">SUM(L639:L645)</f>
        <v>157</v>
      </c>
      <c r="M638" s="370">
        <f t="shared" si="171"/>
        <v>98</v>
      </c>
      <c r="N638" s="370">
        <f t="shared" si="171"/>
        <v>202</v>
      </c>
      <c r="O638" s="370">
        <f t="shared" si="171"/>
        <v>29</v>
      </c>
      <c r="P638" s="371"/>
      <c r="Q638" s="371"/>
      <c r="R638" s="371"/>
      <c r="S638" s="371"/>
      <c r="T638" s="371"/>
      <c r="U638" s="371"/>
      <c r="V638" s="371"/>
      <c r="W638" s="371"/>
      <c r="X638" s="371"/>
      <c r="Y638" s="371"/>
      <c r="Z638" s="371"/>
      <c r="AA638" s="371"/>
      <c r="AB638" s="371"/>
      <c r="AC638" s="371"/>
      <c r="AD638" s="371"/>
      <c r="AE638" s="371"/>
      <c r="AF638" s="371"/>
      <c r="AG638" s="371"/>
      <c r="AH638" s="371"/>
      <c r="AI638" s="371"/>
      <c r="AJ638" s="371"/>
      <c r="AK638" s="371"/>
      <c r="AL638" s="371"/>
      <c r="AM638" s="371"/>
      <c r="AN638" s="370">
        <f t="shared" ref="AN638:AR638" si="172">SUM(AN639:AN645)</f>
        <v>1</v>
      </c>
      <c r="AO638" s="370">
        <f t="shared" si="172"/>
        <v>202</v>
      </c>
      <c r="AP638" s="370">
        <f t="shared" si="172"/>
        <v>0</v>
      </c>
      <c r="AQ638" s="370">
        <f t="shared" si="172"/>
        <v>28</v>
      </c>
      <c r="AR638" s="370">
        <f t="shared" si="172"/>
        <v>0</v>
      </c>
      <c r="AS638" s="424">
        <f>SUM(AS639:AS645)</f>
        <v>0</v>
      </c>
      <c r="AT638" s="371"/>
      <c r="AU638" s="371"/>
      <c r="AV638" s="385"/>
      <c r="AW638" s="370">
        <f t="shared" ref="AW638:BE638" si="173">SUM(AW639:AW645)</f>
        <v>0</v>
      </c>
      <c r="AX638" s="370">
        <f t="shared" si="173"/>
        <v>0</v>
      </c>
      <c r="AY638" s="370">
        <f t="shared" si="173"/>
        <v>0</v>
      </c>
      <c r="AZ638" s="370">
        <f t="shared" si="173"/>
        <v>24</v>
      </c>
      <c r="BA638" s="424">
        <f t="shared" si="173"/>
        <v>0</v>
      </c>
      <c r="BB638" s="424">
        <f t="shared" si="173"/>
        <v>0</v>
      </c>
      <c r="BC638" s="424">
        <f t="shared" si="173"/>
        <v>0</v>
      </c>
      <c r="BD638" s="424">
        <f t="shared" si="173"/>
        <v>24</v>
      </c>
      <c r="BE638" s="424">
        <f t="shared" si="173"/>
        <v>0</v>
      </c>
      <c r="BF638" s="371"/>
      <c r="BG638" s="371">
        <v>2019</v>
      </c>
      <c r="BH638" s="371">
        <v>2020</v>
      </c>
      <c r="BI638" s="434" t="s">
        <v>2419</v>
      </c>
    </row>
    <row r="639" spans="1:61" s="204" customFormat="1" ht="18" customHeight="1">
      <c r="A639" s="160" t="s">
        <v>770</v>
      </c>
      <c r="B639" s="58" t="s">
        <v>773</v>
      </c>
      <c r="C639" s="58" t="s">
        <v>771</v>
      </c>
      <c r="D639" s="33" t="s">
        <v>772</v>
      </c>
      <c r="E639" s="33"/>
      <c r="F639" s="33"/>
      <c r="G639" s="33"/>
      <c r="H639" s="30" t="s">
        <v>720</v>
      </c>
      <c r="I639" s="43">
        <v>2991</v>
      </c>
      <c r="J639" s="212">
        <v>43090</v>
      </c>
      <c r="K639" s="158"/>
      <c r="L639" s="158"/>
      <c r="M639" s="158">
        <v>28</v>
      </c>
      <c r="N639" s="158"/>
      <c r="O639" s="158">
        <v>28</v>
      </c>
      <c r="P639" s="158"/>
      <c r="Q639" s="158"/>
      <c r="R639" s="158"/>
      <c r="S639" s="158"/>
      <c r="T639" s="158"/>
      <c r="U639" s="94">
        <v>968214946</v>
      </c>
      <c r="V639" s="158">
        <v>10</v>
      </c>
      <c r="W639" s="311">
        <v>43313</v>
      </c>
      <c r="X639" s="311"/>
      <c r="Y639" s="311"/>
      <c r="Z639" s="94"/>
      <c r="AA639" s="158"/>
      <c r="AB639" s="158"/>
      <c r="AC639" s="158"/>
      <c r="AD639" s="158"/>
      <c r="AE639" s="158"/>
      <c r="AF639" s="158">
        <f t="shared" ref="AF639:AF644" si="174">P639-U639-Z639</f>
        <v>-968214946</v>
      </c>
      <c r="AG639" s="158"/>
      <c r="AH639" s="94">
        <v>0</v>
      </c>
      <c r="AI639" s="94">
        <v>0</v>
      </c>
      <c r="AJ639" s="94"/>
      <c r="AK639" s="158">
        <f t="shared" ref="AK639:AK642" si="175">P639-R639-U639-Z639</f>
        <v>-968214946</v>
      </c>
      <c r="AL639" s="158"/>
      <c r="AM639" s="158"/>
      <c r="AN639" s="158"/>
      <c r="AO639" s="158"/>
      <c r="AP639" s="158"/>
      <c r="AQ639" s="158">
        <v>28</v>
      </c>
      <c r="AR639" s="158"/>
      <c r="AS639" s="158"/>
      <c r="AT639" s="14">
        <v>0.7</v>
      </c>
      <c r="AU639" s="58" t="s">
        <v>942</v>
      </c>
      <c r="AV639" s="206" t="s">
        <v>1249</v>
      </c>
      <c r="AW639" s="158"/>
      <c r="AX639" s="158"/>
      <c r="AY639" s="158"/>
      <c r="AZ639" s="158"/>
      <c r="BA639" s="158"/>
      <c r="BB639" s="158"/>
      <c r="BC639" s="69"/>
      <c r="BD639" s="69"/>
      <c r="BE639" s="69"/>
      <c r="BF639" s="271"/>
      <c r="BG639" s="271">
        <v>2019</v>
      </c>
      <c r="BH639" s="271">
        <v>2020</v>
      </c>
      <c r="BI639" s="271" t="s">
        <v>2375</v>
      </c>
    </row>
    <row r="640" spans="1:61" s="204" customFormat="1" ht="18" customHeight="1">
      <c r="A640" s="160" t="s">
        <v>770</v>
      </c>
      <c r="B640" s="58" t="s">
        <v>1079</v>
      </c>
      <c r="C640" s="58" t="s">
        <v>949</v>
      </c>
      <c r="D640" s="33" t="s">
        <v>858</v>
      </c>
      <c r="E640" s="33"/>
      <c r="F640" s="33"/>
      <c r="G640" s="33"/>
      <c r="H640" s="30" t="s">
        <v>968</v>
      </c>
      <c r="I640" s="30">
        <v>677</v>
      </c>
      <c r="J640" s="212">
        <v>43186</v>
      </c>
      <c r="K640" s="158">
        <v>13</v>
      </c>
      <c r="L640" s="158">
        <v>13</v>
      </c>
      <c r="M640" s="101"/>
      <c r="N640" s="158">
        <v>13</v>
      </c>
      <c r="O640" s="101"/>
      <c r="P640" s="158">
        <v>826702594</v>
      </c>
      <c r="Q640" s="158"/>
      <c r="R640" s="158"/>
      <c r="S640" s="101"/>
      <c r="T640" s="101"/>
      <c r="U640" s="94">
        <v>359757195</v>
      </c>
      <c r="V640" s="158">
        <v>10</v>
      </c>
      <c r="W640" s="311"/>
      <c r="X640" s="311"/>
      <c r="Y640" s="311"/>
      <c r="Z640" s="94">
        <v>466945399</v>
      </c>
      <c r="AA640" s="158">
        <v>10</v>
      </c>
      <c r="AB640" s="311">
        <v>43678</v>
      </c>
      <c r="AC640" s="311"/>
      <c r="AD640" s="101"/>
      <c r="AE640" s="158"/>
      <c r="AF640" s="158">
        <f t="shared" si="174"/>
        <v>0</v>
      </c>
      <c r="AG640" s="158"/>
      <c r="AH640" s="94">
        <v>0</v>
      </c>
      <c r="AI640" s="94">
        <v>0</v>
      </c>
      <c r="AJ640" s="94"/>
      <c r="AK640" s="158">
        <f t="shared" si="175"/>
        <v>0</v>
      </c>
      <c r="AL640" s="158">
        <v>877</v>
      </c>
      <c r="AM640" s="158">
        <v>10</v>
      </c>
      <c r="AN640" s="158"/>
      <c r="AO640" s="158">
        <v>13</v>
      </c>
      <c r="AP640" s="158"/>
      <c r="AQ640" s="158"/>
      <c r="AR640" s="158"/>
      <c r="AS640" s="158"/>
      <c r="AT640" s="56">
        <v>0.72319999999999995</v>
      </c>
      <c r="AU640" s="58" t="s">
        <v>38</v>
      </c>
      <c r="AV640" s="111" t="s">
        <v>1317</v>
      </c>
      <c r="AW640" s="158"/>
      <c r="AX640" s="158"/>
      <c r="AY640" s="158"/>
      <c r="AZ640" s="158"/>
      <c r="BA640" s="158"/>
      <c r="BB640" s="158"/>
      <c r="BC640" s="69"/>
      <c r="BD640" s="69"/>
      <c r="BE640" s="69"/>
      <c r="BF640" s="271"/>
      <c r="BG640" s="271">
        <v>2019</v>
      </c>
      <c r="BH640" s="430">
        <v>2020</v>
      </c>
      <c r="BI640" s="271" t="s">
        <v>2375</v>
      </c>
    </row>
    <row r="641" spans="1:61" s="204" customFormat="1" ht="18" customHeight="1">
      <c r="A641" s="230" t="s">
        <v>770</v>
      </c>
      <c r="B641" s="58" t="s">
        <v>1079</v>
      </c>
      <c r="C641" s="28" t="s">
        <v>1080</v>
      </c>
      <c r="D641" s="33" t="s">
        <v>760</v>
      </c>
      <c r="E641" s="33"/>
      <c r="F641" s="33"/>
      <c r="G641" s="33"/>
      <c r="H641" s="30" t="s">
        <v>968</v>
      </c>
      <c r="I641" s="30">
        <v>676</v>
      </c>
      <c r="J641" s="212">
        <v>43186</v>
      </c>
      <c r="K641" s="158">
        <v>47</v>
      </c>
      <c r="L641" s="158">
        <v>47</v>
      </c>
      <c r="M641" s="101"/>
      <c r="N641" s="158">
        <v>47</v>
      </c>
      <c r="O641" s="101"/>
      <c r="P641" s="158">
        <v>2989336961</v>
      </c>
      <c r="Q641" s="158"/>
      <c r="R641" s="158"/>
      <c r="S641" s="158"/>
      <c r="T641" s="158"/>
      <c r="U641" s="94">
        <v>1303466630</v>
      </c>
      <c r="V641" s="158">
        <v>10</v>
      </c>
      <c r="W641" s="311"/>
      <c r="X641" s="311"/>
      <c r="Y641" s="311"/>
      <c r="Z641" s="94">
        <v>1685870331</v>
      </c>
      <c r="AA641" s="158">
        <v>20</v>
      </c>
      <c r="AB641" s="311">
        <v>43739</v>
      </c>
      <c r="AC641" s="311"/>
      <c r="AD641" s="101"/>
      <c r="AE641" s="158"/>
      <c r="AF641" s="158">
        <f t="shared" si="174"/>
        <v>0</v>
      </c>
      <c r="AG641" s="158"/>
      <c r="AH641" s="158">
        <f>P641-U641-Z641</f>
        <v>0</v>
      </c>
      <c r="AI641" s="158">
        <v>0</v>
      </c>
      <c r="AJ641" s="158"/>
      <c r="AK641" s="158">
        <f t="shared" si="175"/>
        <v>0</v>
      </c>
      <c r="AL641" s="158">
        <v>877</v>
      </c>
      <c r="AM641" s="158">
        <v>20</v>
      </c>
      <c r="AN641" s="158"/>
      <c r="AO641" s="158">
        <v>47</v>
      </c>
      <c r="AP641" s="158"/>
      <c r="AQ641" s="158"/>
      <c r="AR641" s="158"/>
      <c r="AS641" s="158"/>
      <c r="AT641" s="56">
        <v>0.71740000000000004</v>
      </c>
      <c r="AU641" s="58" t="s">
        <v>38</v>
      </c>
      <c r="AV641" s="111" t="s">
        <v>1330</v>
      </c>
      <c r="AW641" s="158"/>
      <c r="AX641" s="158"/>
      <c r="AY641" s="158"/>
      <c r="AZ641" s="158"/>
      <c r="BA641" s="158"/>
      <c r="BB641" s="158"/>
      <c r="BC641" s="69"/>
      <c r="BD641" s="69"/>
      <c r="BE641" s="69"/>
      <c r="BF641" s="271"/>
      <c r="BG641" s="271">
        <v>2019</v>
      </c>
      <c r="BH641" s="430">
        <v>2020</v>
      </c>
      <c r="BI641" s="271" t="s">
        <v>2375</v>
      </c>
    </row>
    <row r="642" spans="1:61" s="204" customFormat="1" ht="18" customHeight="1">
      <c r="A642" s="160" t="s">
        <v>770</v>
      </c>
      <c r="B642" s="58" t="s">
        <v>1163</v>
      </c>
      <c r="C642" s="58" t="s">
        <v>1162</v>
      </c>
      <c r="D642" s="33" t="s">
        <v>105</v>
      </c>
      <c r="E642" s="33"/>
      <c r="F642" s="33"/>
      <c r="G642" s="33"/>
      <c r="H642" s="30" t="s">
        <v>1113</v>
      </c>
      <c r="I642" s="226">
        <v>742</v>
      </c>
      <c r="J642" s="212">
        <v>43453</v>
      </c>
      <c r="K642" s="158">
        <v>72</v>
      </c>
      <c r="L642" s="158">
        <v>72</v>
      </c>
      <c r="M642" s="158"/>
      <c r="N642" s="158">
        <v>72</v>
      </c>
      <c r="O642" s="158"/>
      <c r="P642" s="158">
        <v>4739107257</v>
      </c>
      <c r="Q642" s="158"/>
      <c r="R642" s="158"/>
      <c r="S642" s="158"/>
      <c r="T642" s="158"/>
      <c r="U642" s="94">
        <v>2577416215</v>
      </c>
      <c r="V642" s="158">
        <v>10</v>
      </c>
      <c r="W642" s="311">
        <v>43497</v>
      </c>
      <c r="X642" s="311"/>
      <c r="Y642" s="311"/>
      <c r="Z642" s="94"/>
      <c r="AA642" s="69"/>
      <c r="AB642" s="69"/>
      <c r="AC642" s="69"/>
      <c r="AD642" s="69"/>
      <c r="AE642" s="158"/>
      <c r="AF642" s="158">
        <f t="shared" si="174"/>
        <v>2161691042</v>
      </c>
      <c r="AG642" s="158"/>
      <c r="AH642" s="94">
        <v>0</v>
      </c>
      <c r="AI642" s="94">
        <v>2161691042</v>
      </c>
      <c r="AJ642" s="94"/>
      <c r="AK642" s="666">
        <f t="shared" si="175"/>
        <v>2161691042</v>
      </c>
      <c r="AL642" s="666">
        <v>877</v>
      </c>
      <c r="AM642" s="666">
        <v>20</v>
      </c>
      <c r="AN642" s="158"/>
      <c r="AO642" s="158">
        <v>72</v>
      </c>
      <c r="AP642" s="158"/>
      <c r="AQ642" s="158"/>
      <c r="AR642" s="158"/>
      <c r="AS642" s="158"/>
      <c r="AT642" s="56">
        <v>0.16009999999999999</v>
      </c>
      <c r="AU642" s="58" t="s">
        <v>38</v>
      </c>
      <c r="AV642" s="206"/>
      <c r="AW642" s="158"/>
      <c r="AX642" s="158"/>
      <c r="AY642" s="158"/>
      <c r="AZ642" s="158"/>
      <c r="BA642" s="158"/>
      <c r="BB642" s="158"/>
      <c r="BC642" s="69"/>
      <c r="BD642" s="69"/>
      <c r="BE642" s="69"/>
      <c r="BF642" s="271"/>
      <c r="BG642" s="271">
        <v>2019</v>
      </c>
      <c r="BH642" s="430">
        <v>2020</v>
      </c>
      <c r="BI642" s="271" t="s">
        <v>2375</v>
      </c>
    </row>
    <row r="643" spans="1:61" s="204" customFormat="1" ht="29.25" customHeight="1">
      <c r="A643" s="243" t="s">
        <v>770</v>
      </c>
      <c r="B643" s="58" t="s">
        <v>1176</v>
      </c>
      <c r="C643" s="417" t="s">
        <v>1174</v>
      </c>
      <c r="D643" s="33" t="s">
        <v>1175</v>
      </c>
      <c r="E643" s="33"/>
      <c r="F643" s="33"/>
      <c r="G643" s="33"/>
      <c r="H643" s="30" t="s">
        <v>1113</v>
      </c>
      <c r="I643" s="82">
        <v>823</v>
      </c>
      <c r="J643" s="212">
        <v>43461</v>
      </c>
      <c r="K643" s="158">
        <f>25-1</f>
        <v>24</v>
      </c>
      <c r="L643" s="158">
        <v>24</v>
      </c>
      <c r="M643" s="158"/>
      <c r="N643" s="158"/>
      <c r="O643" s="158"/>
      <c r="P643" s="158">
        <f>1623194144-64927766</f>
        <v>1558266378</v>
      </c>
      <c r="Q643" s="158"/>
      <c r="R643" s="158"/>
      <c r="S643" s="158"/>
      <c r="T643" s="158"/>
      <c r="U643" s="94">
        <v>844192120</v>
      </c>
      <c r="V643" s="158">
        <v>10</v>
      </c>
      <c r="W643" s="311">
        <v>43497</v>
      </c>
      <c r="X643" s="311"/>
      <c r="Y643" s="311"/>
      <c r="Z643" s="94">
        <v>714074258</v>
      </c>
      <c r="AA643" s="158">
        <v>10</v>
      </c>
      <c r="AB643" s="311">
        <v>43586</v>
      </c>
      <c r="AC643" s="584"/>
      <c r="AD643" s="247"/>
      <c r="AE643" s="158"/>
      <c r="AF643" s="158">
        <f t="shared" si="174"/>
        <v>0</v>
      </c>
      <c r="AG643" s="158"/>
      <c r="AH643" s="94">
        <v>0</v>
      </c>
      <c r="AI643" s="94">
        <v>0</v>
      </c>
      <c r="AJ643" s="94"/>
      <c r="AK643" s="158">
        <f t="shared" ref="AK643" si="176">AF643+AH643</f>
        <v>0</v>
      </c>
      <c r="AL643" s="158">
        <v>877</v>
      </c>
      <c r="AM643" s="158">
        <v>10</v>
      </c>
      <c r="AN643" s="158"/>
      <c r="AO643" s="158"/>
      <c r="AP643" s="158"/>
      <c r="AQ643" s="158"/>
      <c r="AR643" s="158"/>
      <c r="AS643" s="158"/>
      <c r="AT643" s="56">
        <v>1</v>
      </c>
      <c r="AU643" s="58" t="s">
        <v>646</v>
      </c>
      <c r="AV643" s="206"/>
      <c r="AW643" s="158"/>
      <c r="AX643" s="158"/>
      <c r="AY643" s="158"/>
      <c r="AZ643" s="158">
        <v>24</v>
      </c>
      <c r="BA643" s="158"/>
      <c r="BB643" s="158"/>
      <c r="BC643" s="69"/>
      <c r="BD643" s="69">
        <v>24</v>
      </c>
      <c r="BE643" s="69"/>
      <c r="BF643" s="271">
        <v>2019</v>
      </c>
      <c r="BG643" s="271">
        <v>2019</v>
      </c>
      <c r="BH643" s="271"/>
      <c r="BI643" s="271" t="s">
        <v>2375</v>
      </c>
    </row>
    <row r="644" spans="1:61" s="204" customFormat="1" ht="28.5" customHeight="1">
      <c r="A644" s="160" t="s">
        <v>770</v>
      </c>
      <c r="B644" s="58" t="s">
        <v>1176</v>
      </c>
      <c r="C644" s="88" t="s">
        <v>1174</v>
      </c>
      <c r="D644" s="33" t="s">
        <v>1175</v>
      </c>
      <c r="E644" s="33"/>
      <c r="F644" s="33"/>
      <c r="G644" s="33"/>
      <c r="H644" s="30" t="s">
        <v>1113</v>
      </c>
      <c r="I644" s="226">
        <v>823</v>
      </c>
      <c r="J644" s="212">
        <v>43461</v>
      </c>
      <c r="K644" s="158">
        <v>1</v>
      </c>
      <c r="L644" s="158">
        <v>1</v>
      </c>
      <c r="M644" s="158"/>
      <c r="N644" s="158"/>
      <c r="O644" s="158">
        <v>1</v>
      </c>
      <c r="P644" s="158">
        <v>64927766</v>
      </c>
      <c r="Q644" s="158"/>
      <c r="R644" s="158"/>
      <c r="S644" s="158"/>
      <c r="T644" s="158"/>
      <c r="U644" s="94"/>
      <c r="V644" s="158"/>
      <c r="W644" s="311"/>
      <c r="X644" s="311"/>
      <c r="Y644" s="311"/>
      <c r="Z644" s="94"/>
      <c r="AA644" s="69"/>
      <c r="AB644" s="69"/>
      <c r="AC644" s="69"/>
      <c r="AD644" s="69"/>
      <c r="AE644" s="158"/>
      <c r="AF644" s="158">
        <f t="shared" si="174"/>
        <v>64927766</v>
      </c>
      <c r="AG644" s="158"/>
      <c r="AH644" s="94">
        <v>0</v>
      </c>
      <c r="AI644" s="94">
        <v>64927766</v>
      </c>
      <c r="AJ644" s="94"/>
      <c r="AK644" s="602">
        <f t="shared" ref="AK644:AK645" si="177">P644-R644-U644-Z644</f>
        <v>64927766</v>
      </c>
      <c r="AL644" s="72">
        <v>877</v>
      </c>
      <c r="AM644" s="72">
        <v>10</v>
      </c>
      <c r="AN644" s="158">
        <v>1</v>
      </c>
      <c r="AO644" s="158"/>
      <c r="AP644" s="158"/>
      <c r="AQ644" s="158"/>
      <c r="AR644" s="158"/>
      <c r="AS644" s="158"/>
      <c r="AT644" s="56">
        <v>0</v>
      </c>
      <c r="AU644" s="58" t="s">
        <v>521</v>
      </c>
      <c r="AV644" s="478" t="s">
        <v>1297</v>
      </c>
      <c r="AW644" s="158"/>
      <c r="AX644" s="158"/>
      <c r="AY644" s="158"/>
      <c r="AZ644" s="158"/>
      <c r="BA644" s="158"/>
      <c r="BB644" s="158"/>
      <c r="BC644" s="69"/>
      <c r="BD644" s="69"/>
      <c r="BE644" s="69"/>
      <c r="BF644" s="271"/>
      <c r="BG644" s="271">
        <v>2019</v>
      </c>
      <c r="BH644" s="271">
        <v>2020</v>
      </c>
      <c r="BI644" s="271" t="s">
        <v>2375</v>
      </c>
    </row>
    <row r="645" spans="1:61" s="204" customFormat="1" ht="18" customHeight="1">
      <c r="A645" s="160" t="s">
        <v>770</v>
      </c>
      <c r="B645" s="58" t="s">
        <v>1176</v>
      </c>
      <c r="C645" s="58" t="s">
        <v>1587</v>
      </c>
      <c r="D645" s="33" t="s">
        <v>1588</v>
      </c>
      <c r="E645" s="33"/>
      <c r="F645" s="33">
        <v>4</v>
      </c>
      <c r="G645" s="33"/>
      <c r="H645" s="30" t="s">
        <v>1553</v>
      </c>
      <c r="I645" s="226">
        <v>1664</v>
      </c>
      <c r="J645" s="212">
        <v>43731</v>
      </c>
      <c r="K645" s="158"/>
      <c r="L645" s="158"/>
      <c r="M645" s="158">
        <v>70</v>
      </c>
      <c r="N645" s="158">
        <v>70</v>
      </c>
      <c r="O645" s="158"/>
      <c r="P645" s="158">
        <v>5103832799</v>
      </c>
      <c r="Q645" s="158"/>
      <c r="R645" s="158"/>
      <c r="S645" s="158"/>
      <c r="T645" s="158"/>
      <c r="U645" s="94">
        <v>2797849082</v>
      </c>
      <c r="V645" s="158">
        <v>20</v>
      </c>
      <c r="W645" s="311">
        <v>43739</v>
      </c>
      <c r="X645" s="311"/>
      <c r="Y645" s="311"/>
      <c r="Z645" s="94">
        <v>2305983717</v>
      </c>
      <c r="AA645" s="69">
        <v>20</v>
      </c>
      <c r="AB645" s="311">
        <v>43980</v>
      </c>
      <c r="AC645" s="582"/>
      <c r="AD645" s="284"/>
      <c r="AE645" s="158"/>
      <c r="AF645" s="158">
        <f>P645-R645-U645</f>
        <v>2305983717</v>
      </c>
      <c r="AG645" s="158"/>
      <c r="AH645" s="158">
        <f>P645-U645-Z645</f>
        <v>0</v>
      </c>
      <c r="AI645" s="158">
        <v>2305983717</v>
      </c>
      <c r="AJ645" s="158"/>
      <c r="AK645" s="666">
        <f t="shared" si="177"/>
        <v>0</v>
      </c>
      <c r="AL645" s="666">
        <v>877</v>
      </c>
      <c r="AM645" s="666">
        <v>20</v>
      </c>
      <c r="AN645" s="158"/>
      <c r="AO645" s="158">
        <v>70</v>
      </c>
      <c r="AP645" s="158"/>
      <c r="AQ645" s="158"/>
      <c r="AR645" s="158"/>
      <c r="AS645" s="158"/>
      <c r="AT645" s="56">
        <v>0.55510000000000004</v>
      </c>
      <c r="AU645" s="58" t="s">
        <v>38</v>
      </c>
      <c r="AV645" s="479"/>
      <c r="AW645" s="158"/>
      <c r="AX645" s="158"/>
      <c r="AY645" s="158"/>
      <c r="AZ645" s="158"/>
      <c r="BA645" s="158"/>
      <c r="BB645" s="158"/>
      <c r="BC645" s="69"/>
      <c r="BD645" s="69"/>
      <c r="BE645" s="69"/>
      <c r="BF645" s="271"/>
      <c r="BG645" s="271">
        <v>2019</v>
      </c>
      <c r="BH645" s="430">
        <v>2020</v>
      </c>
      <c r="BI645" s="271" t="s">
        <v>2375</v>
      </c>
    </row>
    <row r="646" spans="1:61" ht="15" customHeight="1">
      <c r="A646" s="371" t="s">
        <v>511</v>
      </c>
      <c r="B646" s="371"/>
      <c r="C646" s="371"/>
      <c r="D646" s="371"/>
      <c r="E646" s="371"/>
      <c r="F646" s="371"/>
      <c r="G646" s="371"/>
      <c r="H646" s="371"/>
      <c r="I646" s="371"/>
      <c r="J646" s="371"/>
      <c r="K646" s="371">
        <f>SUM(K647:K679)</f>
        <v>88</v>
      </c>
      <c r="L646" s="370">
        <f t="shared" ref="L646:M646" si="178">SUM(L647:L679)</f>
        <v>131</v>
      </c>
      <c r="M646" s="370">
        <f t="shared" si="178"/>
        <v>313</v>
      </c>
      <c r="N646" s="424">
        <f>SUM(N647:N680)</f>
        <v>342</v>
      </c>
      <c r="O646" s="424">
        <f>SUM(O647:O680)</f>
        <v>45</v>
      </c>
      <c r="P646" s="371"/>
      <c r="Q646" s="371"/>
      <c r="R646" s="371"/>
      <c r="S646" s="371"/>
      <c r="T646" s="371"/>
      <c r="U646" s="371"/>
      <c r="V646" s="371"/>
      <c r="W646" s="371"/>
      <c r="X646" s="371"/>
      <c r="Y646" s="371"/>
      <c r="Z646" s="371"/>
      <c r="AA646" s="371"/>
      <c r="AB646" s="371"/>
      <c r="AC646" s="371"/>
      <c r="AD646" s="371"/>
      <c r="AE646" s="371"/>
      <c r="AF646" s="371"/>
      <c r="AG646" s="371"/>
      <c r="AH646" s="371"/>
      <c r="AI646" s="371"/>
      <c r="AJ646" s="371"/>
      <c r="AK646" s="371"/>
      <c r="AL646" s="371"/>
      <c r="AM646" s="371"/>
      <c r="AN646" s="424">
        <f t="shared" ref="AN646:AS646" si="179">SUM(AN647:AN680)</f>
        <v>46</v>
      </c>
      <c r="AO646" s="424">
        <f t="shared" si="179"/>
        <v>221</v>
      </c>
      <c r="AP646" s="424">
        <f t="shared" si="179"/>
        <v>120</v>
      </c>
      <c r="AQ646" s="424">
        <f t="shared" si="179"/>
        <v>0</v>
      </c>
      <c r="AR646" s="424">
        <f t="shared" si="179"/>
        <v>0</v>
      </c>
      <c r="AS646" s="424">
        <f t="shared" si="179"/>
        <v>0</v>
      </c>
      <c r="AT646" s="371"/>
      <c r="AU646" s="371"/>
      <c r="AV646" s="385"/>
      <c r="AW646" s="370">
        <f t="shared" ref="AW646:BC646" si="180">SUM(AW647:AW679)</f>
        <v>124</v>
      </c>
      <c r="AX646" s="370">
        <f t="shared" si="180"/>
        <v>167</v>
      </c>
      <c r="AY646" s="370">
        <f t="shared" si="180"/>
        <v>352</v>
      </c>
      <c r="AZ646" s="370">
        <f t="shared" si="180"/>
        <v>99</v>
      </c>
      <c r="BA646" s="424">
        <f>SUM(BA647:BA680)</f>
        <v>120</v>
      </c>
      <c r="BB646" s="424">
        <f t="shared" si="180"/>
        <v>215</v>
      </c>
      <c r="BC646" s="424">
        <f t="shared" si="180"/>
        <v>137</v>
      </c>
      <c r="BD646" s="424">
        <f>SUM(BD647:BD680)</f>
        <v>356</v>
      </c>
      <c r="BE646" s="424">
        <f>SUM(BE647:BE680)</f>
        <v>3</v>
      </c>
      <c r="BF646" s="371"/>
      <c r="BG646" s="371">
        <v>2019</v>
      </c>
      <c r="BH646" s="371">
        <v>2020</v>
      </c>
      <c r="BI646" s="434" t="s">
        <v>2419</v>
      </c>
    </row>
    <row r="647" spans="1:61" s="204" customFormat="1" ht="15" customHeight="1">
      <c r="A647" s="160" t="s">
        <v>511</v>
      </c>
      <c r="B647" s="58" t="s">
        <v>284</v>
      </c>
      <c r="C647" s="58" t="s">
        <v>281</v>
      </c>
      <c r="D647" s="33" t="s">
        <v>119</v>
      </c>
      <c r="E647" s="33"/>
      <c r="F647" s="33"/>
      <c r="G647" s="33"/>
      <c r="H647" s="30"/>
      <c r="I647" s="58"/>
      <c r="J647" s="212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94"/>
      <c r="V647" s="158"/>
      <c r="W647" s="311"/>
      <c r="X647" s="311"/>
      <c r="Y647" s="311"/>
      <c r="Z647" s="94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2"/>
      <c r="AU647" s="58"/>
      <c r="AV647" s="105"/>
      <c r="AW647" s="158">
        <v>10</v>
      </c>
      <c r="AX647" s="158"/>
      <c r="AY647" s="158"/>
      <c r="AZ647" s="158"/>
      <c r="BA647" s="158"/>
      <c r="BB647" s="158"/>
      <c r="BC647" s="69"/>
      <c r="BD647" s="69"/>
      <c r="BE647" s="69"/>
      <c r="BF647" s="271">
        <v>2016</v>
      </c>
      <c r="BG647" s="271"/>
      <c r="BH647" s="268"/>
      <c r="BI647" s="271" t="s">
        <v>2376</v>
      </c>
    </row>
    <row r="648" spans="1:61" s="204" customFormat="1" ht="15" customHeight="1">
      <c r="A648" s="160" t="s">
        <v>511</v>
      </c>
      <c r="B648" s="58" t="s">
        <v>284</v>
      </c>
      <c r="C648" s="58" t="s">
        <v>283</v>
      </c>
      <c r="D648" s="33" t="s">
        <v>119</v>
      </c>
      <c r="E648" s="33"/>
      <c r="F648" s="33"/>
      <c r="G648" s="33"/>
      <c r="H648" s="30"/>
      <c r="I648" s="58"/>
      <c r="J648" s="212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94"/>
      <c r="V648" s="158"/>
      <c r="W648" s="311"/>
      <c r="X648" s="311"/>
      <c r="Y648" s="311"/>
      <c r="Z648" s="94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2"/>
      <c r="AU648" s="58"/>
      <c r="AV648" s="105"/>
      <c r="AW648" s="158">
        <v>57</v>
      </c>
      <c r="AX648" s="158"/>
      <c r="AY648" s="158"/>
      <c r="AZ648" s="158"/>
      <c r="BA648" s="158"/>
      <c r="BB648" s="158"/>
      <c r="BC648" s="69"/>
      <c r="BD648" s="69"/>
      <c r="BE648" s="69"/>
      <c r="BF648" s="271">
        <v>2016</v>
      </c>
      <c r="BG648" s="271"/>
      <c r="BH648" s="268"/>
      <c r="BI648" s="271" t="s">
        <v>2376</v>
      </c>
    </row>
    <row r="649" spans="1:61" s="204" customFormat="1" ht="15" customHeight="1">
      <c r="A649" s="160" t="s">
        <v>511</v>
      </c>
      <c r="B649" s="58" t="s">
        <v>284</v>
      </c>
      <c r="C649" s="58" t="s">
        <v>283</v>
      </c>
      <c r="D649" s="33" t="s">
        <v>119</v>
      </c>
      <c r="E649" s="33"/>
      <c r="F649" s="33"/>
      <c r="G649" s="33"/>
      <c r="H649" s="30"/>
      <c r="I649" s="58"/>
      <c r="J649" s="212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94"/>
      <c r="V649" s="158"/>
      <c r="W649" s="311"/>
      <c r="X649" s="311"/>
      <c r="Y649" s="311"/>
      <c r="Z649" s="94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2"/>
      <c r="AU649" s="58"/>
      <c r="AV649" s="105"/>
      <c r="AW649" s="158">
        <v>57</v>
      </c>
      <c r="AX649" s="158"/>
      <c r="AY649" s="158"/>
      <c r="AZ649" s="158"/>
      <c r="BA649" s="158"/>
      <c r="BB649" s="158"/>
      <c r="BC649" s="69"/>
      <c r="BD649" s="69"/>
      <c r="BE649" s="69"/>
      <c r="BF649" s="271">
        <v>2016</v>
      </c>
      <c r="BG649" s="271"/>
      <c r="BH649" s="268"/>
      <c r="BI649" s="271" t="s">
        <v>2376</v>
      </c>
    </row>
    <row r="650" spans="1:61" s="204" customFormat="1" ht="15" customHeight="1">
      <c r="A650" s="160" t="s">
        <v>511</v>
      </c>
      <c r="B650" s="58" t="s">
        <v>523</v>
      </c>
      <c r="C650" s="122" t="s">
        <v>285</v>
      </c>
      <c r="D650" s="33" t="s">
        <v>102</v>
      </c>
      <c r="E650" s="33"/>
      <c r="F650" s="33"/>
      <c r="G650" s="33"/>
      <c r="H650" s="30" t="s">
        <v>635</v>
      </c>
      <c r="I650" s="43"/>
      <c r="J650" s="212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94"/>
      <c r="V650" s="158"/>
      <c r="W650" s="311"/>
      <c r="X650" s="311"/>
      <c r="Y650" s="311"/>
      <c r="Z650" s="94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2">
        <v>1</v>
      </c>
      <c r="AU650" s="58" t="s">
        <v>646</v>
      </c>
      <c r="AV650" s="105"/>
      <c r="AW650" s="158"/>
      <c r="AX650" s="158">
        <v>41</v>
      </c>
      <c r="AY650" s="158"/>
      <c r="AZ650" s="158"/>
      <c r="BA650" s="158"/>
      <c r="BB650" s="158"/>
      <c r="BC650" s="69"/>
      <c r="BD650" s="69"/>
      <c r="BE650" s="69"/>
      <c r="BF650" s="271">
        <v>2017</v>
      </c>
      <c r="BG650" s="271"/>
      <c r="BH650" s="268"/>
      <c r="BI650" s="271" t="s">
        <v>2376</v>
      </c>
    </row>
    <row r="651" spans="1:61" s="204" customFormat="1" ht="15" customHeight="1">
      <c r="A651" s="160" t="s">
        <v>511</v>
      </c>
      <c r="B651" s="58" t="s">
        <v>288</v>
      </c>
      <c r="C651" s="122" t="s">
        <v>286</v>
      </c>
      <c r="D651" s="33" t="s">
        <v>287</v>
      </c>
      <c r="E651" s="33"/>
      <c r="F651" s="33"/>
      <c r="G651" s="33"/>
      <c r="H651" s="30" t="s">
        <v>636</v>
      </c>
      <c r="I651" s="43"/>
      <c r="J651" s="212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94"/>
      <c r="V651" s="158"/>
      <c r="W651" s="311"/>
      <c r="X651" s="311"/>
      <c r="Y651" s="311"/>
      <c r="Z651" s="94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2">
        <v>1</v>
      </c>
      <c r="AU651" s="58" t="s">
        <v>646</v>
      </c>
      <c r="AV651" s="105"/>
      <c r="AW651" s="158"/>
      <c r="AX651" s="158"/>
      <c r="AY651" s="72">
        <v>16</v>
      </c>
      <c r="AZ651" s="158"/>
      <c r="BA651" s="158"/>
      <c r="BB651" s="158">
        <v>16</v>
      </c>
      <c r="BC651" s="69"/>
      <c r="BD651" s="69"/>
      <c r="BE651" s="69"/>
      <c r="BF651" s="271">
        <v>2018</v>
      </c>
      <c r="BG651" s="271"/>
      <c r="BH651" s="268"/>
      <c r="BI651" s="271" t="s">
        <v>2376</v>
      </c>
    </row>
    <row r="652" spans="1:61" s="204" customFormat="1" ht="15" customHeight="1">
      <c r="A652" s="160" t="s">
        <v>511</v>
      </c>
      <c r="B652" s="58" t="s">
        <v>288</v>
      </c>
      <c r="C652" s="122" t="s">
        <v>289</v>
      </c>
      <c r="D652" s="33" t="s">
        <v>287</v>
      </c>
      <c r="E652" s="33"/>
      <c r="F652" s="33"/>
      <c r="G652" s="33"/>
      <c r="H652" s="30" t="s">
        <v>650</v>
      </c>
      <c r="I652" s="43">
        <v>2753</v>
      </c>
      <c r="J652" s="212">
        <v>42713</v>
      </c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94"/>
      <c r="V652" s="158"/>
      <c r="W652" s="311"/>
      <c r="X652" s="311"/>
      <c r="Y652" s="311"/>
      <c r="Z652" s="94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2">
        <v>1</v>
      </c>
      <c r="AU652" s="58" t="s">
        <v>646</v>
      </c>
      <c r="AV652" s="105"/>
      <c r="AW652" s="158"/>
      <c r="AX652" s="158"/>
      <c r="AY652" s="72">
        <v>25</v>
      </c>
      <c r="AZ652" s="158"/>
      <c r="BA652" s="158"/>
      <c r="BB652" s="158">
        <v>25</v>
      </c>
      <c r="BC652" s="69"/>
      <c r="BD652" s="69"/>
      <c r="BE652" s="69"/>
      <c r="BF652" s="271">
        <v>2018</v>
      </c>
      <c r="BG652" s="271"/>
      <c r="BH652" s="268"/>
      <c r="BI652" s="271" t="s">
        <v>2376</v>
      </c>
    </row>
    <row r="653" spans="1:61" s="204" customFormat="1" ht="18" customHeight="1">
      <c r="A653" s="160" t="s">
        <v>511</v>
      </c>
      <c r="B653" s="58" t="s">
        <v>288</v>
      </c>
      <c r="C653" s="122" t="s">
        <v>289</v>
      </c>
      <c r="D653" s="33" t="s">
        <v>287</v>
      </c>
      <c r="E653" s="33"/>
      <c r="F653" s="33"/>
      <c r="G653" s="33"/>
      <c r="H653" s="30" t="s">
        <v>650</v>
      </c>
      <c r="I653" s="301" t="s">
        <v>1692</v>
      </c>
      <c r="J653" s="212">
        <v>42713</v>
      </c>
      <c r="K653" s="158"/>
      <c r="L653" s="158"/>
      <c r="M653" s="158">
        <v>3</v>
      </c>
      <c r="N653" s="158"/>
      <c r="O653" s="158"/>
      <c r="P653" s="158">
        <v>169916217</v>
      </c>
      <c r="Q653" s="158"/>
      <c r="R653" s="158"/>
      <c r="S653" s="158"/>
      <c r="T653" s="158"/>
      <c r="U653" s="94"/>
      <c r="V653" s="158"/>
      <c r="W653" s="311"/>
      <c r="X653" s="311"/>
      <c r="Y653" s="311"/>
      <c r="Z653" s="94"/>
      <c r="AA653" s="158"/>
      <c r="AB653" s="158"/>
      <c r="AC653" s="158"/>
      <c r="AD653" s="158">
        <v>169916217</v>
      </c>
      <c r="AE653" s="158"/>
      <c r="AF653" s="158">
        <f>P653-U653-Z653-AD653</f>
        <v>0</v>
      </c>
      <c r="AG653" s="158"/>
      <c r="AH653" s="94">
        <v>0</v>
      </c>
      <c r="AI653" s="94">
        <v>0</v>
      </c>
      <c r="AJ653" s="94"/>
      <c r="AK653" s="158">
        <f t="shared" ref="AK653" si="181">AF653+AH653</f>
        <v>0</v>
      </c>
      <c r="AL653" s="158">
        <v>877</v>
      </c>
      <c r="AM653" s="158">
        <v>10</v>
      </c>
      <c r="AN653" s="158"/>
      <c r="AO653" s="158"/>
      <c r="AP653" s="158"/>
      <c r="AQ653" s="158"/>
      <c r="AR653" s="158"/>
      <c r="AS653" s="158"/>
      <c r="AT653" s="2">
        <v>0</v>
      </c>
      <c r="AU653" s="58" t="s">
        <v>687</v>
      </c>
      <c r="AV653" s="389" t="s">
        <v>1358</v>
      </c>
      <c r="AW653" s="158"/>
      <c r="AX653" s="158"/>
      <c r="AY653" s="158"/>
      <c r="AZ653" s="158"/>
      <c r="BA653" s="158"/>
      <c r="BB653" s="158"/>
      <c r="BC653" s="69"/>
      <c r="BD653" s="69"/>
      <c r="BE653" s="69">
        <v>3</v>
      </c>
      <c r="BF653" s="271" t="s">
        <v>1706</v>
      </c>
      <c r="BG653" s="271">
        <v>2019</v>
      </c>
      <c r="BH653" s="271"/>
      <c r="BI653" s="271" t="s">
        <v>2375</v>
      </c>
    </row>
    <row r="654" spans="1:61" s="204" customFormat="1" ht="15" customHeight="1">
      <c r="A654" s="160" t="s">
        <v>511</v>
      </c>
      <c r="B654" s="58" t="s">
        <v>291</v>
      </c>
      <c r="C654" s="123" t="s">
        <v>290</v>
      </c>
      <c r="D654" s="33" t="s">
        <v>8</v>
      </c>
      <c r="E654" s="33"/>
      <c r="F654" s="33"/>
      <c r="G654" s="33"/>
      <c r="H654" s="30" t="s">
        <v>650</v>
      </c>
      <c r="I654" s="43"/>
      <c r="J654" s="212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94"/>
      <c r="V654" s="158"/>
      <c r="W654" s="311"/>
      <c r="X654" s="311"/>
      <c r="Y654" s="311"/>
      <c r="Z654" s="94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2">
        <v>1</v>
      </c>
      <c r="AU654" s="58" t="s">
        <v>646</v>
      </c>
      <c r="AV654" s="105"/>
      <c r="AW654" s="158"/>
      <c r="AX654" s="158"/>
      <c r="AY654" s="72">
        <v>88</v>
      </c>
      <c r="AZ654" s="158"/>
      <c r="BA654" s="158"/>
      <c r="BB654" s="158">
        <v>88</v>
      </c>
      <c r="BC654" s="69"/>
      <c r="BD654" s="69"/>
      <c r="BE654" s="69"/>
      <c r="BF654" s="271">
        <v>2018</v>
      </c>
      <c r="BG654" s="271"/>
      <c r="BH654" s="268"/>
      <c r="BI654" s="271" t="s">
        <v>2376</v>
      </c>
    </row>
    <row r="655" spans="1:61" s="204" customFormat="1" ht="18" customHeight="1">
      <c r="A655" s="160" t="s">
        <v>511</v>
      </c>
      <c r="B655" s="58" t="s">
        <v>1381</v>
      </c>
      <c r="C655" s="123" t="s">
        <v>290</v>
      </c>
      <c r="D655" s="33" t="s">
        <v>8</v>
      </c>
      <c r="E655" s="33"/>
      <c r="F655" s="33"/>
      <c r="G655" s="33"/>
      <c r="H655" s="30" t="s">
        <v>650</v>
      </c>
      <c r="I655" s="43">
        <v>2831</v>
      </c>
      <c r="J655" s="212">
        <v>42720</v>
      </c>
      <c r="K655" s="158"/>
      <c r="L655" s="158">
        <v>2</v>
      </c>
      <c r="M655" s="158"/>
      <c r="N655" s="158"/>
      <c r="O655" s="158"/>
      <c r="P655" s="158"/>
      <c r="Q655" s="158"/>
      <c r="R655" s="158"/>
      <c r="S655" s="158"/>
      <c r="T655" s="158"/>
      <c r="U655" s="94"/>
      <c r="V655" s="158"/>
      <c r="W655" s="311"/>
      <c r="X655" s="311"/>
      <c r="Y655" s="311"/>
      <c r="Z655" s="94"/>
      <c r="AA655" s="158"/>
      <c r="AB655" s="158"/>
      <c r="AC655" s="158"/>
      <c r="AD655" s="158"/>
      <c r="AE655" s="158"/>
      <c r="AF655" s="158">
        <f>P655-U655-Z655</f>
        <v>0</v>
      </c>
      <c r="AG655" s="158"/>
      <c r="AH655" s="94">
        <v>0</v>
      </c>
      <c r="AI655" s="94">
        <v>0</v>
      </c>
      <c r="AJ655" s="94"/>
      <c r="AK655" s="158">
        <f t="shared" ref="AK655" si="182">AF655+AH655</f>
        <v>0</v>
      </c>
      <c r="AL655" s="158">
        <v>877</v>
      </c>
      <c r="AM655" s="158">
        <v>10</v>
      </c>
      <c r="AN655" s="158"/>
      <c r="AO655" s="158"/>
      <c r="AP655" s="158"/>
      <c r="AQ655" s="11"/>
      <c r="AR655" s="11"/>
      <c r="AS655" s="11"/>
      <c r="AT655" s="2">
        <v>1</v>
      </c>
      <c r="AU655" s="58" t="s">
        <v>646</v>
      </c>
      <c r="AV655" s="386"/>
      <c r="AW655" s="158" t="s">
        <v>0</v>
      </c>
      <c r="AX655" s="11"/>
      <c r="AY655" s="11"/>
      <c r="AZ655" s="158">
        <v>2</v>
      </c>
      <c r="BA655" s="158"/>
      <c r="BB655" s="11"/>
      <c r="BC655" s="70"/>
      <c r="BD655" s="69">
        <v>2</v>
      </c>
      <c r="BE655" s="69"/>
      <c r="BF655" s="271">
        <v>2019</v>
      </c>
      <c r="BG655" s="271">
        <v>2019</v>
      </c>
      <c r="BH655" s="271"/>
      <c r="BI655" s="271" t="s">
        <v>2375</v>
      </c>
    </row>
    <row r="656" spans="1:61" s="204" customFormat="1" ht="15" customHeight="1">
      <c r="A656" s="160" t="s">
        <v>511</v>
      </c>
      <c r="B656" s="58" t="s">
        <v>1023</v>
      </c>
      <c r="C656" s="58" t="s">
        <v>282</v>
      </c>
      <c r="D656" s="33" t="s">
        <v>157</v>
      </c>
      <c r="E656" s="33"/>
      <c r="F656" s="33"/>
      <c r="G656" s="33"/>
      <c r="H656" s="30" t="s">
        <v>691</v>
      </c>
      <c r="I656" s="43"/>
      <c r="J656" s="212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94"/>
      <c r="V656" s="158"/>
      <c r="W656" s="311"/>
      <c r="X656" s="311"/>
      <c r="Y656" s="311"/>
      <c r="Z656" s="94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1"/>
      <c r="AQ656" s="11"/>
      <c r="AR656" s="11"/>
      <c r="AS656" s="11"/>
      <c r="AT656" s="2">
        <v>1</v>
      </c>
      <c r="AU656" s="58" t="s">
        <v>646</v>
      </c>
      <c r="AV656" s="105"/>
      <c r="AW656" s="158"/>
      <c r="AX656" s="11">
        <v>40</v>
      </c>
      <c r="AY656" s="11"/>
      <c r="AZ656" s="11"/>
      <c r="BA656" s="11"/>
      <c r="BB656" s="11"/>
      <c r="BC656" s="70"/>
      <c r="BD656" s="70"/>
      <c r="BE656" s="70"/>
      <c r="BF656" s="271">
        <v>2017</v>
      </c>
      <c r="BG656" s="271"/>
      <c r="BH656" s="268"/>
      <c r="BI656" s="271" t="s">
        <v>2376</v>
      </c>
    </row>
    <row r="657" spans="1:61" s="204" customFormat="1" ht="15" customHeight="1">
      <c r="A657" s="160" t="s">
        <v>511</v>
      </c>
      <c r="B657" s="58" t="s">
        <v>291</v>
      </c>
      <c r="C657" s="122" t="s">
        <v>292</v>
      </c>
      <c r="D657" s="33" t="s">
        <v>119</v>
      </c>
      <c r="E657" s="33"/>
      <c r="F657" s="33"/>
      <c r="G657" s="33"/>
      <c r="H657" s="30" t="s">
        <v>650</v>
      </c>
      <c r="I657" s="43"/>
      <c r="J657" s="212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94"/>
      <c r="V657" s="158"/>
      <c r="W657" s="311"/>
      <c r="X657" s="311"/>
      <c r="Y657" s="311"/>
      <c r="Z657" s="94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2">
        <v>1</v>
      </c>
      <c r="AU657" s="58" t="s">
        <v>646</v>
      </c>
      <c r="AV657" s="105"/>
      <c r="AW657" s="158"/>
      <c r="AX657" s="158">
        <v>34</v>
      </c>
      <c r="AY657" s="158"/>
      <c r="AZ657" s="158"/>
      <c r="BA657" s="158"/>
      <c r="BB657" s="158"/>
      <c r="BC657" s="69"/>
      <c r="BD657" s="69"/>
      <c r="BE657" s="69"/>
      <c r="BF657" s="271">
        <v>2017</v>
      </c>
      <c r="BG657" s="271"/>
      <c r="BH657" s="268"/>
      <c r="BI657" s="271" t="s">
        <v>2376</v>
      </c>
    </row>
    <row r="658" spans="1:61" s="204" customFormat="1" ht="15" customHeight="1">
      <c r="A658" s="160" t="s">
        <v>511</v>
      </c>
      <c r="B658" s="58" t="s">
        <v>1105</v>
      </c>
      <c r="C658" s="122" t="s">
        <v>927</v>
      </c>
      <c r="D658" s="33" t="s">
        <v>119</v>
      </c>
      <c r="E658" s="33"/>
      <c r="F658" s="33"/>
      <c r="G658" s="33"/>
      <c r="H658" s="30" t="s">
        <v>650</v>
      </c>
      <c r="I658" s="43"/>
      <c r="J658" s="212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94"/>
      <c r="V658" s="158"/>
      <c r="W658" s="311"/>
      <c r="X658" s="311"/>
      <c r="Y658" s="311"/>
      <c r="Z658" s="94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2">
        <v>1</v>
      </c>
      <c r="AU658" s="58" t="s">
        <v>646</v>
      </c>
      <c r="AV658" s="58" t="s">
        <v>644</v>
      </c>
      <c r="AW658" s="158"/>
      <c r="AX658" s="158"/>
      <c r="AY658" s="72">
        <v>57</v>
      </c>
      <c r="AZ658" s="158"/>
      <c r="BA658" s="158"/>
      <c r="BB658" s="158">
        <v>57</v>
      </c>
      <c r="BC658" s="69"/>
      <c r="BD658" s="69"/>
      <c r="BE658" s="69"/>
      <c r="BF658" s="271">
        <v>2018</v>
      </c>
      <c r="BG658" s="271"/>
      <c r="BH658" s="268"/>
      <c r="BI658" s="271" t="s">
        <v>2376</v>
      </c>
    </row>
    <row r="659" spans="1:61" s="204" customFormat="1" ht="15" customHeight="1">
      <c r="A659" s="160" t="s">
        <v>511</v>
      </c>
      <c r="B659" s="58" t="s">
        <v>284</v>
      </c>
      <c r="C659" s="123" t="s">
        <v>841</v>
      </c>
      <c r="D659" s="33" t="s">
        <v>119</v>
      </c>
      <c r="E659" s="33"/>
      <c r="F659" s="33"/>
      <c r="G659" s="33"/>
      <c r="H659" s="30" t="s">
        <v>650</v>
      </c>
      <c r="I659" s="43"/>
      <c r="J659" s="212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94"/>
      <c r="V659" s="158"/>
      <c r="W659" s="311"/>
      <c r="X659" s="311"/>
      <c r="Y659" s="311"/>
      <c r="Z659" s="94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2">
        <v>1</v>
      </c>
      <c r="AU659" s="58" t="s">
        <v>646</v>
      </c>
      <c r="AV659" s="105"/>
      <c r="AW659" s="158"/>
      <c r="AX659" s="158">
        <v>52</v>
      </c>
      <c r="AY659" s="158"/>
      <c r="AZ659" s="158"/>
      <c r="BA659" s="158"/>
      <c r="BB659" s="158"/>
      <c r="BC659" s="69"/>
      <c r="BD659" s="69"/>
      <c r="BE659" s="69"/>
      <c r="BF659" s="271">
        <v>2017</v>
      </c>
      <c r="BG659" s="271"/>
      <c r="BH659" s="268"/>
      <c r="BI659" s="271" t="s">
        <v>2376</v>
      </c>
    </row>
    <row r="660" spans="1:61" s="204" customFormat="1" ht="15" customHeight="1">
      <c r="A660" s="160" t="s">
        <v>511</v>
      </c>
      <c r="B660" s="58" t="s">
        <v>522</v>
      </c>
      <c r="C660" s="122" t="s">
        <v>702</v>
      </c>
      <c r="D660" s="33" t="s">
        <v>171</v>
      </c>
      <c r="E660" s="33"/>
      <c r="F660" s="33"/>
      <c r="G660" s="33"/>
      <c r="H660" s="30"/>
      <c r="I660" s="58"/>
      <c r="J660" s="212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94"/>
      <c r="V660" s="158"/>
      <c r="W660" s="311"/>
      <c r="X660" s="311"/>
      <c r="Y660" s="311"/>
      <c r="Z660" s="94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2"/>
      <c r="AU660" s="58"/>
      <c r="AV660" s="58" t="s">
        <v>701</v>
      </c>
      <c r="AW660" s="158"/>
      <c r="AX660" s="158"/>
      <c r="AY660" s="158"/>
      <c r="AZ660" s="158"/>
      <c r="BA660" s="158"/>
      <c r="BB660" s="158"/>
      <c r="BC660" s="69"/>
      <c r="BD660" s="69"/>
      <c r="BE660" s="69"/>
      <c r="BF660" s="271" t="s">
        <v>1290</v>
      </c>
      <c r="BG660" s="271"/>
      <c r="BH660" s="268"/>
      <c r="BI660" s="271" t="s">
        <v>2376</v>
      </c>
    </row>
    <row r="661" spans="1:61" s="204" customFormat="1" ht="15" customHeight="1">
      <c r="A661" s="160" t="s">
        <v>511</v>
      </c>
      <c r="B661" s="58" t="s">
        <v>568</v>
      </c>
      <c r="C661" s="122" t="s">
        <v>567</v>
      </c>
      <c r="D661" s="33" t="s">
        <v>8</v>
      </c>
      <c r="E661" s="33"/>
      <c r="F661" s="33"/>
      <c r="G661" s="33"/>
      <c r="H661" s="30" t="s">
        <v>659</v>
      </c>
      <c r="I661" s="43"/>
      <c r="J661" s="212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94"/>
      <c r="V661" s="158"/>
      <c r="W661" s="311"/>
      <c r="X661" s="311"/>
      <c r="Y661" s="311"/>
      <c r="Z661" s="94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2">
        <v>1</v>
      </c>
      <c r="AU661" s="58" t="s">
        <v>646</v>
      </c>
      <c r="AV661" s="105"/>
      <c r="AW661" s="158"/>
      <c r="AX661" s="158"/>
      <c r="AY661" s="158">
        <v>60</v>
      </c>
      <c r="AZ661" s="158"/>
      <c r="BA661" s="158"/>
      <c r="BB661" s="158"/>
      <c r="BC661" s="69">
        <v>60</v>
      </c>
      <c r="BD661" s="69">
        <v>60</v>
      </c>
      <c r="BE661" s="69"/>
      <c r="BF661" s="271">
        <v>2018</v>
      </c>
      <c r="BG661" s="271"/>
      <c r="BH661" s="268"/>
      <c r="BI661" s="271" t="s">
        <v>2375</v>
      </c>
    </row>
    <row r="662" spans="1:61" s="204" customFormat="1" ht="11.25" customHeight="1">
      <c r="A662" s="160" t="s">
        <v>511</v>
      </c>
      <c r="B662" s="58" t="s">
        <v>284</v>
      </c>
      <c r="C662" s="148" t="s">
        <v>779</v>
      </c>
      <c r="D662" s="33" t="s">
        <v>774</v>
      </c>
      <c r="E662" s="33"/>
      <c r="F662" s="33"/>
      <c r="G662" s="33"/>
      <c r="H662" s="30" t="s">
        <v>713</v>
      </c>
      <c r="I662" s="272" t="s">
        <v>1462</v>
      </c>
      <c r="J662" s="215" t="s">
        <v>1463</v>
      </c>
      <c r="K662" s="51"/>
      <c r="L662" s="51"/>
      <c r="M662" s="51"/>
      <c r="N662" s="51"/>
      <c r="O662" s="51"/>
      <c r="P662" s="94">
        <f>4645529718-174207364</f>
        <v>4471322354</v>
      </c>
      <c r="Q662" s="94"/>
      <c r="R662" s="158"/>
      <c r="S662" s="94"/>
      <c r="T662" s="94"/>
      <c r="U662" s="94"/>
      <c r="V662" s="51"/>
      <c r="W662" s="311"/>
      <c r="X662" s="311"/>
      <c r="Y662" s="311"/>
      <c r="Z662" s="94"/>
      <c r="AA662" s="51"/>
      <c r="AB662" s="51"/>
      <c r="AC662" s="51"/>
      <c r="AD662" s="51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2">
        <v>1</v>
      </c>
      <c r="AU662" s="58" t="s">
        <v>646</v>
      </c>
      <c r="AV662" s="105"/>
      <c r="AW662" s="51"/>
      <c r="AX662" s="158"/>
      <c r="AY662" s="158">
        <v>77</v>
      </c>
      <c r="AZ662" s="158"/>
      <c r="BA662" s="158"/>
      <c r="BB662" s="158"/>
      <c r="BC662" s="69">
        <v>77</v>
      </c>
      <c r="BD662" s="69">
        <v>77</v>
      </c>
      <c r="BE662" s="69"/>
      <c r="BF662" s="271">
        <v>2018</v>
      </c>
      <c r="BG662" s="271"/>
      <c r="BH662" s="268"/>
      <c r="BI662" s="271" t="s">
        <v>2375</v>
      </c>
    </row>
    <row r="663" spans="1:61" s="204" customFormat="1" ht="18" customHeight="1">
      <c r="A663" s="160" t="s">
        <v>511</v>
      </c>
      <c r="B663" s="58" t="s">
        <v>1594</v>
      </c>
      <c r="C663" s="148" t="s">
        <v>779</v>
      </c>
      <c r="D663" s="33" t="s">
        <v>774</v>
      </c>
      <c r="E663" s="33"/>
      <c r="F663" s="33"/>
      <c r="G663" s="33"/>
      <c r="H663" s="30" t="s">
        <v>713</v>
      </c>
      <c r="I663" s="272" t="s">
        <v>1696</v>
      </c>
      <c r="J663" s="215" t="s">
        <v>1463</v>
      </c>
      <c r="K663" s="51"/>
      <c r="L663" s="51"/>
      <c r="M663" s="51">
        <v>3</v>
      </c>
      <c r="N663" s="51">
        <v>3</v>
      </c>
      <c r="O663" s="51"/>
      <c r="P663" s="94">
        <v>174207364</v>
      </c>
      <c r="Q663" s="94"/>
      <c r="R663" s="158"/>
      <c r="S663" s="94"/>
      <c r="T663" s="94"/>
      <c r="U663" s="94">
        <v>73487557</v>
      </c>
      <c r="V663" s="51">
        <v>20</v>
      </c>
      <c r="W663" s="311"/>
      <c r="X663" s="311"/>
      <c r="Y663" s="311"/>
      <c r="Z663" s="94">
        <v>100719807</v>
      </c>
      <c r="AA663" s="51">
        <v>10</v>
      </c>
      <c r="AB663" s="311">
        <v>43525</v>
      </c>
      <c r="AC663" s="311"/>
      <c r="AD663" s="51"/>
      <c r="AE663" s="158"/>
      <c r="AF663" s="158">
        <f>P663-U663-Z663</f>
        <v>0</v>
      </c>
      <c r="AG663" s="158"/>
      <c r="AH663" s="94">
        <v>0</v>
      </c>
      <c r="AI663" s="94">
        <v>0</v>
      </c>
      <c r="AJ663" s="94"/>
      <c r="AK663" s="158">
        <f>P663-R663-U663-Z663</f>
        <v>0</v>
      </c>
      <c r="AL663" s="158">
        <v>877</v>
      </c>
      <c r="AM663" s="158">
        <v>10</v>
      </c>
      <c r="AN663" s="158"/>
      <c r="AO663" s="158">
        <v>3</v>
      </c>
      <c r="AP663" s="11"/>
      <c r="AQ663" s="11"/>
      <c r="AR663" s="11"/>
      <c r="AS663" s="11"/>
      <c r="AT663" s="2">
        <v>0.74350000000000005</v>
      </c>
      <c r="AU663" s="58" t="s">
        <v>38</v>
      </c>
      <c r="AV663" s="386"/>
      <c r="AW663" s="51"/>
      <c r="AX663" s="11"/>
      <c r="AY663" s="11"/>
      <c r="AZ663" s="11"/>
      <c r="BA663" s="11"/>
      <c r="BB663" s="11"/>
      <c r="BC663" s="70"/>
      <c r="BD663" s="70"/>
      <c r="BE663" s="70"/>
      <c r="BF663" s="271"/>
      <c r="BG663" s="271">
        <v>2019</v>
      </c>
      <c r="BH663" s="430">
        <v>2020</v>
      </c>
      <c r="BI663" s="271" t="s">
        <v>2375</v>
      </c>
    </row>
    <row r="664" spans="1:61" s="204" customFormat="1" ht="18" customHeight="1">
      <c r="A664" s="160" t="s">
        <v>511</v>
      </c>
      <c r="B664" s="58" t="s">
        <v>1023</v>
      </c>
      <c r="C664" s="148" t="s">
        <v>775</v>
      </c>
      <c r="D664" s="33" t="s">
        <v>774</v>
      </c>
      <c r="E664" s="33"/>
      <c r="F664" s="33"/>
      <c r="G664" s="33"/>
      <c r="H664" s="30" t="s">
        <v>715</v>
      </c>
      <c r="I664" s="43">
        <v>2838</v>
      </c>
      <c r="J664" s="212">
        <v>43076</v>
      </c>
      <c r="K664" s="51"/>
      <c r="L664" s="51">
        <v>41</v>
      </c>
      <c r="M664" s="51"/>
      <c r="N664" s="51"/>
      <c r="O664" s="51"/>
      <c r="P664" s="51"/>
      <c r="Q664" s="51"/>
      <c r="R664" s="158"/>
      <c r="S664" s="51"/>
      <c r="T664" s="51"/>
      <c r="U664" s="94"/>
      <c r="V664" s="51"/>
      <c r="W664" s="311"/>
      <c r="X664" s="311"/>
      <c r="Y664" s="311"/>
      <c r="Z664" s="94"/>
      <c r="AA664" s="51"/>
      <c r="AB664" s="51"/>
      <c r="AC664" s="51"/>
      <c r="AD664" s="51"/>
      <c r="AE664" s="158"/>
      <c r="AF664" s="158">
        <f>P664-U664-Z664</f>
        <v>0</v>
      </c>
      <c r="AG664" s="158"/>
      <c r="AH664" s="94">
        <v>0</v>
      </c>
      <c r="AI664" s="94">
        <v>0</v>
      </c>
      <c r="AJ664" s="94"/>
      <c r="AK664" s="158">
        <f t="shared" ref="AK664" si="183">AF664+AH664</f>
        <v>0</v>
      </c>
      <c r="AL664" s="158"/>
      <c r="AM664" s="158"/>
      <c r="AN664" s="158"/>
      <c r="AO664" s="158"/>
      <c r="AP664" s="158"/>
      <c r="AQ664" s="158"/>
      <c r="AR664" s="158"/>
      <c r="AS664" s="158"/>
      <c r="AT664" s="56">
        <v>1</v>
      </c>
      <c r="AU664" s="58" t="s">
        <v>646</v>
      </c>
      <c r="AV664" s="386" t="s">
        <v>1378</v>
      </c>
      <c r="AW664" s="51"/>
      <c r="AX664" s="158"/>
      <c r="AY664" s="158"/>
      <c r="AZ664" s="158">
        <v>41</v>
      </c>
      <c r="BA664" s="158"/>
      <c r="BB664" s="158"/>
      <c r="BC664" s="69"/>
      <c r="BD664" s="69">
        <v>41</v>
      </c>
      <c r="BE664" s="69"/>
      <c r="BF664" s="271">
        <v>2019</v>
      </c>
      <c r="BG664" s="271">
        <v>2019</v>
      </c>
      <c r="BH664" s="271"/>
      <c r="BI664" s="271" t="s">
        <v>2375</v>
      </c>
    </row>
    <row r="665" spans="1:61" s="204" customFormat="1" ht="23.25" customHeight="1">
      <c r="A665" s="160" t="s">
        <v>511</v>
      </c>
      <c r="B665" s="58" t="s">
        <v>284</v>
      </c>
      <c r="C665" s="148" t="s">
        <v>776</v>
      </c>
      <c r="D665" s="33" t="s">
        <v>774</v>
      </c>
      <c r="E665" s="33"/>
      <c r="F665" s="33"/>
      <c r="G665" s="33"/>
      <c r="H665" s="30" t="s">
        <v>630</v>
      </c>
      <c r="I665" s="43"/>
      <c r="J665" s="212"/>
      <c r="K665" s="51"/>
      <c r="L665" s="51"/>
      <c r="M665" s="51"/>
      <c r="N665" s="51"/>
      <c r="O665" s="51"/>
      <c r="P665" s="51"/>
      <c r="Q665" s="158">
        <f>P665/AY665</f>
        <v>0</v>
      </c>
      <c r="R665" s="158"/>
      <c r="S665" s="51"/>
      <c r="T665" s="51"/>
      <c r="U665" s="94"/>
      <c r="V665" s="51"/>
      <c r="W665" s="311"/>
      <c r="X665" s="311"/>
      <c r="Y665" s="311"/>
      <c r="Z665" s="94"/>
      <c r="AA665" s="51"/>
      <c r="AB665" s="51"/>
      <c r="AC665" s="51"/>
      <c r="AD665" s="51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56">
        <v>1</v>
      </c>
      <c r="AU665" s="58" t="s">
        <v>646</v>
      </c>
      <c r="AV665" s="105"/>
      <c r="AW665" s="51"/>
      <c r="AX665" s="158"/>
      <c r="AY665" s="72">
        <v>29</v>
      </c>
      <c r="AZ665" s="158"/>
      <c r="BA665" s="158"/>
      <c r="BB665" s="158">
        <v>29</v>
      </c>
      <c r="BC665" s="69"/>
      <c r="BD665" s="69"/>
      <c r="BE665" s="69"/>
      <c r="BF665" s="271">
        <v>2018</v>
      </c>
      <c r="BG665" s="271"/>
      <c r="BI665" s="681" t="s">
        <v>2376</v>
      </c>
    </row>
    <row r="666" spans="1:61" s="204" customFormat="1" ht="18" customHeight="1">
      <c r="A666" s="230" t="s">
        <v>511</v>
      </c>
      <c r="B666" s="58" t="s">
        <v>1381</v>
      </c>
      <c r="C666" s="237" t="s">
        <v>1382</v>
      </c>
      <c r="D666" s="33" t="s">
        <v>778</v>
      </c>
      <c r="E666" s="33"/>
      <c r="F666" s="33"/>
      <c r="G666" s="33"/>
      <c r="H666" s="30" t="s">
        <v>715</v>
      </c>
      <c r="I666" s="43">
        <v>2644</v>
      </c>
      <c r="J666" s="212">
        <v>43056</v>
      </c>
      <c r="K666" s="81"/>
      <c r="L666" s="81"/>
      <c r="M666" s="81">
        <v>93</v>
      </c>
      <c r="N666" s="51">
        <v>93</v>
      </c>
      <c r="O666" s="81"/>
      <c r="P666" s="81"/>
      <c r="Q666" s="81"/>
      <c r="R666" s="158"/>
      <c r="S666" s="81"/>
      <c r="T666" s="81"/>
      <c r="U666" s="94">
        <v>3161969769</v>
      </c>
      <c r="V666" s="81">
        <v>20</v>
      </c>
      <c r="W666" s="311">
        <v>43435</v>
      </c>
      <c r="X666" s="311"/>
      <c r="Y666" s="311"/>
      <c r="Z666" s="94"/>
      <c r="AA666" s="81"/>
      <c r="AB666" s="277"/>
      <c r="AC666" s="277"/>
      <c r="AD666" s="277"/>
      <c r="AE666" s="158"/>
      <c r="AF666" s="158">
        <f t="shared" ref="AF666:AF675" si="184">P666-U666-Z666</f>
        <v>-3161969769</v>
      </c>
      <c r="AG666" s="158"/>
      <c r="AH666" s="94">
        <v>0</v>
      </c>
      <c r="AI666" s="94">
        <v>0</v>
      </c>
      <c r="AJ666" s="94"/>
      <c r="AK666" s="158">
        <f t="shared" ref="AK666:AK668" si="185">P666-R666-U666-Z666</f>
        <v>-3161969769</v>
      </c>
      <c r="AL666" s="158"/>
      <c r="AM666" s="158"/>
      <c r="AN666" s="158"/>
      <c r="AO666" s="158">
        <v>93</v>
      </c>
      <c r="AP666" s="158"/>
      <c r="AQ666" s="158"/>
      <c r="AR666" s="158"/>
      <c r="AS666" s="158"/>
      <c r="AT666" s="56">
        <v>0.94630000000000003</v>
      </c>
      <c r="AU666" s="58" t="s">
        <v>38</v>
      </c>
      <c r="AV666" s="386"/>
      <c r="AW666" s="51"/>
      <c r="AX666" s="158"/>
      <c r="AY666" s="158"/>
      <c r="AZ666" s="158"/>
      <c r="BA666" s="158"/>
      <c r="BB666" s="158"/>
      <c r="BC666" s="69"/>
      <c r="BD666" s="69"/>
      <c r="BE666" s="69"/>
      <c r="BF666" s="271"/>
      <c r="BG666" s="271">
        <v>2019</v>
      </c>
      <c r="BH666" s="271">
        <v>2020</v>
      </c>
      <c r="BI666" s="271" t="s">
        <v>2375</v>
      </c>
    </row>
    <row r="667" spans="1:61" s="204" customFormat="1" ht="18" customHeight="1">
      <c r="A667" s="160" t="s">
        <v>511</v>
      </c>
      <c r="B667" s="58" t="s">
        <v>1594</v>
      </c>
      <c r="C667" s="58" t="s">
        <v>1009</v>
      </c>
      <c r="D667" s="33" t="s">
        <v>119</v>
      </c>
      <c r="E667" s="33"/>
      <c r="F667" s="33"/>
      <c r="G667" s="33"/>
      <c r="H667" s="30" t="s">
        <v>968</v>
      </c>
      <c r="I667" s="272" t="s">
        <v>1648</v>
      </c>
      <c r="J667" s="212" t="s">
        <v>1447</v>
      </c>
      <c r="K667" s="158">
        <v>11</v>
      </c>
      <c r="L667" s="158">
        <v>11</v>
      </c>
      <c r="M667" s="158"/>
      <c r="N667" s="51">
        <v>11</v>
      </c>
      <c r="O667" s="158"/>
      <c r="P667" s="158">
        <v>380272837</v>
      </c>
      <c r="Q667" s="158"/>
      <c r="R667" s="158"/>
      <c r="S667" s="158"/>
      <c r="T667" s="158"/>
      <c r="U667" s="94"/>
      <c r="V667" s="158"/>
      <c r="W667" s="311"/>
      <c r="X667" s="311"/>
      <c r="Y667" s="311"/>
      <c r="Z667" s="94">
        <v>380272837</v>
      </c>
      <c r="AA667" s="69">
        <v>10</v>
      </c>
      <c r="AB667" s="311">
        <v>43647</v>
      </c>
      <c r="AC667" s="577"/>
      <c r="AD667" s="69"/>
      <c r="AE667" s="158"/>
      <c r="AF667" s="158">
        <f t="shared" si="184"/>
        <v>0</v>
      </c>
      <c r="AG667" s="158"/>
      <c r="AH667" s="94">
        <v>0</v>
      </c>
      <c r="AI667" s="94">
        <v>0</v>
      </c>
      <c r="AJ667" s="94"/>
      <c r="AK667" s="158">
        <f t="shared" si="185"/>
        <v>0</v>
      </c>
      <c r="AL667" s="158">
        <v>877</v>
      </c>
      <c r="AM667" s="158">
        <v>10</v>
      </c>
      <c r="AN667" s="158"/>
      <c r="AO667" s="158">
        <v>11</v>
      </c>
      <c r="AP667" s="158"/>
      <c r="AQ667" s="158"/>
      <c r="AR667" s="158"/>
      <c r="AS667" s="158"/>
      <c r="AT667" s="56">
        <v>0.61419999999999997</v>
      </c>
      <c r="AU667" s="58" t="s">
        <v>38</v>
      </c>
      <c r="AV667" s="386"/>
      <c r="AW667" s="51"/>
      <c r="AX667" s="158"/>
      <c r="AY667" s="158"/>
      <c r="AZ667" s="158"/>
      <c r="BA667" s="158"/>
      <c r="BB667" s="158"/>
      <c r="BC667" s="69"/>
      <c r="BD667" s="69"/>
      <c r="BE667" s="69"/>
      <c r="BF667" s="271"/>
      <c r="BG667" s="271">
        <v>2019</v>
      </c>
      <c r="BH667" s="430">
        <v>2020</v>
      </c>
      <c r="BI667" s="271" t="s">
        <v>2375</v>
      </c>
    </row>
    <row r="668" spans="1:61" s="204" customFormat="1" ht="30" customHeight="1">
      <c r="A668" s="248" t="s">
        <v>511</v>
      </c>
      <c r="B668" s="58" t="s">
        <v>1023</v>
      </c>
      <c r="C668" s="251" t="s">
        <v>1022</v>
      </c>
      <c r="D668" s="33" t="s">
        <v>119</v>
      </c>
      <c r="E668" s="33"/>
      <c r="F668" s="33"/>
      <c r="G668" s="33"/>
      <c r="H668" s="30" t="s">
        <v>968</v>
      </c>
      <c r="I668" s="30">
        <v>1367</v>
      </c>
      <c r="J668" s="215" t="s">
        <v>1464</v>
      </c>
      <c r="K668" s="94">
        <v>21</v>
      </c>
      <c r="L668" s="94">
        <v>21</v>
      </c>
      <c r="M668" s="94"/>
      <c r="N668" s="51">
        <v>21</v>
      </c>
      <c r="O668" s="94"/>
      <c r="P668" s="94">
        <v>1480100830</v>
      </c>
      <c r="Q668" s="94"/>
      <c r="R668" s="158"/>
      <c r="S668" s="94"/>
      <c r="T668" s="94"/>
      <c r="U668" s="94">
        <v>609523076</v>
      </c>
      <c r="V668" s="94">
        <v>20</v>
      </c>
      <c r="W668" s="311"/>
      <c r="X668" s="311"/>
      <c r="Y668" s="311"/>
      <c r="Z668" s="94">
        <v>870577754</v>
      </c>
      <c r="AA668" s="94">
        <v>10</v>
      </c>
      <c r="AB668" s="311">
        <v>43525</v>
      </c>
      <c r="AC668" s="583"/>
      <c r="AD668" s="254"/>
      <c r="AE668" s="158"/>
      <c r="AF668" s="158">
        <f t="shared" si="184"/>
        <v>0</v>
      </c>
      <c r="AG668" s="158"/>
      <c r="AH668" s="94">
        <v>0</v>
      </c>
      <c r="AI668" s="94">
        <v>0</v>
      </c>
      <c r="AJ668" s="94"/>
      <c r="AK668" s="158">
        <f t="shared" si="185"/>
        <v>0</v>
      </c>
      <c r="AL668" s="158">
        <v>877</v>
      </c>
      <c r="AM668" s="158">
        <v>10</v>
      </c>
      <c r="AN668" s="158"/>
      <c r="AO668" s="158">
        <v>21</v>
      </c>
      <c r="AP668" s="158"/>
      <c r="AQ668" s="158"/>
      <c r="AR668" s="158"/>
      <c r="AS668" s="158"/>
      <c r="AT668" s="56">
        <v>0.68020000000000003</v>
      </c>
      <c r="AU668" s="58" t="s">
        <v>38</v>
      </c>
      <c r="AV668" s="386"/>
      <c r="AW668" s="51"/>
      <c r="AX668" s="158"/>
      <c r="AY668" s="158"/>
      <c r="AZ668" s="158"/>
      <c r="BA668" s="158"/>
      <c r="BB668" s="158"/>
      <c r="BC668" s="69"/>
      <c r="BD668" s="69"/>
      <c r="BE668" s="69"/>
      <c r="BF668" s="271"/>
      <c r="BG668" s="271">
        <v>2019</v>
      </c>
      <c r="BH668" s="430">
        <v>2020</v>
      </c>
      <c r="BI668" s="271" t="s">
        <v>2375</v>
      </c>
    </row>
    <row r="669" spans="1:61" s="204" customFormat="1" ht="18" customHeight="1">
      <c r="A669" s="160" t="s">
        <v>511</v>
      </c>
      <c r="B669" s="58" t="s">
        <v>284</v>
      </c>
      <c r="C669" s="58" t="s">
        <v>1081</v>
      </c>
      <c r="D669" s="33" t="s">
        <v>287</v>
      </c>
      <c r="E669" s="33"/>
      <c r="F669" s="33"/>
      <c r="G669" s="33"/>
      <c r="H669" s="30" t="s">
        <v>968</v>
      </c>
      <c r="I669" s="272">
        <v>1408</v>
      </c>
      <c r="J669" s="212">
        <v>43273</v>
      </c>
      <c r="K669" s="94">
        <v>12</v>
      </c>
      <c r="L669" s="94">
        <v>12</v>
      </c>
      <c r="M669" s="94"/>
      <c r="N669" s="51"/>
      <c r="O669" s="94"/>
      <c r="P669" s="94">
        <v>763215957</v>
      </c>
      <c r="Q669" s="94"/>
      <c r="R669" s="158"/>
      <c r="S669" s="94"/>
      <c r="T669" s="94"/>
      <c r="U669" s="94">
        <v>338718634</v>
      </c>
      <c r="V669" s="94">
        <v>20</v>
      </c>
      <c r="W669" s="311"/>
      <c r="X669" s="311"/>
      <c r="Y669" s="311"/>
      <c r="Z669" s="94">
        <v>424497323</v>
      </c>
      <c r="AA669" s="94">
        <v>10</v>
      </c>
      <c r="AB669" s="311">
        <v>43525</v>
      </c>
      <c r="AC669" s="311"/>
      <c r="AD669" s="94"/>
      <c r="AE669" s="158"/>
      <c r="AF669" s="158">
        <f t="shared" si="184"/>
        <v>0</v>
      </c>
      <c r="AG669" s="158"/>
      <c r="AH669" s="94">
        <v>0</v>
      </c>
      <c r="AI669" s="94">
        <v>0</v>
      </c>
      <c r="AJ669" s="94"/>
      <c r="AK669" s="158">
        <f t="shared" ref="AK669:AK670" si="186">AF669+AH669</f>
        <v>0</v>
      </c>
      <c r="AL669" s="158">
        <v>877</v>
      </c>
      <c r="AM669" s="158">
        <v>10</v>
      </c>
      <c r="AN669" s="158"/>
      <c r="AO669" s="158"/>
      <c r="AP669" s="94"/>
      <c r="AQ669" s="158"/>
      <c r="AR669" s="158"/>
      <c r="AS669" s="158"/>
      <c r="AT669" s="56">
        <v>1</v>
      </c>
      <c r="AU669" s="58" t="s">
        <v>646</v>
      </c>
      <c r="AV669" s="386"/>
      <c r="AW669" s="51"/>
      <c r="AX669" s="158"/>
      <c r="AY669" s="158"/>
      <c r="AZ669" s="94">
        <v>12</v>
      </c>
      <c r="BA669" s="94"/>
      <c r="BB669" s="158"/>
      <c r="BC669" s="69"/>
      <c r="BD669" s="218">
        <v>12</v>
      </c>
      <c r="BE669" s="218"/>
      <c r="BF669" s="271">
        <v>2019</v>
      </c>
      <c r="BG669" s="271">
        <v>2019</v>
      </c>
      <c r="BH669" s="271"/>
      <c r="BI669" s="271" t="s">
        <v>2375</v>
      </c>
    </row>
    <row r="670" spans="1:61" s="204" customFormat="1" ht="18" customHeight="1">
      <c r="A670" s="230" t="s">
        <v>511</v>
      </c>
      <c r="B670" s="58" t="s">
        <v>523</v>
      </c>
      <c r="C670" s="58" t="s">
        <v>1213</v>
      </c>
      <c r="D670" s="33" t="s">
        <v>30</v>
      </c>
      <c r="E670" s="33"/>
      <c r="F670" s="33"/>
      <c r="G670" s="33"/>
      <c r="H670" s="30" t="s">
        <v>1116</v>
      </c>
      <c r="I670" s="30">
        <v>321</v>
      </c>
      <c r="J670" s="212">
        <v>43405</v>
      </c>
      <c r="K670" s="94">
        <v>44</v>
      </c>
      <c r="L670" s="94">
        <v>44</v>
      </c>
      <c r="M670" s="94"/>
      <c r="N670" s="51"/>
      <c r="O670" s="94"/>
      <c r="P670" s="94">
        <v>2896405339</v>
      </c>
      <c r="Q670" s="94"/>
      <c r="R670" s="158"/>
      <c r="S670" s="94"/>
      <c r="T670" s="94"/>
      <c r="U670" s="94">
        <v>1281754395</v>
      </c>
      <c r="V670" s="94">
        <v>10</v>
      </c>
      <c r="W670" s="311">
        <v>43405</v>
      </c>
      <c r="X670" s="311"/>
      <c r="Y670" s="311"/>
      <c r="Z670" s="94">
        <v>1614650944</v>
      </c>
      <c r="AA670" s="214">
        <v>10</v>
      </c>
      <c r="AB670" s="311">
        <v>43586</v>
      </c>
      <c r="AC670" s="329"/>
      <c r="AD670" s="279"/>
      <c r="AE670" s="158"/>
      <c r="AF670" s="158">
        <f t="shared" si="184"/>
        <v>0</v>
      </c>
      <c r="AG670" s="158"/>
      <c r="AH670" s="94">
        <v>0</v>
      </c>
      <c r="AI670" s="94">
        <v>0</v>
      </c>
      <c r="AJ670" s="94"/>
      <c r="AK670" s="158">
        <f t="shared" si="186"/>
        <v>0</v>
      </c>
      <c r="AL670" s="158">
        <v>877</v>
      </c>
      <c r="AM670" s="158">
        <v>10</v>
      </c>
      <c r="AN670" s="158"/>
      <c r="AO670" s="158"/>
      <c r="AP670" s="158"/>
      <c r="AQ670" s="158"/>
      <c r="AR670" s="158"/>
      <c r="AS670" s="158"/>
      <c r="AT670" s="2">
        <v>1</v>
      </c>
      <c r="AU670" s="58" t="s">
        <v>646</v>
      </c>
      <c r="AV670" s="386"/>
      <c r="AW670" s="51"/>
      <c r="AX670" s="158"/>
      <c r="AY670" s="158"/>
      <c r="AZ670" s="158">
        <v>44</v>
      </c>
      <c r="BA670" s="158"/>
      <c r="BB670" s="158"/>
      <c r="BC670" s="69"/>
      <c r="BD670" s="69">
        <v>44</v>
      </c>
      <c r="BE670" s="69"/>
      <c r="BF670" s="271">
        <v>2019</v>
      </c>
      <c r="BG670" s="271">
        <v>2019</v>
      </c>
      <c r="BH670" s="271"/>
      <c r="BI670" s="271" t="s">
        <v>2375</v>
      </c>
    </row>
    <row r="671" spans="1:61" s="204" customFormat="1" ht="18" customHeight="1">
      <c r="A671" s="160" t="s">
        <v>511</v>
      </c>
      <c r="B671" s="58" t="s">
        <v>1651</v>
      </c>
      <c r="C671" s="58" t="s">
        <v>1250</v>
      </c>
      <c r="D671" s="33" t="s">
        <v>7</v>
      </c>
      <c r="E671" s="33"/>
      <c r="F671" s="33"/>
      <c r="G671" s="33"/>
      <c r="H671" s="30" t="s">
        <v>1232</v>
      </c>
      <c r="I671" s="30">
        <v>521</v>
      </c>
      <c r="J671" s="212">
        <v>43544</v>
      </c>
      <c r="K671" s="94"/>
      <c r="L671" s="94"/>
      <c r="M671" s="94">
        <f>64-1</f>
        <v>63</v>
      </c>
      <c r="N671" s="51">
        <v>63</v>
      </c>
      <c r="O671" s="94"/>
      <c r="P671" s="94">
        <f>5098438720-79663104</f>
        <v>5018775616</v>
      </c>
      <c r="Q671" s="94"/>
      <c r="R671" s="158"/>
      <c r="S671" s="94"/>
      <c r="T671" s="94"/>
      <c r="U671" s="94">
        <v>2705967882</v>
      </c>
      <c r="V671" s="94">
        <v>10</v>
      </c>
      <c r="W671" s="311">
        <v>43617</v>
      </c>
      <c r="X671" s="311"/>
      <c r="Y671" s="311"/>
      <c r="Z671" s="94">
        <v>2312807734</v>
      </c>
      <c r="AA671" s="218">
        <v>20</v>
      </c>
      <c r="AB671" s="311">
        <v>43770</v>
      </c>
      <c r="AC671" s="577"/>
      <c r="AD671" s="218"/>
      <c r="AE671" s="158"/>
      <c r="AF671" s="158">
        <f t="shared" si="184"/>
        <v>0</v>
      </c>
      <c r="AG671" s="158"/>
      <c r="AH671" s="94">
        <v>0</v>
      </c>
      <c r="AI671" s="94">
        <v>0</v>
      </c>
      <c r="AJ671" s="94"/>
      <c r="AK671" s="158">
        <f t="shared" ref="AK671:AK680" si="187">P671-R671-U671-Z671</f>
        <v>0</v>
      </c>
      <c r="AL671" s="158">
        <v>877</v>
      </c>
      <c r="AM671" s="158">
        <v>20</v>
      </c>
      <c r="AN671" s="158"/>
      <c r="AO671" s="158"/>
      <c r="AP671" s="158">
        <v>63</v>
      </c>
      <c r="AQ671" s="158"/>
      <c r="AR671" s="158"/>
      <c r="AS671" s="158"/>
      <c r="AT671" s="2">
        <v>1</v>
      </c>
      <c r="AU671" s="58" t="s">
        <v>646</v>
      </c>
      <c r="AV671" s="386"/>
      <c r="AW671" s="51"/>
      <c r="AX671" s="158"/>
      <c r="AY671" s="158"/>
      <c r="AZ671" s="158"/>
      <c r="BA671" s="158">
        <v>63</v>
      </c>
      <c r="BB671" s="158"/>
      <c r="BC671" s="158"/>
      <c r="BD671" s="158">
        <v>63</v>
      </c>
      <c r="BE671" s="69"/>
      <c r="BF671" s="271">
        <v>2020</v>
      </c>
      <c r="BG671" s="271">
        <v>2019</v>
      </c>
      <c r="BH671" s="430">
        <v>2020</v>
      </c>
      <c r="BI671" s="271" t="s">
        <v>2375</v>
      </c>
    </row>
    <row r="672" spans="1:61" s="204" customFormat="1" ht="18" customHeight="1">
      <c r="A672" s="160" t="s">
        <v>511</v>
      </c>
      <c r="B672" s="58" t="s">
        <v>1651</v>
      </c>
      <c r="C672" s="58" t="s">
        <v>1250</v>
      </c>
      <c r="D672" s="33" t="s">
        <v>7</v>
      </c>
      <c r="E672" s="33"/>
      <c r="F672" s="33"/>
      <c r="G672" s="33"/>
      <c r="H672" s="30" t="s">
        <v>1232</v>
      </c>
      <c r="I672" s="30">
        <v>521</v>
      </c>
      <c r="J672" s="212">
        <v>43544</v>
      </c>
      <c r="K672" s="94"/>
      <c r="L672" s="94"/>
      <c r="M672" s="94">
        <v>1</v>
      </c>
      <c r="N672" s="51">
        <v>1</v>
      </c>
      <c r="O672" s="94"/>
      <c r="P672" s="94">
        <v>79663104</v>
      </c>
      <c r="Q672" s="94"/>
      <c r="R672" s="158"/>
      <c r="S672" s="94"/>
      <c r="T672" s="94"/>
      <c r="U672" s="94">
        <v>42965578</v>
      </c>
      <c r="V672" s="94">
        <v>10</v>
      </c>
      <c r="W672" s="311">
        <v>43888</v>
      </c>
      <c r="X672" s="311"/>
      <c r="Y672" s="311"/>
      <c r="Z672" s="94"/>
      <c r="AA672" s="218"/>
      <c r="AB672" s="218"/>
      <c r="AC672" s="218"/>
      <c r="AD672" s="218"/>
      <c r="AE672" s="158"/>
      <c r="AF672" s="158">
        <f>P672</f>
        <v>79663104</v>
      </c>
      <c r="AG672" s="158"/>
      <c r="AH672" s="94">
        <v>0</v>
      </c>
      <c r="AI672" s="94">
        <v>79663104</v>
      </c>
      <c r="AJ672" s="94"/>
      <c r="AK672" s="602">
        <f t="shared" si="187"/>
        <v>36697526</v>
      </c>
      <c r="AL672" s="72">
        <v>877</v>
      </c>
      <c r="AM672" s="72">
        <v>10</v>
      </c>
      <c r="AN672" s="158"/>
      <c r="AO672" s="158"/>
      <c r="AP672" s="158">
        <v>1</v>
      </c>
      <c r="AQ672" s="158"/>
      <c r="AR672" s="158"/>
      <c r="AS672" s="158"/>
      <c r="AT672" s="2">
        <v>1</v>
      </c>
      <c r="AU672" s="58" t="s">
        <v>646</v>
      </c>
      <c r="AV672" s="386"/>
      <c r="AW672" s="51"/>
      <c r="AX672" s="158"/>
      <c r="AY672" s="158"/>
      <c r="AZ672" s="158"/>
      <c r="BA672" s="158">
        <v>1</v>
      </c>
      <c r="BB672" s="158"/>
      <c r="BC672" s="158"/>
      <c r="BD672" s="158">
        <v>1</v>
      </c>
      <c r="BE672" s="69"/>
      <c r="BF672" s="271">
        <v>2020</v>
      </c>
      <c r="BG672" s="271">
        <v>2019</v>
      </c>
      <c r="BH672" s="430">
        <v>2020</v>
      </c>
      <c r="BI672" s="430" t="s">
        <v>2375</v>
      </c>
    </row>
    <row r="673" spans="1:61" s="204" customFormat="1" ht="18" customHeight="1">
      <c r="A673" s="243" t="s">
        <v>511</v>
      </c>
      <c r="B673" s="58" t="s">
        <v>1023</v>
      </c>
      <c r="C673" s="246" t="s">
        <v>1345</v>
      </c>
      <c r="D673" s="33" t="s">
        <v>157</v>
      </c>
      <c r="E673" s="33"/>
      <c r="F673" s="33"/>
      <c r="G673" s="33"/>
      <c r="H673" s="30" t="s">
        <v>1232</v>
      </c>
      <c r="I673" s="30">
        <v>487</v>
      </c>
      <c r="J673" s="212">
        <v>43539</v>
      </c>
      <c r="K673" s="94"/>
      <c r="L673" s="94"/>
      <c r="M673" s="94">
        <v>5</v>
      </c>
      <c r="N673" s="51">
        <v>5</v>
      </c>
      <c r="O673" s="94"/>
      <c r="P673" s="94">
        <v>342395126</v>
      </c>
      <c r="Q673" s="94"/>
      <c r="R673" s="158"/>
      <c r="S673" s="94"/>
      <c r="T673" s="94"/>
      <c r="U673" s="94">
        <v>178080962</v>
      </c>
      <c r="V673" s="94">
        <v>10</v>
      </c>
      <c r="W673" s="311">
        <v>43586</v>
      </c>
      <c r="X673" s="311"/>
      <c r="Y673" s="311"/>
      <c r="Z673" s="94">
        <v>164314164</v>
      </c>
      <c r="AA673" s="94">
        <v>20</v>
      </c>
      <c r="AB673" s="311">
        <v>43709</v>
      </c>
      <c r="AC673" s="584"/>
      <c r="AD673" s="252"/>
      <c r="AE673" s="158"/>
      <c r="AF673" s="158">
        <f t="shared" si="184"/>
        <v>0</v>
      </c>
      <c r="AG673" s="158"/>
      <c r="AH673" s="158">
        <f>P673-U673-Z673</f>
        <v>0</v>
      </c>
      <c r="AI673" s="158">
        <v>0</v>
      </c>
      <c r="AJ673" s="158"/>
      <c r="AK673" s="158">
        <f t="shared" si="187"/>
        <v>0</v>
      </c>
      <c r="AL673" s="158">
        <v>877</v>
      </c>
      <c r="AM673" s="158">
        <v>20</v>
      </c>
      <c r="AN673" s="158"/>
      <c r="AO673" s="158"/>
      <c r="AP673" s="158">
        <v>5</v>
      </c>
      <c r="AQ673" s="158"/>
      <c r="AR673" s="158"/>
      <c r="AS673" s="158"/>
      <c r="AT673" s="56">
        <v>1</v>
      </c>
      <c r="AU673" s="58" t="s">
        <v>646</v>
      </c>
      <c r="AV673" s="386"/>
      <c r="AW673" s="51"/>
      <c r="AX673" s="158"/>
      <c r="AY673" s="158"/>
      <c r="AZ673" s="158"/>
      <c r="BA673" s="158">
        <v>5</v>
      </c>
      <c r="BB673" s="158"/>
      <c r="BC673" s="69"/>
      <c r="BD673" s="69">
        <v>5</v>
      </c>
      <c r="BE673" s="69"/>
      <c r="BF673" s="271">
        <v>2020</v>
      </c>
      <c r="BG673" s="271">
        <v>2019</v>
      </c>
      <c r="BH673" s="430">
        <v>2020</v>
      </c>
      <c r="BI673" s="271" t="s">
        <v>2375</v>
      </c>
    </row>
    <row r="674" spans="1:61" s="204" customFormat="1" ht="18" customHeight="1">
      <c r="A674" s="160" t="s">
        <v>511</v>
      </c>
      <c r="B674" s="58" t="s">
        <v>1023</v>
      </c>
      <c r="C674" s="58" t="s">
        <v>1346</v>
      </c>
      <c r="D674" s="33" t="s">
        <v>157</v>
      </c>
      <c r="E674" s="33"/>
      <c r="F674" s="33"/>
      <c r="G674" s="33"/>
      <c r="H674" s="30" t="s">
        <v>1232</v>
      </c>
      <c r="I674" s="30">
        <v>491</v>
      </c>
      <c r="J674" s="212">
        <v>43539</v>
      </c>
      <c r="K674" s="94"/>
      <c r="L674" s="94"/>
      <c r="M674" s="94">
        <f>22-1</f>
        <v>21</v>
      </c>
      <c r="N674" s="51">
        <v>21</v>
      </c>
      <c r="O674" s="94"/>
      <c r="P674" s="94">
        <f>1545232529-70237842</f>
        <v>1474994687</v>
      </c>
      <c r="Q674" s="94"/>
      <c r="R674" s="158"/>
      <c r="S674" s="94"/>
      <c r="T674" s="94"/>
      <c r="U674" s="94">
        <v>772079709</v>
      </c>
      <c r="V674" s="94">
        <v>10</v>
      </c>
      <c r="W674" s="311">
        <v>43556</v>
      </c>
      <c r="X674" s="311"/>
      <c r="Y674" s="311"/>
      <c r="Z674" s="94">
        <v>702914978</v>
      </c>
      <c r="AA674" s="218">
        <v>20</v>
      </c>
      <c r="AB674" s="311">
        <v>43739</v>
      </c>
      <c r="AC674" s="577"/>
      <c r="AD674" s="218"/>
      <c r="AE674" s="158"/>
      <c r="AF674" s="158">
        <f t="shared" si="184"/>
        <v>0</v>
      </c>
      <c r="AG674" s="158"/>
      <c r="AH674" s="158">
        <f>P674-U674-Z674</f>
        <v>0</v>
      </c>
      <c r="AI674" s="158">
        <v>0</v>
      </c>
      <c r="AJ674" s="158"/>
      <c r="AK674" s="158">
        <f t="shared" si="187"/>
        <v>0</v>
      </c>
      <c r="AL674" s="158">
        <v>877</v>
      </c>
      <c r="AM674" s="158">
        <v>20</v>
      </c>
      <c r="AN674" s="158"/>
      <c r="AO674" s="158"/>
      <c r="AP674" s="158">
        <v>21</v>
      </c>
      <c r="AQ674" s="158"/>
      <c r="AR674" s="158"/>
      <c r="AS674" s="158"/>
      <c r="AT674" s="56">
        <v>1</v>
      </c>
      <c r="AU674" s="58" t="s">
        <v>646</v>
      </c>
      <c r="AV674" s="386"/>
      <c r="AW674" s="51"/>
      <c r="AX674" s="158"/>
      <c r="AY674" s="158"/>
      <c r="AZ674" s="158"/>
      <c r="BA674" s="158">
        <v>21</v>
      </c>
      <c r="BB674" s="158"/>
      <c r="BC674" s="69"/>
      <c r="BD674" s="69">
        <v>21</v>
      </c>
      <c r="BE674" s="69"/>
      <c r="BF674" s="271">
        <v>2020</v>
      </c>
      <c r="BG674" s="271">
        <v>2019</v>
      </c>
      <c r="BH674" s="430">
        <v>2020</v>
      </c>
      <c r="BI674" s="271" t="s">
        <v>2375</v>
      </c>
    </row>
    <row r="675" spans="1:61" s="204" customFormat="1" ht="18" customHeight="1">
      <c r="A675" s="160" t="s">
        <v>511</v>
      </c>
      <c r="B675" s="58" t="s">
        <v>1023</v>
      </c>
      <c r="C675" s="58" t="s">
        <v>1346</v>
      </c>
      <c r="D675" s="33" t="s">
        <v>157</v>
      </c>
      <c r="E675" s="33"/>
      <c r="F675" s="33"/>
      <c r="G675" s="33"/>
      <c r="H675" s="30" t="s">
        <v>1232</v>
      </c>
      <c r="I675" s="30">
        <v>491</v>
      </c>
      <c r="J675" s="212">
        <v>43539</v>
      </c>
      <c r="K675" s="94"/>
      <c r="L675" s="94"/>
      <c r="M675" s="94">
        <v>1</v>
      </c>
      <c r="N675" s="51">
        <v>1</v>
      </c>
      <c r="O675" s="94"/>
      <c r="P675" s="94">
        <v>70237842</v>
      </c>
      <c r="Q675" s="94"/>
      <c r="R675" s="158"/>
      <c r="S675" s="94"/>
      <c r="T675" s="94"/>
      <c r="U675" s="94"/>
      <c r="V675" s="94"/>
      <c r="W675" s="311"/>
      <c r="X675" s="311"/>
      <c r="Y675" s="311"/>
      <c r="Z675" s="94"/>
      <c r="AA675" s="218"/>
      <c r="AB675" s="218"/>
      <c r="AC675" s="218"/>
      <c r="AD675" s="218"/>
      <c r="AE675" s="158"/>
      <c r="AF675" s="158">
        <f t="shared" si="184"/>
        <v>70237842</v>
      </c>
      <c r="AG675" s="158"/>
      <c r="AH675" s="94">
        <v>0</v>
      </c>
      <c r="AI675" s="94">
        <v>70237842</v>
      </c>
      <c r="AJ675" s="94"/>
      <c r="AK675" s="602">
        <f t="shared" si="187"/>
        <v>70237842</v>
      </c>
      <c r="AL675" s="72">
        <v>877</v>
      </c>
      <c r="AM675" s="72">
        <v>10</v>
      </c>
      <c r="AN675" s="158">
        <v>1</v>
      </c>
      <c r="AO675" s="158"/>
      <c r="AP675" s="158"/>
      <c r="AQ675" s="158"/>
      <c r="AR675" s="158"/>
      <c r="AS675" s="158"/>
      <c r="AT675" s="2">
        <v>0</v>
      </c>
      <c r="AU675" s="58" t="s">
        <v>521</v>
      </c>
      <c r="AV675" s="386"/>
      <c r="AW675" s="51"/>
      <c r="AX675" s="158"/>
      <c r="AY675" s="158"/>
      <c r="AZ675" s="158"/>
      <c r="BA675" s="158"/>
      <c r="BB675" s="158"/>
      <c r="BC675" s="69"/>
      <c r="BD675" s="69"/>
      <c r="BE675" s="69"/>
      <c r="BF675" s="271"/>
      <c r="BG675" s="271">
        <v>2019</v>
      </c>
      <c r="BH675" s="271">
        <v>2020</v>
      </c>
      <c r="BI675" s="271" t="s">
        <v>2375</v>
      </c>
    </row>
    <row r="676" spans="1:61" s="204" customFormat="1" ht="18" customHeight="1">
      <c r="A676" s="160" t="s">
        <v>511</v>
      </c>
      <c r="B676" s="58" t="s">
        <v>288</v>
      </c>
      <c r="C676" s="58" t="s">
        <v>1589</v>
      </c>
      <c r="D676" s="33" t="s">
        <v>287</v>
      </c>
      <c r="E676" s="33"/>
      <c r="F676" s="33"/>
      <c r="G676" s="33"/>
      <c r="H676" s="30" t="s">
        <v>1553</v>
      </c>
      <c r="I676" s="30">
        <v>1649</v>
      </c>
      <c r="J676" s="212">
        <v>43728</v>
      </c>
      <c r="K676" s="94"/>
      <c r="L676" s="94"/>
      <c r="M676" s="94">
        <v>17</v>
      </c>
      <c r="N676" s="51">
        <v>17</v>
      </c>
      <c r="O676" s="94"/>
      <c r="P676" s="94">
        <v>1237265038</v>
      </c>
      <c r="Q676" s="94"/>
      <c r="R676" s="158"/>
      <c r="S676" s="94"/>
      <c r="T676" s="94"/>
      <c r="U676" s="94">
        <v>675992790</v>
      </c>
      <c r="V676" s="94">
        <v>20</v>
      </c>
      <c r="W676" s="311">
        <v>43739</v>
      </c>
      <c r="X676" s="311"/>
      <c r="Y676" s="311"/>
      <c r="Z676" s="94">
        <v>561272248</v>
      </c>
      <c r="AA676" s="218">
        <v>20</v>
      </c>
      <c r="AB676" s="311">
        <v>43861</v>
      </c>
      <c r="AC676" s="582"/>
      <c r="AD676" s="283"/>
      <c r="AE676" s="158"/>
      <c r="AF676" s="158">
        <f t="shared" ref="AF676:AF679" si="188">P676-R676-U676</f>
        <v>561272248</v>
      </c>
      <c r="AG676" s="158"/>
      <c r="AH676" s="158">
        <f>P676-U676-Z676</f>
        <v>0</v>
      </c>
      <c r="AI676" s="158">
        <v>561272248</v>
      </c>
      <c r="AJ676" s="158"/>
      <c r="AK676" s="666">
        <f t="shared" si="187"/>
        <v>0</v>
      </c>
      <c r="AL676" s="666">
        <v>877</v>
      </c>
      <c r="AM676" s="666">
        <v>20</v>
      </c>
      <c r="AN676" s="158"/>
      <c r="AO676" s="158"/>
      <c r="AP676" s="158">
        <v>17</v>
      </c>
      <c r="AQ676" s="158"/>
      <c r="AR676" s="158"/>
      <c r="AS676" s="158"/>
      <c r="AT676" s="2">
        <v>1</v>
      </c>
      <c r="AU676" s="58" t="s">
        <v>646</v>
      </c>
      <c r="AV676" s="386"/>
      <c r="AW676" s="51"/>
      <c r="AX676" s="158"/>
      <c r="AY676" s="158"/>
      <c r="AZ676" s="158"/>
      <c r="BA676" s="158">
        <v>17</v>
      </c>
      <c r="BB676" s="158"/>
      <c r="BC676" s="158"/>
      <c r="BD676" s="158">
        <v>17</v>
      </c>
      <c r="BE676" s="69"/>
      <c r="BF676" s="271">
        <v>2020</v>
      </c>
      <c r="BG676" s="271">
        <v>2019</v>
      </c>
      <c r="BH676" s="430">
        <v>2020</v>
      </c>
      <c r="BI676" s="271" t="s">
        <v>2375</v>
      </c>
    </row>
    <row r="677" spans="1:61" s="204" customFormat="1" ht="18" customHeight="1">
      <c r="A677" s="160" t="s">
        <v>511</v>
      </c>
      <c r="B677" s="58" t="s">
        <v>1594</v>
      </c>
      <c r="C677" s="58" t="s">
        <v>1590</v>
      </c>
      <c r="D677" s="33" t="s">
        <v>1593</v>
      </c>
      <c r="E677" s="33"/>
      <c r="F677" s="33"/>
      <c r="G677" s="33"/>
      <c r="H677" s="30" t="s">
        <v>1553</v>
      </c>
      <c r="I677" s="30">
        <v>1653</v>
      </c>
      <c r="J677" s="212">
        <v>43728</v>
      </c>
      <c r="K677" s="94"/>
      <c r="L677" s="94"/>
      <c r="M677" s="94">
        <v>13</v>
      </c>
      <c r="N677" s="81">
        <v>13</v>
      </c>
      <c r="O677" s="94"/>
      <c r="P677" s="94">
        <v>947813871</v>
      </c>
      <c r="Q677" s="94"/>
      <c r="R677" s="158"/>
      <c r="S677" s="94"/>
      <c r="T677" s="94"/>
      <c r="U677" s="94">
        <v>516185647</v>
      </c>
      <c r="V677" s="94">
        <v>20</v>
      </c>
      <c r="W677" s="311">
        <v>43739</v>
      </c>
      <c r="X677" s="311"/>
      <c r="Y677" s="311"/>
      <c r="Z677" s="94">
        <v>431628224</v>
      </c>
      <c r="AA677" s="218">
        <v>20</v>
      </c>
      <c r="AB677" s="311">
        <v>43889</v>
      </c>
      <c r="AC677" s="582"/>
      <c r="AD677" s="283"/>
      <c r="AE677" s="158"/>
      <c r="AF677" s="158">
        <f t="shared" si="188"/>
        <v>431628224</v>
      </c>
      <c r="AG677" s="158"/>
      <c r="AH677" s="158">
        <f>P677-U677-Z677</f>
        <v>0</v>
      </c>
      <c r="AI677" s="158">
        <v>431628224</v>
      </c>
      <c r="AJ677" s="158"/>
      <c r="AK677" s="666">
        <f t="shared" si="187"/>
        <v>0</v>
      </c>
      <c r="AL677" s="666">
        <v>877</v>
      </c>
      <c r="AM677" s="666">
        <v>20</v>
      </c>
      <c r="AN677" s="158"/>
      <c r="AO677" s="158"/>
      <c r="AP677" s="158">
        <v>13</v>
      </c>
      <c r="AQ677" s="158"/>
      <c r="AR677" s="158"/>
      <c r="AS677" s="158"/>
      <c r="AT677" s="2">
        <v>1</v>
      </c>
      <c r="AU677" s="58" t="s">
        <v>646</v>
      </c>
      <c r="AV677" s="386"/>
      <c r="AW677" s="51"/>
      <c r="AX677" s="158"/>
      <c r="AY677" s="158"/>
      <c r="AZ677" s="158"/>
      <c r="BA677" s="158">
        <v>13</v>
      </c>
      <c r="BB677" s="158"/>
      <c r="BC677" s="69"/>
      <c r="BD677" s="69">
        <v>13</v>
      </c>
      <c r="BE677" s="69"/>
      <c r="BF677" s="271">
        <v>2020</v>
      </c>
      <c r="BG677" s="271">
        <v>2019</v>
      </c>
      <c r="BH677" s="430">
        <v>2020</v>
      </c>
      <c r="BI677" s="271" t="s">
        <v>2375</v>
      </c>
    </row>
    <row r="678" spans="1:61" s="204" customFormat="1" ht="27" customHeight="1">
      <c r="A678" s="160" t="s">
        <v>511</v>
      </c>
      <c r="B678" s="58" t="s">
        <v>1595</v>
      </c>
      <c r="C678" s="88" t="s">
        <v>2415</v>
      </c>
      <c r="D678" s="33" t="s">
        <v>1078</v>
      </c>
      <c r="E678" s="33"/>
      <c r="F678" s="33"/>
      <c r="G678" s="33"/>
      <c r="H678" s="30" t="s">
        <v>1553</v>
      </c>
      <c r="I678" s="115" t="s">
        <v>2186</v>
      </c>
      <c r="J678" s="212">
        <v>43728</v>
      </c>
      <c r="K678" s="94"/>
      <c r="L678" s="94"/>
      <c r="M678" s="94">
        <v>40</v>
      </c>
      <c r="N678" s="51">
        <v>40</v>
      </c>
      <c r="O678" s="94"/>
      <c r="P678" s="94">
        <f>3449996934-119942934</f>
        <v>3330054000</v>
      </c>
      <c r="Q678" s="94"/>
      <c r="R678" s="158"/>
      <c r="S678" s="94"/>
      <c r="T678" s="158"/>
      <c r="U678" s="94">
        <v>1830631000</v>
      </c>
      <c r="V678" s="94">
        <v>20</v>
      </c>
      <c r="W678" s="311">
        <v>43770</v>
      </c>
      <c r="X678" s="311"/>
      <c r="Y678" s="311"/>
      <c r="Z678" s="94">
        <v>1499423000</v>
      </c>
      <c r="AA678" s="218">
        <v>20</v>
      </c>
      <c r="AB678" s="311">
        <v>43920</v>
      </c>
      <c r="AC678" s="582"/>
      <c r="AD678" s="283"/>
      <c r="AE678" s="158"/>
      <c r="AF678" s="158">
        <f t="shared" si="188"/>
        <v>1499423000</v>
      </c>
      <c r="AG678" s="158"/>
      <c r="AH678" s="158">
        <f>P678-U678-Z678</f>
        <v>0</v>
      </c>
      <c r="AI678" s="158">
        <v>1499423000</v>
      </c>
      <c r="AJ678" s="158"/>
      <c r="AK678" s="666">
        <f t="shared" si="187"/>
        <v>0</v>
      </c>
      <c r="AL678" s="666">
        <v>877</v>
      </c>
      <c r="AM678" s="666">
        <v>20</v>
      </c>
      <c r="AN678" s="158"/>
      <c r="AO678" s="158">
        <v>40</v>
      </c>
      <c r="AP678" s="158"/>
      <c r="AQ678" s="158"/>
      <c r="AR678" s="158"/>
      <c r="AS678" s="158"/>
      <c r="AT678" s="2">
        <v>0.5625</v>
      </c>
      <c r="AU678" s="58" t="s">
        <v>38</v>
      </c>
      <c r="AV678" s="386"/>
      <c r="AW678" s="51"/>
      <c r="AX678" s="158"/>
      <c r="AY678" s="158"/>
      <c r="AZ678" s="158"/>
      <c r="BA678" s="158"/>
      <c r="BB678" s="158"/>
      <c r="BC678" s="69"/>
      <c r="BD678" s="69"/>
      <c r="BE678" s="69"/>
      <c r="BF678" s="271"/>
      <c r="BG678" s="271">
        <v>2019</v>
      </c>
      <c r="BH678" s="430">
        <v>2020</v>
      </c>
      <c r="BI678" s="271" t="s">
        <v>2375</v>
      </c>
    </row>
    <row r="679" spans="1:61" s="204" customFormat="1" ht="18" customHeight="1">
      <c r="A679" s="160" t="s">
        <v>511</v>
      </c>
      <c r="B679" s="58" t="s">
        <v>523</v>
      </c>
      <c r="C679" s="58" t="s">
        <v>1592</v>
      </c>
      <c r="D679" s="33" t="s">
        <v>1596</v>
      </c>
      <c r="E679" s="33"/>
      <c r="F679" s="33"/>
      <c r="G679" s="33"/>
      <c r="H679" s="30" t="s">
        <v>1553</v>
      </c>
      <c r="I679" s="30">
        <v>1647</v>
      </c>
      <c r="J679" s="212">
        <v>43728</v>
      </c>
      <c r="K679" s="94"/>
      <c r="L679" s="94"/>
      <c r="M679" s="94">
        <v>53</v>
      </c>
      <c r="N679" s="51">
        <v>53</v>
      </c>
      <c r="O679" s="94"/>
      <c r="P679" s="94">
        <v>3730349830</v>
      </c>
      <c r="Q679" s="94"/>
      <c r="R679" s="158"/>
      <c r="S679" s="94"/>
      <c r="T679" s="94"/>
      <c r="U679" s="94">
        <v>2022242277</v>
      </c>
      <c r="V679" s="94">
        <v>20</v>
      </c>
      <c r="W679" s="311">
        <v>43739</v>
      </c>
      <c r="X679" s="311"/>
      <c r="Y679" s="311"/>
      <c r="Z679" s="94">
        <v>1708107553</v>
      </c>
      <c r="AA679" s="218">
        <v>20</v>
      </c>
      <c r="AB679" s="311">
        <v>43889</v>
      </c>
      <c r="AC679" s="582"/>
      <c r="AD679" s="283"/>
      <c r="AE679" s="158"/>
      <c r="AF679" s="158">
        <f t="shared" si="188"/>
        <v>1708107553</v>
      </c>
      <c r="AG679" s="158"/>
      <c r="AH679" s="158">
        <f>P679-U679-Z679</f>
        <v>0</v>
      </c>
      <c r="AI679" s="158">
        <v>1708107553</v>
      </c>
      <c r="AJ679" s="158"/>
      <c r="AK679" s="666">
        <f t="shared" si="187"/>
        <v>0</v>
      </c>
      <c r="AL679" s="666">
        <v>877</v>
      </c>
      <c r="AM679" s="666">
        <v>20</v>
      </c>
      <c r="AN679" s="158"/>
      <c r="AO679" s="158">
        <v>53</v>
      </c>
      <c r="AP679" s="158"/>
      <c r="AQ679" s="158"/>
      <c r="AR679" s="158"/>
      <c r="AS679" s="158"/>
      <c r="AT679" s="2">
        <v>0.77229999999999999</v>
      </c>
      <c r="AU679" s="58" t="s">
        <v>38</v>
      </c>
      <c r="AV679" s="386"/>
      <c r="AW679" s="51"/>
      <c r="AX679" s="158"/>
      <c r="AY679" s="158"/>
      <c r="AZ679" s="158"/>
      <c r="BA679" s="158"/>
      <c r="BB679" s="158"/>
      <c r="BC679" s="69"/>
      <c r="BD679" s="69"/>
      <c r="BE679" s="69"/>
      <c r="BF679" s="271"/>
      <c r="BG679" s="271">
        <v>2019</v>
      </c>
      <c r="BH679" s="430">
        <v>2020</v>
      </c>
      <c r="BI679" s="271" t="s">
        <v>2375</v>
      </c>
    </row>
    <row r="680" spans="1:61" s="204" customFormat="1" ht="18" customHeight="1">
      <c r="A680" s="160" t="s">
        <v>511</v>
      </c>
      <c r="B680" s="58" t="s">
        <v>1381</v>
      </c>
      <c r="C680" s="58" t="s">
        <v>2399</v>
      </c>
      <c r="D680" s="33" t="s">
        <v>1926</v>
      </c>
      <c r="E680" s="660"/>
      <c r="F680" s="78">
        <v>4</v>
      </c>
      <c r="G680" s="660"/>
      <c r="H680" s="30" t="s">
        <v>2398</v>
      </c>
      <c r="I680" s="30">
        <v>743</v>
      </c>
      <c r="J680" s="212">
        <v>44008</v>
      </c>
      <c r="K680" s="225"/>
      <c r="L680" s="225"/>
      <c r="M680" s="225"/>
      <c r="N680" s="227"/>
      <c r="O680" s="225">
        <v>45</v>
      </c>
      <c r="P680" s="225">
        <f>1785962130+1495073096</f>
        <v>3281035226</v>
      </c>
      <c r="Q680" s="225"/>
      <c r="R680" s="158"/>
      <c r="S680" s="225"/>
      <c r="T680" s="225"/>
      <c r="U680" s="94">
        <v>1785962130</v>
      </c>
      <c r="V680" s="225">
        <v>20</v>
      </c>
      <c r="W680" s="311">
        <v>44012</v>
      </c>
      <c r="X680" s="460"/>
      <c r="Y680" s="460"/>
      <c r="Z680" s="225"/>
      <c r="AA680" s="521"/>
      <c r="AB680" s="460"/>
      <c r="AC680" s="708"/>
      <c r="AD680" s="686"/>
      <c r="AE680" s="61"/>
      <c r="AF680" s="61"/>
      <c r="AG680" s="61">
        <v>20</v>
      </c>
      <c r="AH680" s="61"/>
      <c r="AI680" s="61">
        <v>3281035226</v>
      </c>
      <c r="AJ680" s="61">
        <v>20</v>
      </c>
      <c r="AK680" s="666">
        <f t="shared" si="187"/>
        <v>1495073096</v>
      </c>
      <c r="AL680" s="666">
        <v>877</v>
      </c>
      <c r="AM680" s="666">
        <v>20</v>
      </c>
      <c r="AN680" s="61">
        <v>45</v>
      </c>
      <c r="AO680" s="61"/>
      <c r="AP680" s="61"/>
      <c r="AQ680" s="61"/>
      <c r="AR680" s="61"/>
      <c r="AS680" s="61"/>
      <c r="AT680" s="2">
        <v>0</v>
      </c>
      <c r="AU680" s="58" t="s">
        <v>521</v>
      </c>
      <c r="AV680" s="687"/>
      <c r="AW680" s="60"/>
      <c r="AX680" s="61"/>
      <c r="AY680" s="61"/>
      <c r="AZ680" s="61"/>
      <c r="BA680" s="61"/>
      <c r="BB680" s="61"/>
      <c r="BC680" s="461"/>
      <c r="BD680" s="158"/>
      <c r="BE680" s="158"/>
      <c r="BF680" s="271"/>
      <c r="BG680" s="464"/>
      <c r="BH680" s="430">
        <v>2020</v>
      </c>
      <c r="BI680" s="271" t="s">
        <v>2375</v>
      </c>
    </row>
    <row r="681" spans="1:61" ht="22.5" customHeight="1">
      <c r="A681" s="371" t="s">
        <v>512</v>
      </c>
      <c r="B681" s="371"/>
      <c r="C681" s="371"/>
      <c r="D681" s="371"/>
      <c r="E681" s="371"/>
      <c r="F681" s="371"/>
      <c r="G681" s="371"/>
      <c r="H681" s="371"/>
      <c r="I681" s="371"/>
      <c r="J681" s="371"/>
      <c r="K681" s="371">
        <f>SUM(K682:K730)</f>
        <v>340</v>
      </c>
      <c r="L681" s="370">
        <f t="shared" ref="L681:M681" si="189">SUM(L682:L730)</f>
        <v>710</v>
      </c>
      <c r="M681" s="370">
        <f t="shared" si="189"/>
        <v>555</v>
      </c>
      <c r="N681" s="424">
        <f>SUM(N682:N732)</f>
        <v>710</v>
      </c>
      <c r="O681" s="424">
        <f>SUM(O682:O732)</f>
        <v>206</v>
      </c>
      <c r="P681" s="371"/>
      <c r="Q681" s="371"/>
      <c r="R681" s="371"/>
      <c r="S681" s="371"/>
      <c r="T681" s="371"/>
      <c r="U681" s="371"/>
      <c r="V681" s="371"/>
      <c r="W681" s="371"/>
      <c r="X681" s="371"/>
      <c r="Y681" s="371"/>
      <c r="Z681" s="371"/>
      <c r="AA681" s="371"/>
      <c r="AB681" s="371"/>
      <c r="AC681" s="371"/>
      <c r="AD681" s="371"/>
      <c r="AE681" s="371"/>
      <c r="AF681" s="371"/>
      <c r="AG681" s="371"/>
      <c r="AH681" s="371"/>
      <c r="AI681" s="371"/>
      <c r="AJ681" s="371"/>
      <c r="AK681" s="371"/>
      <c r="AL681" s="371"/>
      <c r="AM681" s="371"/>
      <c r="AN681" s="424">
        <f t="shared" ref="AN681:AS681" si="190">SUM(AN682:AN732)</f>
        <v>148</v>
      </c>
      <c r="AO681" s="424">
        <f t="shared" si="190"/>
        <v>288</v>
      </c>
      <c r="AP681" s="424">
        <f t="shared" si="190"/>
        <v>339</v>
      </c>
      <c r="AQ681" s="424">
        <f t="shared" si="190"/>
        <v>82</v>
      </c>
      <c r="AR681" s="424">
        <f t="shared" si="190"/>
        <v>58</v>
      </c>
      <c r="AS681" s="424">
        <f t="shared" si="190"/>
        <v>1</v>
      </c>
      <c r="AT681" s="371"/>
      <c r="AU681" s="371"/>
      <c r="AV681" s="385"/>
      <c r="AW681" s="424">
        <f t="shared" ref="AW681:BE681" si="191">SUM(AW682:AW732)</f>
        <v>32</v>
      </c>
      <c r="AX681" s="424">
        <f t="shared" si="191"/>
        <v>377</v>
      </c>
      <c r="AY681" s="424">
        <f t="shared" si="191"/>
        <v>496</v>
      </c>
      <c r="AZ681" s="424">
        <f t="shared" si="191"/>
        <v>409</v>
      </c>
      <c r="BA681" s="424">
        <f t="shared" si="191"/>
        <v>339</v>
      </c>
      <c r="BB681" s="424">
        <f t="shared" si="191"/>
        <v>357</v>
      </c>
      <c r="BC681" s="424">
        <f t="shared" si="191"/>
        <v>139</v>
      </c>
      <c r="BD681" s="424">
        <f t="shared" si="191"/>
        <v>887</v>
      </c>
      <c r="BE681" s="424">
        <f t="shared" si="191"/>
        <v>8</v>
      </c>
      <c r="BF681" s="371"/>
      <c r="BG681" s="371">
        <v>2019</v>
      </c>
      <c r="BH681" s="371">
        <v>2020</v>
      </c>
      <c r="BI681" s="434" t="s">
        <v>2419</v>
      </c>
    </row>
    <row r="682" spans="1:61" s="204" customFormat="1" ht="41.25" customHeight="1">
      <c r="A682" s="230" t="s">
        <v>512</v>
      </c>
      <c r="B682" s="58" t="s">
        <v>548</v>
      </c>
      <c r="C682" s="49" t="s">
        <v>293</v>
      </c>
      <c r="D682" s="33" t="s">
        <v>543</v>
      </c>
      <c r="E682" s="33"/>
      <c r="F682" s="33"/>
      <c r="G682" s="33"/>
      <c r="H682" s="30" t="s">
        <v>680</v>
      </c>
      <c r="I682" s="228" t="s">
        <v>2363</v>
      </c>
      <c r="J682" s="215" t="s">
        <v>2364</v>
      </c>
      <c r="K682" s="158"/>
      <c r="L682" s="158">
        <v>45</v>
      </c>
      <c r="M682" s="158"/>
      <c r="N682" s="158"/>
      <c r="O682" s="158"/>
      <c r="P682" s="158">
        <f>2629440026-214648165</f>
        <v>2414791861</v>
      </c>
      <c r="Q682" s="158"/>
      <c r="R682" s="158">
        <f>2629440026-214648165</f>
        <v>2414791861</v>
      </c>
      <c r="S682" s="158"/>
      <c r="T682" s="158"/>
      <c r="U682" s="94">
        <v>1011968447</v>
      </c>
      <c r="V682" s="158">
        <v>20</v>
      </c>
      <c r="W682" s="311"/>
      <c r="X682" s="311"/>
      <c r="Y682" s="311"/>
      <c r="Z682" s="94">
        <f>1402823414-117668492+117668492</f>
        <v>1402823414</v>
      </c>
      <c r="AA682" s="158">
        <v>20</v>
      </c>
      <c r="AB682" s="311">
        <v>44012</v>
      </c>
      <c r="AC682" s="5"/>
      <c r="AD682" s="5"/>
      <c r="AE682" s="158"/>
      <c r="AF682" s="158">
        <f>P682-U682-Z682</f>
        <v>0</v>
      </c>
      <c r="AG682" s="158"/>
      <c r="AH682" s="94"/>
      <c r="AI682" s="94">
        <v>117668492</v>
      </c>
      <c r="AJ682" s="94"/>
      <c r="AK682" s="75">
        <f t="shared" ref="AK682" si="192">AF682+AH682</f>
        <v>0</v>
      </c>
      <c r="AL682" s="158">
        <v>877</v>
      </c>
      <c r="AM682" s="158">
        <v>20</v>
      </c>
      <c r="AN682" s="158"/>
      <c r="AO682" s="158"/>
      <c r="AP682" s="158"/>
      <c r="AQ682" s="158"/>
      <c r="AR682" s="158"/>
      <c r="AS682" s="158"/>
      <c r="AT682" s="98">
        <v>1</v>
      </c>
      <c r="AU682" s="58" t="s">
        <v>646</v>
      </c>
      <c r="AV682" s="386"/>
      <c r="AW682" s="158"/>
      <c r="AX682" s="158"/>
      <c r="AY682" s="158"/>
      <c r="AZ682" s="158">
        <v>45</v>
      </c>
      <c r="BA682" s="158"/>
      <c r="BB682" s="158"/>
      <c r="BC682" s="69"/>
      <c r="BD682" s="69">
        <v>45</v>
      </c>
      <c r="BE682" s="69"/>
      <c r="BF682" s="351">
        <v>2019</v>
      </c>
      <c r="BG682" s="351">
        <v>2019</v>
      </c>
      <c r="BH682" s="430" t="s">
        <v>2361</v>
      </c>
      <c r="BI682" s="271" t="s">
        <v>2375</v>
      </c>
    </row>
    <row r="683" spans="1:61" s="204" customFormat="1" ht="39.75" customHeight="1">
      <c r="A683" s="160" t="s">
        <v>512</v>
      </c>
      <c r="B683" s="58" t="s">
        <v>548</v>
      </c>
      <c r="C683" s="1" t="s">
        <v>293</v>
      </c>
      <c r="D683" s="33" t="s">
        <v>543</v>
      </c>
      <c r="E683" s="33"/>
      <c r="F683" s="33"/>
      <c r="G683" s="33"/>
      <c r="H683" s="30" t="s">
        <v>680</v>
      </c>
      <c r="I683" s="228" t="s">
        <v>2363</v>
      </c>
      <c r="J683" s="215" t="s">
        <v>2364</v>
      </c>
      <c r="K683" s="158"/>
      <c r="L683" s="158"/>
      <c r="M683" s="158">
        <v>4</v>
      </c>
      <c r="N683" s="158"/>
      <c r="O683" s="158">
        <v>4</v>
      </c>
      <c r="P683" s="158">
        <v>214648165</v>
      </c>
      <c r="Q683" s="158"/>
      <c r="R683" s="158"/>
      <c r="S683" s="158"/>
      <c r="T683" s="158"/>
      <c r="U683" s="94">
        <v>95893751</v>
      </c>
      <c r="V683" s="158">
        <v>20</v>
      </c>
      <c r="W683" s="311"/>
      <c r="X683" s="311"/>
      <c r="Y683" s="311"/>
      <c r="Z683" s="94"/>
      <c r="AA683" s="69"/>
      <c r="AB683" s="69"/>
      <c r="AC683" s="69"/>
      <c r="AD683" s="69"/>
      <c r="AE683" s="158"/>
      <c r="AF683" s="158">
        <f>P683-U683-Z683</f>
        <v>118754414</v>
      </c>
      <c r="AG683" s="158"/>
      <c r="AH683" s="94">
        <v>0</v>
      </c>
      <c r="AI683" s="94">
        <v>118754414</v>
      </c>
      <c r="AJ683" s="94"/>
      <c r="AK683" s="158">
        <f>P683-R683-U683-Z683</f>
        <v>118754414</v>
      </c>
      <c r="AL683" s="158">
        <v>877</v>
      </c>
      <c r="AM683" s="158">
        <v>10</v>
      </c>
      <c r="AN683" s="158">
        <v>4</v>
      </c>
      <c r="AO683" s="158"/>
      <c r="AP683" s="158"/>
      <c r="AQ683" s="158"/>
      <c r="AR683" s="158"/>
      <c r="AS683" s="158"/>
      <c r="AT683" s="98">
        <v>0</v>
      </c>
      <c r="AU683" s="58" t="s">
        <v>521</v>
      </c>
      <c r="AV683" s="475" t="s">
        <v>1486</v>
      </c>
      <c r="AW683" s="158"/>
      <c r="AX683" s="158"/>
      <c r="AY683" s="158"/>
      <c r="AZ683" s="158"/>
      <c r="BA683" s="158"/>
      <c r="BB683" s="158"/>
      <c r="BC683" s="69"/>
      <c r="BD683" s="69"/>
      <c r="BE683" s="69"/>
      <c r="BF683" s="351"/>
      <c r="BG683" s="351">
        <v>2019</v>
      </c>
      <c r="BH683" s="271">
        <v>2020</v>
      </c>
      <c r="BI683" s="271" t="s">
        <v>2375</v>
      </c>
    </row>
    <row r="684" spans="1:61" s="204" customFormat="1" ht="15" customHeight="1">
      <c r="A684" s="248" t="s">
        <v>512</v>
      </c>
      <c r="B684" s="58" t="s">
        <v>295</v>
      </c>
      <c r="C684" s="3" t="s">
        <v>294</v>
      </c>
      <c r="D684" s="33" t="s">
        <v>30</v>
      </c>
      <c r="E684" s="33"/>
      <c r="F684" s="33"/>
      <c r="G684" s="33"/>
      <c r="H684" s="30" t="s">
        <v>681</v>
      </c>
      <c r="I684" s="30"/>
      <c r="J684" s="212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94"/>
      <c r="V684" s="158"/>
      <c r="W684" s="311"/>
      <c r="X684" s="311"/>
      <c r="Y684" s="311"/>
      <c r="Z684" s="94"/>
      <c r="AA684" s="158"/>
      <c r="AB684" s="92"/>
      <c r="AC684" s="92"/>
      <c r="AD684" s="92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2">
        <v>1</v>
      </c>
      <c r="AU684" s="58" t="s">
        <v>646</v>
      </c>
      <c r="AV684" s="105"/>
      <c r="AW684" s="158"/>
      <c r="AX684" s="158">
        <v>144</v>
      </c>
      <c r="AY684" s="158"/>
      <c r="AZ684" s="158"/>
      <c r="BA684" s="158"/>
      <c r="BB684" s="158"/>
      <c r="BC684" s="69"/>
      <c r="BD684" s="69"/>
      <c r="BE684" s="69"/>
      <c r="BF684" s="351">
        <v>2017</v>
      </c>
      <c r="BG684" s="351"/>
      <c r="BH684" s="446"/>
      <c r="BI684" s="271" t="s">
        <v>2376</v>
      </c>
    </row>
    <row r="685" spans="1:61" s="204" customFormat="1" ht="15" customHeight="1">
      <c r="A685" s="160" t="s">
        <v>512</v>
      </c>
      <c r="B685" s="58" t="s">
        <v>295</v>
      </c>
      <c r="C685" s="1" t="s">
        <v>294</v>
      </c>
      <c r="D685" s="33" t="s">
        <v>30</v>
      </c>
      <c r="E685" s="33"/>
      <c r="F685" s="33"/>
      <c r="G685" s="33"/>
      <c r="H685" s="30" t="s">
        <v>681</v>
      </c>
      <c r="I685" s="30"/>
      <c r="J685" s="212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94"/>
      <c r="V685" s="158"/>
      <c r="W685" s="311"/>
      <c r="X685" s="311"/>
      <c r="Y685" s="311"/>
      <c r="Z685" s="94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2">
        <v>0</v>
      </c>
      <c r="AU685" s="58" t="s">
        <v>687</v>
      </c>
      <c r="AV685" s="347" t="s">
        <v>1665</v>
      </c>
      <c r="AW685" s="158"/>
      <c r="AX685" s="158"/>
      <c r="AY685" s="158"/>
      <c r="AZ685" s="158"/>
      <c r="BA685" s="158"/>
      <c r="BB685" s="158"/>
      <c r="BC685" s="69"/>
      <c r="BD685" s="69"/>
      <c r="BE685" s="69">
        <v>7</v>
      </c>
      <c r="BF685" s="351" t="s">
        <v>1704</v>
      </c>
      <c r="BG685" s="351"/>
      <c r="BH685" s="446"/>
      <c r="BI685" s="271" t="s">
        <v>2376</v>
      </c>
    </row>
    <row r="686" spans="1:61" s="204" customFormat="1" ht="15" customHeight="1">
      <c r="A686" s="160" t="s">
        <v>512</v>
      </c>
      <c r="B686" s="58" t="s">
        <v>295</v>
      </c>
      <c r="C686" s="1" t="s">
        <v>296</v>
      </c>
      <c r="D686" s="33" t="s">
        <v>165</v>
      </c>
      <c r="E686" s="33"/>
      <c r="F686" s="33"/>
      <c r="G686" s="33"/>
      <c r="H686" s="30" t="s">
        <v>682</v>
      </c>
      <c r="I686" s="115" t="s">
        <v>1693</v>
      </c>
      <c r="J686" s="212">
        <v>42689</v>
      </c>
      <c r="K686" s="158"/>
      <c r="L686" s="158"/>
      <c r="M686" s="158"/>
      <c r="N686" s="158"/>
      <c r="O686" s="158"/>
      <c r="P686" s="158">
        <f>5516629022-2867327101-330997742</f>
        <v>2318304179</v>
      </c>
      <c r="Q686" s="158"/>
      <c r="R686" s="158"/>
      <c r="S686" s="158"/>
      <c r="T686" s="158"/>
      <c r="U686" s="94">
        <v>2166792839</v>
      </c>
      <c r="V686" s="158"/>
      <c r="W686" s="311"/>
      <c r="X686" s="311"/>
      <c r="Y686" s="311"/>
      <c r="Z686" s="94">
        <v>151511340</v>
      </c>
      <c r="AA686" s="158">
        <v>20</v>
      </c>
      <c r="AB686" s="311">
        <v>43739</v>
      </c>
      <c r="AC686" s="311"/>
      <c r="AD686" s="158"/>
      <c r="AE686" s="158"/>
      <c r="AF686" s="158">
        <f>P686-U686-Z686</f>
        <v>0</v>
      </c>
      <c r="AG686" s="158"/>
      <c r="AH686" s="158"/>
      <c r="AI686" s="158"/>
      <c r="AJ686" s="158"/>
      <c r="AK686" s="158"/>
      <c r="AL686" s="158">
        <v>877</v>
      </c>
      <c r="AM686" s="158">
        <v>20</v>
      </c>
      <c r="AN686" s="158"/>
      <c r="AO686" s="158"/>
      <c r="AP686" s="158"/>
      <c r="AQ686" s="158"/>
      <c r="AR686" s="158"/>
      <c r="AS686" s="158"/>
      <c r="AT686" s="2">
        <v>1</v>
      </c>
      <c r="AU686" s="58" t="s">
        <v>646</v>
      </c>
      <c r="AV686" s="105"/>
      <c r="AW686" s="158" t="s">
        <v>0</v>
      </c>
      <c r="AX686" s="158">
        <v>42</v>
      </c>
      <c r="AY686" s="158"/>
      <c r="AZ686" s="158"/>
      <c r="BA686" s="158"/>
      <c r="BB686" s="158"/>
      <c r="BC686" s="69"/>
      <c r="BD686" s="69"/>
      <c r="BE686" s="69"/>
      <c r="BF686" s="351" t="s">
        <v>1707</v>
      </c>
      <c r="BG686" s="351" t="s">
        <v>1707</v>
      </c>
      <c r="BH686" s="271"/>
      <c r="BI686" s="271" t="s">
        <v>2375</v>
      </c>
    </row>
    <row r="687" spans="1:61" s="204" customFormat="1" ht="18" customHeight="1">
      <c r="A687" s="160" t="s">
        <v>512</v>
      </c>
      <c r="B687" s="58" t="s">
        <v>295</v>
      </c>
      <c r="C687" s="1" t="s">
        <v>296</v>
      </c>
      <c r="D687" s="33" t="s">
        <v>165</v>
      </c>
      <c r="E687" s="33"/>
      <c r="F687" s="33"/>
      <c r="G687" s="33"/>
      <c r="H687" s="30" t="s">
        <v>682</v>
      </c>
      <c r="I687" s="115" t="s">
        <v>1693</v>
      </c>
      <c r="J687" s="212">
        <v>42689</v>
      </c>
      <c r="K687" s="158"/>
      <c r="L687" s="158"/>
      <c r="M687" s="158">
        <v>52</v>
      </c>
      <c r="N687" s="158"/>
      <c r="O687" s="158">
        <v>52</v>
      </c>
      <c r="P687" s="158">
        <v>2867327101</v>
      </c>
      <c r="Q687" s="158"/>
      <c r="R687" s="158"/>
      <c r="S687" s="158"/>
      <c r="T687" s="158"/>
      <c r="U687" s="94"/>
      <c r="V687" s="158"/>
      <c r="W687" s="311"/>
      <c r="X687" s="311"/>
      <c r="Y687" s="311"/>
      <c r="Z687" s="94"/>
      <c r="AA687" s="158"/>
      <c r="AB687" s="158"/>
      <c r="AC687" s="158"/>
      <c r="AD687" s="158">
        <v>2867327101</v>
      </c>
      <c r="AE687" s="158"/>
      <c r="AF687" s="158">
        <f>P687-U687-Z687-AD687</f>
        <v>0</v>
      </c>
      <c r="AG687" s="158"/>
      <c r="AH687" s="94">
        <v>0</v>
      </c>
      <c r="AI687" s="94">
        <v>0</v>
      </c>
      <c r="AJ687" s="94"/>
      <c r="AK687" s="158">
        <f>P687-R687-U687-Z687-AD687</f>
        <v>0</v>
      </c>
      <c r="AL687" s="158">
        <v>877</v>
      </c>
      <c r="AM687" s="158">
        <v>10</v>
      </c>
      <c r="AN687" s="158"/>
      <c r="AO687" s="158"/>
      <c r="AP687" s="158"/>
      <c r="AQ687" s="158">
        <v>52</v>
      </c>
      <c r="AR687" s="158"/>
      <c r="AS687" s="158"/>
      <c r="AT687" s="2">
        <v>0.44679999999999997</v>
      </c>
      <c r="AU687" s="58" t="s">
        <v>942</v>
      </c>
      <c r="AV687" s="386" t="s">
        <v>1124</v>
      </c>
      <c r="AW687" s="158"/>
      <c r="AX687" s="158"/>
      <c r="AY687" s="158"/>
      <c r="AZ687" s="158"/>
      <c r="BA687" s="158"/>
      <c r="BB687" s="158"/>
      <c r="BC687" s="69"/>
      <c r="BD687" s="69"/>
      <c r="BE687" s="69"/>
      <c r="BF687" s="271"/>
      <c r="BG687" s="271">
        <v>2019</v>
      </c>
      <c r="BH687" s="271">
        <v>2020</v>
      </c>
      <c r="BI687" s="271" t="s">
        <v>2375</v>
      </c>
    </row>
    <row r="688" spans="1:61" s="204" customFormat="1" ht="18" customHeight="1">
      <c r="A688" s="160" t="s">
        <v>512</v>
      </c>
      <c r="B688" s="58" t="s">
        <v>295</v>
      </c>
      <c r="C688" s="1" t="s">
        <v>296</v>
      </c>
      <c r="D688" s="33" t="s">
        <v>165</v>
      </c>
      <c r="E688" s="33"/>
      <c r="F688" s="33"/>
      <c r="G688" s="33"/>
      <c r="H688" s="30" t="s">
        <v>682</v>
      </c>
      <c r="I688" s="30">
        <v>2469</v>
      </c>
      <c r="J688" s="212">
        <v>42689</v>
      </c>
      <c r="K688" s="158"/>
      <c r="L688" s="158"/>
      <c r="M688" s="158">
        <v>6</v>
      </c>
      <c r="N688" s="158"/>
      <c r="O688" s="158">
        <v>6</v>
      </c>
      <c r="P688" s="158">
        <v>330997742</v>
      </c>
      <c r="Q688" s="158"/>
      <c r="R688" s="158"/>
      <c r="S688" s="158"/>
      <c r="T688" s="158"/>
      <c r="U688" s="94"/>
      <c r="V688" s="158"/>
      <c r="W688" s="311"/>
      <c r="X688" s="311"/>
      <c r="Y688" s="311"/>
      <c r="Z688" s="94"/>
      <c r="AA688" s="158"/>
      <c r="AB688" s="158"/>
      <c r="AC688" s="158"/>
      <c r="AD688" s="158">
        <v>330997742</v>
      </c>
      <c r="AE688" s="158"/>
      <c r="AF688" s="158">
        <f>P688-U688-Z688-AD688</f>
        <v>0</v>
      </c>
      <c r="AG688" s="158"/>
      <c r="AH688" s="94">
        <v>0</v>
      </c>
      <c r="AI688" s="94">
        <v>0</v>
      </c>
      <c r="AJ688" s="94"/>
      <c r="AK688" s="158">
        <f>P688-R688-U688-Z688-AD688</f>
        <v>0</v>
      </c>
      <c r="AL688" s="158">
        <v>877</v>
      </c>
      <c r="AM688" s="158">
        <v>10</v>
      </c>
      <c r="AN688" s="158"/>
      <c r="AO688" s="158"/>
      <c r="AP688" s="158"/>
      <c r="AQ688" s="158">
        <v>6</v>
      </c>
      <c r="AR688" s="158"/>
      <c r="AS688" s="158"/>
      <c r="AT688" s="2">
        <v>0.44679999999999997</v>
      </c>
      <c r="AU688" s="58" t="s">
        <v>942</v>
      </c>
      <c r="AV688" s="386" t="s">
        <v>1124</v>
      </c>
      <c r="AW688" s="158" t="s">
        <v>0</v>
      </c>
      <c r="AX688" s="158"/>
      <c r="AY688" s="158"/>
      <c r="AZ688" s="158"/>
      <c r="BA688" s="158"/>
      <c r="BB688" s="158"/>
      <c r="BC688" s="69"/>
      <c r="BD688" s="69"/>
      <c r="BE688" s="69"/>
      <c r="BF688" s="271"/>
      <c r="BG688" s="271">
        <v>2019</v>
      </c>
      <c r="BH688" s="271">
        <v>2020</v>
      </c>
      <c r="BI688" s="271" t="s">
        <v>2375</v>
      </c>
    </row>
    <row r="689" spans="1:61" s="204" customFormat="1" ht="15" customHeight="1">
      <c r="A689" s="160" t="s">
        <v>512</v>
      </c>
      <c r="B689" s="58" t="s">
        <v>298</v>
      </c>
      <c r="C689" s="1" t="s">
        <v>297</v>
      </c>
      <c r="D689" s="33" t="s">
        <v>67</v>
      </c>
      <c r="E689" s="33"/>
      <c r="F689" s="33"/>
      <c r="G689" s="33"/>
      <c r="H689" s="30" t="s">
        <v>682</v>
      </c>
      <c r="I689" s="30"/>
      <c r="J689" s="212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94"/>
      <c r="V689" s="158"/>
      <c r="W689" s="311"/>
      <c r="X689" s="311"/>
      <c r="Y689" s="311"/>
      <c r="Z689" s="94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2">
        <v>1</v>
      </c>
      <c r="AU689" s="58" t="s">
        <v>646</v>
      </c>
      <c r="AV689" s="105"/>
      <c r="AW689" s="158" t="s">
        <v>0</v>
      </c>
      <c r="AX689" s="158">
        <v>43</v>
      </c>
      <c r="AY689" s="158"/>
      <c r="AZ689" s="158"/>
      <c r="BA689" s="158"/>
      <c r="BB689" s="158"/>
      <c r="BC689" s="69"/>
      <c r="BD689" s="69"/>
      <c r="BE689" s="69"/>
      <c r="BF689" s="271">
        <v>2017</v>
      </c>
      <c r="BG689" s="271"/>
      <c r="BH689" s="268"/>
      <c r="BI689" s="271" t="s">
        <v>2376</v>
      </c>
    </row>
    <row r="690" spans="1:61" s="204" customFormat="1" ht="15" customHeight="1">
      <c r="A690" s="160" t="s">
        <v>512</v>
      </c>
      <c r="B690" s="58" t="s">
        <v>298</v>
      </c>
      <c r="C690" s="1" t="s">
        <v>297</v>
      </c>
      <c r="D690" s="33" t="s">
        <v>67</v>
      </c>
      <c r="E690" s="33"/>
      <c r="F690" s="33"/>
      <c r="G690" s="33"/>
      <c r="H690" s="30" t="s">
        <v>682</v>
      </c>
      <c r="I690" s="30"/>
      <c r="J690" s="212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94"/>
      <c r="V690" s="158"/>
      <c r="W690" s="311"/>
      <c r="X690" s="311"/>
      <c r="Y690" s="311"/>
      <c r="Z690" s="94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2">
        <v>1</v>
      </c>
      <c r="AU690" s="58" t="s">
        <v>646</v>
      </c>
      <c r="AV690" s="105" t="s">
        <v>637</v>
      </c>
      <c r="AW690" s="158"/>
      <c r="AX690" s="158"/>
      <c r="AY690" s="72">
        <v>6</v>
      </c>
      <c r="AZ690" s="158"/>
      <c r="BA690" s="158"/>
      <c r="BB690" s="158">
        <v>6</v>
      </c>
      <c r="BC690" s="69"/>
      <c r="BD690" s="69"/>
      <c r="BE690" s="69"/>
      <c r="BF690" s="271">
        <v>2018</v>
      </c>
      <c r="BG690" s="271"/>
      <c r="BH690" s="268"/>
      <c r="BI690" s="271" t="s">
        <v>2376</v>
      </c>
    </row>
    <row r="691" spans="1:61" s="204" customFormat="1" ht="15" customHeight="1">
      <c r="A691" s="160" t="s">
        <v>512</v>
      </c>
      <c r="B691" s="58" t="s">
        <v>298</v>
      </c>
      <c r="C691" s="1" t="s">
        <v>297</v>
      </c>
      <c r="D691" s="33" t="s">
        <v>67</v>
      </c>
      <c r="E691" s="33"/>
      <c r="F691" s="33"/>
      <c r="G691" s="33"/>
      <c r="H691" s="30" t="s">
        <v>682</v>
      </c>
      <c r="I691" s="30"/>
      <c r="J691" s="212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94"/>
      <c r="V691" s="158"/>
      <c r="W691" s="311"/>
      <c r="X691" s="311"/>
      <c r="Y691" s="311"/>
      <c r="Z691" s="94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2">
        <v>1</v>
      </c>
      <c r="AU691" s="58" t="s">
        <v>646</v>
      </c>
      <c r="AV691" s="105"/>
      <c r="AW691" s="158" t="s">
        <v>0</v>
      </c>
      <c r="AX691" s="158"/>
      <c r="AY691" s="72">
        <v>44</v>
      </c>
      <c r="AZ691" s="158"/>
      <c r="BA691" s="158"/>
      <c r="BB691" s="158">
        <v>44</v>
      </c>
      <c r="BC691" s="69"/>
      <c r="BD691" s="69"/>
      <c r="BE691" s="69"/>
      <c r="BF691" s="271">
        <v>2018</v>
      </c>
      <c r="BG691" s="271"/>
      <c r="BH691" s="268"/>
      <c r="BI691" s="271" t="s">
        <v>2376</v>
      </c>
    </row>
    <row r="692" spans="1:61" s="204" customFormat="1" ht="24" customHeight="1">
      <c r="A692" s="230" t="s">
        <v>512</v>
      </c>
      <c r="B692" s="58" t="s">
        <v>295</v>
      </c>
      <c r="C692" s="49" t="s">
        <v>299</v>
      </c>
      <c r="D692" s="33" t="s">
        <v>170</v>
      </c>
      <c r="E692" s="33"/>
      <c r="F692" s="33"/>
      <c r="G692" s="33"/>
      <c r="H692" s="30" t="s">
        <v>682</v>
      </c>
      <c r="I692" s="30">
        <v>2470</v>
      </c>
      <c r="J692" s="215" t="s">
        <v>1701</v>
      </c>
      <c r="K692" s="158"/>
      <c r="L692" s="158"/>
      <c r="M692" s="158">
        <v>58</v>
      </c>
      <c r="N692" s="158"/>
      <c r="O692" s="158">
        <v>58</v>
      </c>
      <c r="P692" s="158">
        <v>3175799827</v>
      </c>
      <c r="Q692" s="158"/>
      <c r="R692" s="158"/>
      <c r="S692" s="158"/>
      <c r="T692" s="158"/>
      <c r="U692" s="94">
        <v>1428668804</v>
      </c>
      <c r="V692" s="158">
        <v>20</v>
      </c>
      <c r="W692" s="311"/>
      <c r="X692" s="311"/>
      <c r="Y692" s="311"/>
      <c r="Z692" s="158">
        <v>1747131023</v>
      </c>
      <c r="AA692" s="158">
        <v>20</v>
      </c>
      <c r="AB692" s="5"/>
      <c r="AC692" s="5"/>
      <c r="AD692" s="5"/>
      <c r="AE692" s="158"/>
      <c r="AF692" s="158">
        <f>P692-U692-Z692</f>
        <v>0</v>
      </c>
      <c r="AG692" s="158"/>
      <c r="AH692" s="94">
        <v>0</v>
      </c>
      <c r="AI692" s="94">
        <v>0</v>
      </c>
      <c r="AJ692" s="94"/>
      <c r="AK692" s="158">
        <f t="shared" ref="AK692:AK693" si="193">P692-R692-U692-Z692</f>
        <v>0</v>
      </c>
      <c r="AL692" s="158">
        <v>877</v>
      </c>
      <c r="AM692" s="158">
        <v>20</v>
      </c>
      <c r="AN692" s="158"/>
      <c r="AO692" s="158"/>
      <c r="AP692" s="158"/>
      <c r="AQ692" s="158"/>
      <c r="AR692" s="158">
        <v>58</v>
      </c>
      <c r="AS692" s="158"/>
      <c r="AT692" s="2">
        <v>0.76980000000000004</v>
      </c>
      <c r="AU692" s="58" t="s">
        <v>986</v>
      </c>
      <c r="AV692" s="386"/>
      <c r="AW692" s="158" t="s">
        <v>0</v>
      </c>
      <c r="AX692" s="158"/>
      <c r="AY692" s="158"/>
      <c r="AZ692" s="158"/>
      <c r="BA692" s="158"/>
      <c r="BB692" s="158"/>
      <c r="BC692" s="69"/>
      <c r="BD692" s="69"/>
      <c r="BE692" s="69"/>
      <c r="BF692" s="271"/>
      <c r="BG692" s="271">
        <v>2019</v>
      </c>
      <c r="BH692" s="271">
        <v>2020</v>
      </c>
      <c r="BI692" s="271" t="s">
        <v>2375</v>
      </c>
    </row>
    <row r="693" spans="1:61" s="204" customFormat="1" ht="26.25" customHeight="1">
      <c r="A693" s="160" t="s">
        <v>512</v>
      </c>
      <c r="B693" s="58" t="s">
        <v>295</v>
      </c>
      <c r="C693" s="1" t="s">
        <v>299</v>
      </c>
      <c r="D693" s="33" t="s">
        <v>170</v>
      </c>
      <c r="E693" s="33"/>
      <c r="F693" s="33"/>
      <c r="G693" s="33"/>
      <c r="H693" s="30" t="s">
        <v>682</v>
      </c>
      <c r="I693" s="78">
        <v>2470</v>
      </c>
      <c r="J693" s="212">
        <v>42709</v>
      </c>
      <c r="K693" s="158"/>
      <c r="L693" s="158"/>
      <c r="M693" s="158">
        <v>2</v>
      </c>
      <c r="N693" s="158">
        <v>2</v>
      </c>
      <c r="O693" s="158"/>
      <c r="P693" s="158">
        <v>109510339</v>
      </c>
      <c r="Q693" s="158"/>
      <c r="R693" s="158"/>
      <c r="S693" s="158"/>
      <c r="T693" s="158"/>
      <c r="U693" s="94">
        <v>49279653</v>
      </c>
      <c r="V693" s="158">
        <v>10</v>
      </c>
      <c r="W693" s="311">
        <v>43497</v>
      </c>
      <c r="X693" s="311"/>
      <c r="Y693" s="311"/>
      <c r="Z693" s="94"/>
      <c r="AA693" s="69"/>
      <c r="AB693" s="69"/>
      <c r="AC693" s="69"/>
      <c r="AD693" s="69"/>
      <c r="AE693" s="158"/>
      <c r="AF693" s="158">
        <f>P693-U693-Z693</f>
        <v>60230686</v>
      </c>
      <c r="AG693" s="158"/>
      <c r="AH693" s="94">
        <v>0</v>
      </c>
      <c r="AI693" s="94">
        <v>60230686</v>
      </c>
      <c r="AJ693" s="94"/>
      <c r="AK693" s="158">
        <f t="shared" si="193"/>
        <v>60230686</v>
      </c>
      <c r="AL693" s="158">
        <v>877</v>
      </c>
      <c r="AM693" s="158">
        <v>20</v>
      </c>
      <c r="AN693" s="158">
        <v>2</v>
      </c>
      <c r="AO693" s="158"/>
      <c r="AP693" s="158"/>
      <c r="AQ693" s="158"/>
      <c r="AR693" s="158"/>
      <c r="AS693" s="158"/>
      <c r="AT693" s="2">
        <v>0</v>
      </c>
      <c r="AU693" s="58" t="s">
        <v>521</v>
      </c>
      <c r="AV693" s="386"/>
      <c r="AW693" s="158" t="s">
        <v>0</v>
      </c>
      <c r="AX693" s="158"/>
      <c r="AY693" s="158"/>
      <c r="AZ693" s="158"/>
      <c r="BA693" s="158"/>
      <c r="BB693" s="158"/>
      <c r="BC693" s="69"/>
      <c r="BD693" s="69"/>
      <c r="BE693" s="69"/>
      <c r="BF693" s="271"/>
      <c r="BG693" s="271">
        <v>2019</v>
      </c>
      <c r="BH693" s="430">
        <v>2020</v>
      </c>
      <c r="BI693" s="271" t="s">
        <v>2375</v>
      </c>
    </row>
    <row r="694" spans="1:61" s="204" customFormat="1" ht="15" customHeight="1">
      <c r="A694" s="248" t="s">
        <v>512</v>
      </c>
      <c r="B694" s="58" t="s">
        <v>548</v>
      </c>
      <c r="C694" s="251" t="s">
        <v>300</v>
      </c>
      <c r="D694" s="33" t="s">
        <v>40</v>
      </c>
      <c r="E694" s="33"/>
      <c r="F694" s="33"/>
      <c r="G694" s="33"/>
      <c r="H694" s="30"/>
      <c r="I694" s="30"/>
      <c r="J694" s="212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94"/>
      <c r="V694" s="158"/>
      <c r="W694" s="311"/>
      <c r="X694" s="311"/>
      <c r="Y694" s="311"/>
      <c r="Z694" s="94"/>
      <c r="AA694" s="158"/>
      <c r="AB694" s="92"/>
      <c r="AC694" s="92"/>
      <c r="AD694" s="92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2"/>
      <c r="AU694" s="58"/>
      <c r="AV694" s="105"/>
      <c r="AW694" s="158">
        <v>32</v>
      </c>
      <c r="AX694" s="158"/>
      <c r="AY694" s="158"/>
      <c r="AZ694" s="158"/>
      <c r="BA694" s="158"/>
      <c r="BB694" s="158"/>
      <c r="BC694" s="69"/>
      <c r="BD694" s="69"/>
      <c r="BE694" s="69"/>
      <c r="BF694" s="271">
        <v>2016</v>
      </c>
      <c r="BG694" s="271"/>
      <c r="BH694" s="268"/>
      <c r="BI694" s="271" t="s">
        <v>2376</v>
      </c>
    </row>
    <row r="695" spans="1:61" s="204" customFormat="1" ht="15" customHeight="1">
      <c r="A695" s="160" t="s">
        <v>512</v>
      </c>
      <c r="B695" s="58" t="s">
        <v>295</v>
      </c>
      <c r="C695" s="58" t="s">
        <v>708</v>
      </c>
      <c r="D695" s="33" t="s">
        <v>302</v>
      </c>
      <c r="E695" s="33"/>
      <c r="F695" s="33"/>
      <c r="G695" s="33"/>
      <c r="H695" s="30" t="s">
        <v>681</v>
      </c>
      <c r="I695" s="30"/>
      <c r="J695" s="212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94"/>
      <c r="V695" s="158"/>
      <c r="W695" s="311"/>
      <c r="X695" s="311"/>
      <c r="Y695" s="311"/>
      <c r="Z695" s="94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2">
        <v>1</v>
      </c>
      <c r="AU695" s="58" t="s">
        <v>646</v>
      </c>
      <c r="AV695" s="105"/>
      <c r="AW695" s="2"/>
      <c r="AX695" s="158">
        <v>34</v>
      </c>
      <c r="AY695" s="158"/>
      <c r="AZ695" s="158"/>
      <c r="BA695" s="158"/>
      <c r="BB695" s="158"/>
      <c r="BC695" s="69"/>
      <c r="BD695" s="69"/>
      <c r="BE695" s="69"/>
      <c r="BF695" s="271">
        <v>2017</v>
      </c>
      <c r="BG695" s="271"/>
      <c r="BH695" s="268"/>
      <c r="BI695" s="271" t="s">
        <v>2376</v>
      </c>
    </row>
    <row r="696" spans="1:61" s="204" customFormat="1" ht="15" customHeight="1">
      <c r="A696" s="160" t="s">
        <v>512</v>
      </c>
      <c r="B696" s="58" t="s">
        <v>548</v>
      </c>
      <c r="C696" s="58" t="s">
        <v>301</v>
      </c>
      <c r="D696" s="33" t="s">
        <v>67</v>
      </c>
      <c r="E696" s="33"/>
      <c r="F696" s="33"/>
      <c r="G696" s="33"/>
      <c r="H696" s="30" t="s">
        <v>683</v>
      </c>
      <c r="I696" s="30"/>
      <c r="J696" s="212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94"/>
      <c r="V696" s="158"/>
      <c r="W696" s="311"/>
      <c r="X696" s="311"/>
      <c r="Y696" s="311"/>
      <c r="Z696" s="94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1"/>
      <c r="AQ696" s="11"/>
      <c r="AR696" s="11"/>
      <c r="AS696" s="158"/>
      <c r="AT696" s="2">
        <v>1</v>
      </c>
      <c r="AU696" s="58" t="s">
        <v>646</v>
      </c>
      <c r="AV696" s="105" t="s">
        <v>679</v>
      </c>
      <c r="AW696" s="158"/>
      <c r="AX696" s="158">
        <v>36</v>
      </c>
      <c r="AY696" s="11"/>
      <c r="AZ696" s="11"/>
      <c r="BA696" s="11"/>
      <c r="BB696" s="11"/>
      <c r="BC696" s="70"/>
      <c r="BD696" s="70"/>
      <c r="BE696" s="70"/>
      <c r="BF696" s="271">
        <v>2017</v>
      </c>
      <c r="BG696" s="271"/>
      <c r="BH696" s="268"/>
      <c r="BI696" s="271" t="s">
        <v>2376</v>
      </c>
    </row>
    <row r="697" spans="1:61" s="204" customFormat="1" ht="15" customHeight="1">
      <c r="A697" s="160" t="s">
        <v>512</v>
      </c>
      <c r="B697" s="58" t="s">
        <v>548</v>
      </c>
      <c r="C697" s="58" t="s">
        <v>303</v>
      </c>
      <c r="D697" s="33" t="s">
        <v>67</v>
      </c>
      <c r="E697" s="33"/>
      <c r="F697" s="33"/>
      <c r="G697" s="33"/>
      <c r="H697" s="30" t="s">
        <v>683</v>
      </c>
      <c r="I697" s="30"/>
      <c r="J697" s="212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94"/>
      <c r="V697" s="158"/>
      <c r="W697" s="311"/>
      <c r="X697" s="311"/>
      <c r="Y697" s="311"/>
      <c r="Z697" s="94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2">
        <v>1</v>
      </c>
      <c r="AU697" s="58" t="s">
        <v>646</v>
      </c>
      <c r="AV697" s="105"/>
      <c r="AW697" s="158"/>
      <c r="AX697" s="11">
        <v>39</v>
      </c>
      <c r="AY697" s="158"/>
      <c r="AZ697" s="158"/>
      <c r="BA697" s="158"/>
      <c r="BB697" s="158"/>
      <c r="BC697" s="69"/>
      <c r="BD697" s="69"/>
      <c r="BE697" s="69"/>
      <c r="BF697" s="271">
        <v>2017</v>
      </c>
      <c r="BG697" s="271"/>
      <c r="BH697" s="268"/>
      <c r="BI697" s="271" t="s">
        <v>2376</v>
      </c>
    </row>
    <row r="698" spans="1:61" s="204" customFormat="1" ht="15" customHeight="1">
      <c r="A698" s="160" t="s">
        <v>512</v>
      </c>
      <c r="B698" s="58" t="s">
        <v>548</v>
      </c>
      <c r="C698" s="1" t="s">
        <v>303</v>
      </c>
      <c r="D698" s="33" t="s">
        <v>67</v>
      </c>
      <c r="E698" s="33"/>
      <c r="F698" s="33"/>
      <c r="G698" s="33"/>
      <c r="H698" s="30" t="s">
        <v>683</v>
      </c>
      <c r="I698" s="30"/>
      <c r="J698" s="212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94"/>
      <c r="V698" s="158"/>
      <c r="W698" s="311"/>
      <c r="X698" s="311"/>
      <c r="Y698" s="311"/>
      <c r="Z698" s="94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2">
        <v>1</v>
      </c>
      <c r="AU698" s="58" t="s">
        <v>646</v>
      </c>
      <c r="AV698" s="105"/>
      <c r="AW698" s="158"/>
      <c r="AX698" s="158"/>
      <c r="AY698" s="688">
        <v>45</v>
      </c>
      <c r="AZ698" s="158"/>
      <c r="BA698" s="158"/>
      <c r="BB698" s="158">
        <v>45</v>
      </c>
      <c r="BC698" s="69"/>
      <c r="BD698" s="70"/>
      <c r="BE698" s="70"/>
      <c r="BF698" s="271">
        <v>2018</v>
      </c>
      <c r="BG698" s="271"/>
      <c r="BH698" s="268"/>
      <c r="BI698" s="271" t="s">
        <v>2376</v>
      </c>
    </row>
    <row r="699" spans="1:61" s="204" customFormat="1" ht="15" customHeight="1">
      <c r="A699" s="160" t="s">
        <v>512</v>
      </c>
      <c r="B699" s="58" t="s">
        <v>1008</v>
      </c>
      <c r="C699" s="1" t="s">
        <v>304</v>
      </c>
      <c r="D699" s="33" t="s">
        <v>16</v>
      </c>
      <c r="E699" s="33"/>
      <c r="F699" s="33"/>
      <c r="G699" s="33"/>
      <c r="H699" s="30" t="s">
        <v>683</v>
      </c>
      <c r="I699" s="30"/>
      <c r="J699" s="212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94"/>
      <c r="V699" s="158"/>
      <c r="W699" s="311"/>
      <c r="X699" s="311"/>
      <c r="Y699" s="311"/>
      <c r="Z699" s="94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2">
        <v>1</v>
      </c>
      <c r="AU699" s="58" t="s">
        <v>646</v>
      </c>
      <c r="AV699" s="105"/>
      <c r="AW699" s="158"/>
      <c r="AX699" s="158">
        <v>39</v>
      </c>
      <c r="AY699" s="12"/>
      <c r="AZ699" s="158"/>
      <c r="BA699" s="158"/>
      <c r="BB699" s="158"/>
      <c r="BC699" s="69"/>
      <c r="BD699" s="69"/>
      <c r="BE699" s="69"/>
      <c r="BF699" s="271">
        <v>2017</v>
      </c>
      <c r="BG699" s="271"/>
      <c r="BH699" s="268"/>
      <c r="BI699" s="271" t="s">
        <v>2376</v>
      </c>
    </row>
    <row r="700" spans="1:61" s="204" customFormat="1" ht="15" customHeight="1">
      <c r="A700" s="160" t="s">
        <v>512</v>
      </c>
      <c r="B700" s="58" t="s">
        <v>1008</v>
      </c>
      <c r="C700" s="1" t="s">
        <v>304</v>
      </c>
      <c r="D700" s="33" t="s">
        <v>16</v>
      </c>
      <c r="E700" s="33"/>
      <c r="F700" s="33"/>
      <c r="G700" s="33"/>
      <c r="H700" s="30" t="s">
        <v>683</v>
      </c>
      <c r="I700" s="30"/>
      <c r="J700" s="212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94"/>
      <c r="V700" s="158"/>
      <c r="W700" s="311"/>
      <c r="X700" s="311"/>
      <c r="Y700" s="311"/>
      <c r="Z700" s="94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2">
        <v>1</v>
      </c>
      <c r="AU700" s="58" t="s">
        <v>646</v>
      </c>
      <c r="AV700" s="105"/>
      <c r="AW700" s="158"/>
      <c r="AX700" s="158"/>
      <c r="AY700" s="688">
        <v>1</v>
      </c>
      <c r="AZ700" s="158"/>
      <c r="BA700" s="158"/>
      <c r="BB700" s="158">
        <v>1</v>
      </c>
      <c r="BC700" s="69"/>
      <c r="BD700" s="69"/>
      <c r="BE700" s="69"/>
      <c r="BF700" s="271">
        <v>2018</v>
      </c>
      <c r="BG700" s="271"/>
      <c r="BH700" s="268"/>
      <c r="BI700" s="271" t="s">
        <v>2376</v>
      </c>
    </row>
    <row r="701" spans="1:61" s="204" customFormat="1" ht="15" customHeight="1">
      <c r="A701" s="160" t="s">
        <v>512</v>
      </c>
      <c r="B701" s="58" t="s">
        <v>548</v>
      </c>
      <c r="C701" s="58" t="s">
        <v>1084</v>
      </c>
      <c r="D701" s="33" t="s">
        <v>30</v>
      </c>
      <c r="E701" s="33"/>
      <c r="F701" s="33"/>
      <c r="G701" s="33"/>
      <c r="H701" s="30" t="s">
        <v>630</v>
      </c>
      <c r="I701" s="30"/>
      <c r="J701" s="212"/>
      <c r="K701" s="158"/>
      <c r="L701" s="158"/>
      <c r="M701" s="158"/>
      <c r="N701" s="158"/>
      <c r="O701" s="158"/>
      <c r="P701" s="158"/>
      <c r="Q701" s="158">
        <f t="shared" ref="Q701:Q703" si="194">P701/AY701</f>
        <v>0</v>
      </c>
      <c r="R701" s="158"/>
      <c r="S701" s="158"/>
      <c r="T701" s="158"/>
      <c r="U701" s="94"/>
      <c r="V701" s="158"/>
      <c r="W701" s="311"/>
      <c r="X701" s="311"/>
      <c r="Y701" s="311"/>
      <c r="Z701" s="94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2">
        <v>1</v>
      </c>
      <c r="AU701" s="58" t="s">
        <v>646</v>
      </c>
      <c r="AV701" s="105"/>
      <c r="AW701" s="158"/>
      <c r="AX701" s="158"/>
      <c r="AY701" s="688">
        <v>94</v>
      </c>
      <c r="AZ701" s="158"/>
      <c r="BA701" s="158"/>
      <c r="BB701" s="158">
        <v>94</v>
      </c>
      <c r="BC701" s="69"/>
      <c r="BD701" s="69"/>
      <c r="BE701" s="69"/>
      <c r="BF701" s="271">
        <v>2018</v>
      </c>
      <c r="BG701" s="271"/>
      <c r="BH701" s="268"/>
      <c r="BI701" s="271" t="s">
        <v>2376</v>
      </c>
    </row>
    <row r="702" spans="1:61" s="204" customFormat="1" ht="15" customHeight="1">
      <c r="A702" s="160" t="s">
        <v>512</v>
      </c>
      <c r="B702" s="58" t="s">
        <v>928</v>
      </c>
      <c r="C702" s="148" t="s">
        <v>1055</v>
      </c>
      <c r="D702" s="33" t="s">
        <v>782</v>
      </c>
      <c r="E702" s="33"/>
      <c r="F702" s="33"/>
      <c r="G702" s="33"/>
      <c r="H702" s="30" t="s">
        <v>630</v>
      </c>
      <c r="I702" s="30"/>
      <c r="J702" s="212"/>
      <c r="K702" s="158"/>
      <c r="L702" s="158"/>
      <c r="M702" s="158"/>
      <c r="N702" s="158"/>
      <c r="O702" s="158"/>
      <c r="P702" s="158"/>
      <c r="Q702" s="158">
        <f t="shared" si="194"/>
        <v>0</v>
      </c>
      <c r="R702" s="158"/>
      <c r="S702" s="158"/>
      <c r="T702" s="158"/>
      <c r="U702" s="94"/>
      <c r="V702" s="158"/>
      <c r="W702" s="311"/>
      <c r="X702" s="311"/>
      <c r="Y702" s="311"/>
      <c r="Z702" s="94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2">
        <v>1</v>
      </c>
      <c r="AU702" s="58" t="s">
        <v>646</v>
      </c>
      <c r="AV702" s="105"/>
      <c r="AW702" s="51"/>
      <c r="AX702" s="158"/>
      <c r="AY702" s="688">
        <v>57</v>
      </c>
      <c r="AZ702" s="158"/>
      <c r="BA702" s="158"/>
      <c r="BB702" s="158">
        <v>57</v>
      </c>
      <c r="BC702" s="69"/>
      <c r="BD702" s="70"/>
      <c r="BE702" s="70"/>
      <c r="BF702" s="271">
        <v>2018</v>
      </c>
      <c r="BG702" s="271"/>
      <c r="BH702" s="268"/>
      <c r="BI702" s="271" t="s">
        <v>2376</v>
      </c>
    </row>
    <row r="703" spans="1:61" s="204" customFormat="1" ht="18" customHeight="1">
      <c r="A703" s="160" t="s">
        <v>512</v>
      </c>
      <c r="B703" s="58" t="s">
        <v>928</v>
      </c>
      <c r="C703" s="148" t="s">
        <v>1055</v>
      </c>
      <c r="D703" s="33" t="s">
        <v>782</v>
      </c>
      <c r="E703" s="33"/>
      <c r="F703" s="33"/>
      <c r="G703" s="33"/>
      <c r="H703" s="30" t="s">
        <v>630</v>
      </c>
      <c r="I703" s="30">
        <v>1357</v>
      </c>
      <c r="J703" s="212">
        <v>42921</v>
      </c>
      <c r="K703" s="158"/>
      <c r="L703" s="158">
        <v>1</v>
      </c>
      <c r="M703" s="158"/>
      <c r="N703" s="158"/>
      <c r="O703" s="158"/>
      <c r="P703" s="158"/>
      <c r="Q703" s="158" t="e">
        <f t="shared" si="194"/>
        <v>#DIV/0!</v>
      </c>
      <c r="R703" s="158"/>
      <c r="S703" s="158"/>
      <c r="T703" s="158"/>
      <c r="U703" s="94">
        <v>61201343</v>
      </c>
      <c r="V703" s="158">
        <v>10</v>
      </c>
      <c r="W703" s="311">
        <v>43313</v>
      </c>
      <c r="X703" s="311"/>
      <c r="Y703" s="311"/>
      <c r="Z703" s="94"/>
      <c r="AA703" s="158"/>
      <c r="AB703" s="158"/>
      <c r="AC703" s="158"/>
      <c r="AD703" s="158"/>
      <c r="AE703" s="158"/>
      <c r="AF703" s="158">
        <f>P703-U703-Z703</f>
        <v>-61201343</v>
      </c>
      <c r="AG703" s="158"/>
      <c r="AH703" s="94">
        <v>0</v>
      </c>
      <c r="AI703" s="94">
        <v>0</v>
      </c>
      <c r="AJ703" s="94"/>
      <c r="AK703" s="158">
        <f t="shared" ref="AK703" si="195">AF703+AH703</f>
        <v>-61201343</v>
      </c>
      <c r="AL703" s="158"/>
      <c r="AM703" s="158"/>
      <c r="AN703" s="158"/>
      <c r="AO703" s="158"/>
      <c r="AP703" s="158"/>
      <c r="AQ703" s="158"/>
      <c r="AR703" s="158"/>
      <c r="AS703" s="158"/>
      <c r="AT703" s="2">
        <v>1</v>
      </c>
      <c r="AU703" s="58" t="s">
        <v>646</v>
      </c>
      <c r="AV703" s="386"/>
      <c r="AW703" s="51"/>
      <c r="AX703" s="158"/>
      <c r="AY703" s="12"/>
      <c r="AZ703" s="158">
        <v>1</v>
      </c>
      <c r="BA703" s="158"/>
      <c r="BB703" s="158"/>
      <c r="BC703" s="69"/>
      <c r="BD703" s="69">
        <v>1</v>
      </c>
      <c r="BE703" s="69"/>
      <c r="BF703" s="271">
        <v>2019</v>
      </c>
      <c r="BG703" s="271">
        <v>2019</v>
      </c>
      <c r="BH703" s="271"/>
      <c r="BI703" s="271" t="s">
        <v>2375</v>
      </c>
    </row>
    <row r="704" spans="1:61" s="204" customFormat="1" ht="22.5" customHeight="1">
      <c r="A704" s="160" t="s">
        <v>512</v>
      </c>
      <c r="B704" s="58" t="s">
        <v>295</v>
      </c>
      <c r="C704" s="148" t="s">
        <v>789</v>
      </c>
      <c r="D704" s="33" t="s">
        <v>743</v>
      </c>
      <c r="E704" s="33"/>
      <c r="F704" s="33"/>
      <c r="G704" s="33"/>
      <c r="H704" s="30" t="s">
        <v>713</v>
      </c>
      <c r="I704" s="30"/>
      <c r="J704" s="212"/>
      <c r="K704" s="51"/>
      <c r="L704" s="51"/>
      <c r="M704" s="51"/>
      <c r="N704" s="51"/>
      <c r="O704" s="51"/>
      <c r="P704" s="51"/>
      <c r="Q704" s="51"/>
      <c r="R704" s="158"/>
      <c r="S704" s="51"/>
      <c r="T704" s="51"/>
      <c r="U704" s="94"/>
      <c r="V704" s="51"/>
      <c r="W704" s="311"/>
      <c r="X704" s="311"/>
      <c r="Y704" s="311"/>
      <c r="Z704" s="94"/>
      <c r="AA704" s="51"/>
      <c r="AB704" s="51"/>
      <c r="AC704" s="51"/>
      <c r="AD704" s="51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2">
        <v>1</v>
      </c>
      <c r="AU704" s="58" t="s">
        <v>646</v>
      </c>
      <c r="AV704" s="105"/>
      <c r="AW704" s="51"/>
      <c r="AX704" s="158"/>
      <c r="AY704" s="688">
        <v>103</v>
      </c>
      <c r="AZ704" s="158"/>
      <c r="BA704" s="158"/>
      <c r="BB704" s="158">
        <v>103</v>
      </c>
      <c r="BC704" s="69"/>
      <c r="BD704" s="69"/>
      <c r="BE704" s="69"/>
      <c r="BF704" s="271">
        <v>2018</v>
      </c>
      <c r="BG704" s="271"/>
      <c r="BH704" s="268"/>
      <c r="BI704" s="271" t="s">
        <v>2376</v>
      </c>
    </row>
    <row r="705" spans="1:61" s="204" customFormat="1" ht="23.25" customHeight="1">
      <c r="A705" s="160" t="s">
        <v>512</v>
      </c>
      <c r="B705" s="58" t="s">
        <v>295</v>
      </c>
      <c r="C705" s="148" t="s">
        <v>789</v>
      </c>
      <c r="D705" s="33" t="s">
        <v>743</v>
      </c>
      <c r="E705" s="33"/>
      <c r="F705" s="33"/>
      <c r="G705" s="33"/>
      <c r="H705" s="30" t="s">
        <v>713</v>
      </c>
      <c r="I705" s="30"/>
      <c r="J705" s="212"/>
      <c r="K705" s="51"/>
      <c r="L705" s="51"/>
      <c r="M705" s="51"/>
      <c r="N705" s="51"/>
      <c r="O705" s="51"/>
      <c r="P705" s="51"/>
      <c r="Q705" s="51"/>
      <c r="R705" s="158"/>
      <c r="S705" s="51"/>
      <c r="T705" s="51"/>
      <c r="U705" s="94"/>
      <c r="V705" s="51"/>
      <c r="W705" s="311"/>
      <c r="X705" s="311"/>
      <c r="Y705" s="311"/>
      <c r="Z705" s="94"/>
      <c r="AA705" s="51"/>
      <c r="AB705" s="51"/>
      <c r="AC705" s="51"/>
      <c r="AD705" s="51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2">
        <v>1</v>
      </c>
      <c r="AU705" s="58" t="s">
        <v>646</v>
      </c>
      <c r="AV705" s="105"/>
      <c r="AW705" s="51"/>
      <c r="AX705" s="158"/>
      <c r="AY705" s="688">
        <v>7</v>
      </c>
      <c r="AZ705" s="158"/>
      <c r="BA705" s="158"/>
      <c r="BB705" s="158">
        <v>7</v>
      </c>
      <c r="BC705" s="69"/>
      <c r="BD705" s="69"/>
      <c r="BE705" s="69"/>
      <c r="BF705" s="271">
        <v>2018</v>
      </c>
      <c r="BG705" s="271"/>
      <c r="BH705" s="268"/>
      <c r="BI705" s="271" t="s">
        <v>2376</v>
      </c>
    </row>
    <row r="706" spans="1:61" s="204" customFormat="1" ht="18" customHeight="1">
      <c r="A706" s="160" t="s">
        <v>512</v>
      </c>
      <c r="B706" s="58" t="s">
        <v>548</v>
      </c>
      <c r="C706" s="64" t="s">
        <v>790</v>
      </c>
      <c r="D706" s="33" t="s">
        <v>787</v>
      </c>
      <c r="E706" s="33"/>
      <c r="F706" s="33"/>
      <c r="G706" s="33"/>
      <c r="H706" s="30" t="s">
        <v>713</v>
      </c>
      <c r="I706" s="30">
        <v>2004</v>
      </c>
      <c r="J706" s="212">
        <v>42997</v>
      </c>
      <c r="K706" s="51"/>
      <c r="L706" s="51"/>
      <c r="M706" s="51">
        <v>43</v>
      </c>
      <c r="N706" s="51">
        <v>43</v>
      </c>
      <c r="O706" s="51"/>
      <c r="P706" s="158">
        <v>3243946306</v>
      </c>
      <c r="Q706" s="158"/>
      <c r="R706" s="158"/>
      <c r="S706" s="51"/>
      <c r="T706" s="51"/>
      <c r="U706" s="94"/>
      <c r="V706" s="51"/>
      <c r="W706" s="311"/>
      <c r="X706" s="311"/>
      <c r="Y706" s="311"/>
      <c r="Z706" s="94"/>
      <c r="AA706" s="51"/>
      <c r="AB706" s="51"/>
      <c r="AC706" s="51"/>
      <c r="AD706" s="51"/>
      <c r="AE706" s="158"/>
      <c r="AF706" s="158">
        <f>P706-U706-Z706-3243946306</f>
        <v>0</v>
      </c>
      <c r="AG706" s="158"/>
      <c r="AH706" s="158">
        <v>3243946306</v>
      </c>
      <c r="AI706" s="158">
        <v>3243946306</v>
      </c>
      <c r="AJ706" s="158"/>
      <c r="AK706" s="158">
        <f>P706-R706-U706-Z706</f>
        <v>3243946306</v>
      </c>
      <c r="AL706" s="158">
        <v>877</v>
      </c>
      <c r="AM706" s="158">
        <v>10</v>
      </c>
      <c r="AN706" s="158">
        <v>43</v>
      </c>
      <c r="AO706" s="158"/>
      <c r="AP706" s="158"/>
      <c r="AQ706" s="158"/>
      <c r="AR706" s="158"/>
      <c r="AS706" s="158"/>
      <c r="AT706" s="56">
        <v>0</v>
      </c>
      <c r="AU706" s="58" t="s">
        <v>521</v>
      </c>
      <c r="AV706" s="386" t="s">
        <v>1327</v>
      </c>
      <c r="AW706" s="51"/>
      <c r="AX706" s="158"/>
      <c r="AY706" s="12"/>
      <c r="AZ706" s="158"/>
      <c r="BA706" s="158"/>
      <c r="BB706" s="158"/>
      <c r="BC706" s="69"/>
      <c r="BD706" s="69"/>
      <c r="BE706" s="69"/>
      <c r="BF706" s="271"/>
      <c r="BG706" s="271">
        <v>2019</v>
      </c>
      <c r="BH706" s="271">
        <v>2020</v>
      </c>
      <c r="BI706" s="271" t="s">
        <v>2375</v>
      </c>
    </row>
    <row r="707" spans="1:61" s="204" customFormat="1" ht="28.5" customHeight="1">
      <c r="A707" s="160" t="s">
        <v>512</v>
      </c>
      <c r="B707" s="58" t="s">
        <v>548</v>
      </c>
      <c r="C707" s="63" t="s">
        <v>842</v>
      </c>
      <c r="D707" s="33" t="s">
        <v>16</v>
      </c>
      <c r="E707" s="33"/>
      <c r="F707" s="33"/>
      <c r="G707" s="33"/>
      <c r="H707" s="30" t="s">
        <v>715</v>
      </c>
      <c r="I707" s="228" t="s">
        <v>1539</v>
      </c>
      <c r="J707" s="215" t="s">
        <v>1532</v>
      </c>
      <c r="K707" s="51"/>
      <c r="L707" s="51"/>
      <c r="M707" s="51"/>
      <c r="N707" s="51"/>
      <c r="O707" s="51"/>
      <c r="P707" s="158">
        <f>8583960680-60879154-60879154</f>
        <v>8462202372</v>
      </c>
      <c r="Q707" s="158"/>
      <c r="R707" s="158"/>
      <c r="S707" s="51"/>
      <c r="T707" s="51"/>
      <c r="U707" s="94">
        <v>3728774829</v>
      </c>
      <c r="V707" s="51">
        <v>20</v>
      </c>
      <c r="W707" s="311"/>
      <c r="X707" s="311"/>
      <c r="Y707" s="311"/>
      <c r="Z707" s="94">
        <v>4733427543</v>
      </c>
      <c r="AA707" s="51">
        <v>10</v>
      </c>
      <c r="AB707" s="51"/>
      <c r="AC707" s="51"/>
      <c r="AD707" s="51"/>
      <c r="AE707" s="158"/>
      <c r="AF707" s="158">
        <f>P707-U707-Z707</f>
        <v>0</v>
      </c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1"/>
      <c r="AR707" s="11"/>
      <c r="AS707" s="11"/>
      <c r="AT707" s="2">
        <v>1</v>
      </c>
      <c r="AU707" s="58" t="s">
        <v>646</v>
      </c>
      <c r="AV707" s="105"/>
      <c r="AW707" s="51"/>
      <c r="AX707" s="158"/>
      <c r="AY707" s="12">
        <v>139</v>
      </c>
      <c r="AZ707" s="158"/>
      <c r="BA707" s="158"/>
      <c r="BB707" s="158"/>
      <c r="BC707" s="69">
        <v>139</v>
      </c>
      <c r="BD707" s="69">
        <f>+AY707</f>
        <v>139</v>
      </c>
      <c r="BE707" s="69"/>
      <c r="BF707" s="271">
        <v>2018</v>
      </c>
      <c r="BG707" s="271"/>
      <c r="BI707" s="271" t="s">
        <v>2375</v>
      </c>
    </row>
    <row r="708" spans="1:61" s="204" customFormat="1" ht="18" customHeight="1">
      <c r="A708" s="230" t="s">
        <v>512</v>
      </c>
      <c r="B708" s="58" t="s">
        <v>548</v>
      </c>
      <c r="C708" s="663" t="s">
        <v>842</v>
      </c>
      <c r="D708" s="33" t="s">
        <v>16</v>
      </c>
      <c r="E708" s="33"/>
      <c r="F708" s="33"/>
      <c r="G708" s="33"/>
      <c r="H708" s="30" t="s">
        <v>715</v>
      </c>
      <c r="I708" s="228" t="s">
        <v>1539</v>
      </c>
      <c r="J708" s="215" t="s">
        <v>1532</v>
      </c>
      <c r="K708" s="51"/>
      <c r="L708" s="51">
        <v>1</v>
      </c>
      <c r="M708" s="51"/>
      <c r="N708" s="51">
        <v>0</v>
      </c>
      <c r="O708" s="51"/>
      <c r="P708" s="158">
        <v>60879154</v>
      </c>
      <c r="Q708" s="158"/>
      <c r="R708" s="158"/>
      <c r="S708" s="158"/>
      <c r="T708" s="158"/>
      <c r="U708" s="94">
        <v>26825718</v>
      </c>
      <c r="V708" s="51">
        <v>20</v>
      </c>
      <c r="W708" s="311">
        <v>43888</v>
      </c>
      <c r="X708" s="311"/>
      <c r="Y708" s="311"/>
      <c r="Z708" s="94">
        <v>34053436</v>
      </c>
      <c r="AA708" s="51">
        <v>20</v>
      </c>
      <c r="AB708" s="311">
        <v>43888</v>
      </c>
      <c r="AC708" s="311"/>
      <c r="AD708" s="51"/>
      <c r="AE708" s="158"/>
      <c r="AF708" s="158">
        <f>P708</f>
        <v>60879154</v>
      </c>
      <c r="AG708" s="158"/>
      <c r="AH708" s="94">
        <v>0</v>
      </c>
      <c r="AI708" s="94">
        <v>60879154</v>
      </c>
      <c r="AJ708" s="94"/>
      <c r="AK708" s="158">
        <f t="shared" ref="AK708" si="196">P708-R708-U708-Z708</f>
        <v>0</v>
      </c>
      <c r="AL708" s="158">
        <v>877</v>
      </c>
      <c r="AM708" s="158">
        <v>20</v>
      </c>
      <c r="AN708" s="158"/>
      <c r="AO708" s="158"/>
      <c r="AP708" s="158"/>
      <c r="AQ708" s="11"/>
      <c r="AR708" s="11"/>
      <c r="AS708" s="158"/>
      <c r="AT708" s="2">
        <v>1</v>
      </c>
      <c r="AU708" s="58" t="s">
        <v>646</v>
      </c>
      <c r="AV708" s="7" t="s">
        <v>1343</v>
      </c>
      <c r="AW708" s="51"/>
      <c r="AX708" s="158"/>
      <c r="AY708" s="12"/>
      <c r="AZ708" s="158">
        <v>1</v>
      </c>
      <c r="BA708" s="158"/>
      <c r="BB708" s="158"/>
      <c r="BC708" s="69"/>
      <c r="BD708" s="69">
        <v>1</v>
      </c>
      <c r="BE708" s="69"/>
      <c r="BF708" s="271">
        <v>2019</v>
      </c>
      <c r="BG708" s="271">
        <v>2019</v>
      </c>
      <c r="BH708" s="430" t="s">
        <v>2194</v>
      </c>
      <c r="BI708" s="271" t="s">
        <v>2375</v>
      </c>
    </row>
    <row r="709" spans="1:61" s="204" customFormat="1" ht="18" customHeight="1">
      <c r="A709" s="160" t="s">
        <v>512</v>
      </c>
      <c r="B709" s="58" t="s">
        <v>548</v>
      </c>
      <c r="C709" s="63" t="s">
        <v>842</v>
      </c>
      <c r="D709" s="33" t="s">
        <v>16</v>
      </c>
      <c r="E709" s="33"/>
      <c r="F709" s="33"/>
      <c r="G709" s="33"/>
      <c r="H709" s="30" t="s">
        <v>715</v>
      </c>
      <c r="I709" s="228" t="s">
        <v>1539</v>
      </c>
      <c r="J709" s="215" t="s">
        <v>1532</v>
      </c>
      <c r="K709" s="51"/>
      <c r="L709" s="51">
        <v>1</v>
      </c>
      <c r="M709" s="51"/>
      <c r="N709" s="51"/>
      <c r="O709" s="51">
        <v>1</v>
      </c>
      <c r="P709" s="158">
        <v>60879154</v>
      </c>
      <c r="Q709" s="158"/>
      <c r="R709" s="158"/>
      <c r="S709" s="158"/>
      <c r="T709" s="158"/>
      <c r="U709" s="94"/>
      <c r="V709" s="51"/>
      <c r="W709" s="311"/>
      <c r="X709" s="311"/>
      <c r="Y709" s="311"/>
      <c r="Z709" s="94"/>
      <c r="AA709" s="71"/>
      <c r="AB709" s="71"/>
      <c r="AC709" s="71"/>
      <c r="AD709" s="94">
        <v>60879154</v>
      </c>
      <c r="AE709" s="158"/>
      <c r="AF709" s="158">
        <f>P709-U709-Z709-AD709</f>
        <v>0</v>
      </c>
      <c r="AG709" s="158"/>
      <c r="AH709" s="158">
        <v>0</v>
      </c>
      <c r="AI709" s="158">
        <v>0</v>
      </c>
      <c r="AJ709" s="158"/>
      <c r="AK709" s="158">
        <f>P709-R709-U709-Z709-AD709</f>
        <v>0</v>
      </c>
      <c r="AL709" s="158">
        <v>877</v>
      </c>
      <c r="AM709" s="158">
        <v>10</v>
      </c>
      <c r="AO709" s="158"/>
      <c r="AP709" s="158"/>
      <c r="AQ709" s="11"/>
      <c r="AR709" s="11"/>
      <c r="AS709" s="158">
        <v>1</v>
      </c>
      <c r="AT709" s="98">
        <v>0</v>
      </c>
      <c r="AU709" s="58" t="s">
        <v>687</v>
      </c>
      <c r="AV709" s="478" t="s">
        <v>2352</v>
      </c>
      <c r="AW709" s="51"/>
      <c r="AX709" s="158"/>
      <c r="AY709" s="158"/>
      <c r="AZ709" s="158"/>
      <c r="BA709" s="158"/>
      <c r="BB709" s="158"/>
      <c r="BC709" s="69"/>
      <c r="BD709" s="69"/>
      <c r="BE709" s="69">
        <v>1</v>
      </c>
      <c r="BF709" s="271" t="s">
        <v>2200</v>
      </c>
      <c r="BG709" s="271">
        <v>2019</v>
      </c>
      <c r="BH709" s="271">
        <v>2020</v>
      </c>
      <c r="BI709" s="271" t="s">
        <v>2375</v>
      </c>
    </row>
    <row r="710" spans="1:61" s="204" customFormat="1" ht="28.5" customHeight="1">
      <c r="A710" s="243" t="s">
        <v>512</v>
      </c>
      <c r="B710" s="58" t="s">
        <v>548</v>
      </c>
      <c r="C710" s="167" t="s">
        <v>791</v>
      </c>
      <c r="D710" s="33" t="s">
        <v>778</v>
      </c>
      <c r="E710" s="33"/>
      <c r="F710" s="33"/>
      <c r="G710" s="33"/>
      <c r="H710" s="30" t="s">
        <v>715</v>
      </c>
      <c r="I710" s="30">
        <v>2913</v>
      </c>
      <c r="J710" s="212" t="s">
        <v>1649</v>
      </c>
      <c r="K710" s="51"/>
      <c r="L710" s="51">
        <v>132</v>
      </c>
      <c r="M710" s="51"/>
      <c r="N710" s="51"/>
      <c r="O710" s="51"/>
      <c r="P710" s="158">
        <f>8506879487-189041767</f>
        <v>8317837720</v>
      </c>
      <c r="Q710" s="158"/>
      <c r="R710" s="158"/>
      <c r="S710" s="51"/>
      <c r="T710" s="51"/>
      <c r="U710" s="94">
        <f>3827833102-3827833102+3742770143</f>
        <v>3742770143</v>
      </c>
      <c r="V710" s="51">
        <v>20</v>
      </c>
      <c r="W710" s="311"/>
      <c r="X710" s="311"/>
      <c r="Y710" s="311"/>
      <c r="Z710" s="94">
        <v>4575067577</v>
      </c>
      <c r="AA710" s="51">
        <v>20</v>
      </c>
      <c r="AB710" s="280"/>
      <c r="AC710" s="280"/>
      <c r="AD710" s="51"/>
      <c r="AE710" s="158"/>
      <c r="AF710" s="158">
        <f t="shared" ref="AF710:AF724" si="197">P710-U710-Z710</f>
        <v>0</v>
      </c>
      <c r="AG710" s="158"/>
      <c r="AH710" s="158">
        <f>P710-U710-Z710</f>
        <v>0</v>
      </c>
      <c r="AI710" s="158">
        <v>0</v>
      </c>
      <c r="AJ710" s="158"/>
      <c r="AK710" s="158">
        <f t="shared" ref="AK710:AK720" si="198">AF710+AH710</f>
        <v>0</v>
      </c>
      <c r="AL710" s="158">
        <v>877</v>
      </c>
      <c r="AM710" s="158">
        <v>20</v>
      </c>
      <c r="AN710" s="158"/>
      <c r="AO710" s="158"/>
      <c r="AP710" s="51"/>
      <c r="AQ710" s="158"/>
      <c r="AR710" s="158"/>
      <c r="AS710" s="158"/>
      <c r="AT710" s="2">
        <v>1</v>
      </c>
      <c r="AU710" s="58" t="s">
        <v>646</v>
      </c>
      <c r="AV710" s="478"/>
      <c r="AW710" s="51"/>
      <c r="AX710" s="158"/>
      <c r="AY710" s="158"/>
      <c r="AZ710" s="158">
        <v>132</v>
      </c>
      <c r="BA710" s="158"/>
      <c r="BB710" s="158"/>
      <c r="BC710" s="69"/>
      <c r="BD710" s="69">
        <v>132</v>
      </c>
      <c r="BE710" s="69"/>
      <c r="BF710" s="271">
        <v>2019</v>
      </c>
      <c r="BG710" s="271">
        <v>2019</v>
      </c>
      <c r="BH710" s="271"/>
      <c r="BI710" s="271" t="s">
        <v>2375</v>
      </c>
    </row>
    <row r="711" spans="1:61" s="204" customFormat="1" ht="22.5" customHeight="1">
      <c r="A711" s="160" t="s">
        <v>512</v>
      </c>
      <c r="B711" s="58" t="s">
        <v>548</v>
      </c>
      <c r="C711" s="167" t="s">
        <v>791</v>
      </c>
      <c r="D711" s="33" t="s">
        <v>778</v>
      </c>
      <c r="E711" s="33"/>
      <c r="F711" s="33"/>
      <c r="G711" s="33"/>
      <c r="H711" s="30" t="s">
        <v>715</v>
      </c>
      <c r="I711" s="228" t="s">
        <v>1533</v>
      </c>
      <c r="J711" s="215" t="s">
        <v>1532</v>
      </c>
      <c r="K711" s="51"/>
      <c r="L711" s="51"/>
      <c r="M711" s="51">
        <v>3</v>
      </c>
      <c r="N711" s="51">
        <v>3</v>
      </c>
      <c r="O711" s="51"/>
      <c r="P711" s="158">
        <v>189041767</v>
      </c>
      <c r="Q711" s="158"/>
      <c r="R711" s="158"/>
      <c r="S711" s="158"/>
      <c r="T711" s="158"/>
      <c r="U711" s="94"/>
      <c r="V711" s="51"/>
      <c r="W711" s="311"/>
      <c r="X711" s="311"/>
      <c r="Y711" s="311"/>
      <c r="Z711" s="94"/>
      <c r="AA711" s="71"/>
      <c r="AB711" s="71"/>
      <c r="AC711" s="71"/>
      <c r="AD711" s="71"/>
      <c r="AE711" s="158"/>
      <c r="AF711" s="158">
        <f t="shared" si="197"/>
        <v>189041767</v>
      </c>
      <c r="AG711" s="158"/>
      <c r="AH711" s="94">
        <v>0</v>
      </c>
      <c r="AI711" s="94">
        <v>189041767</v>
      </c>
      <c r="AJ711" s="94"/>
      <c r="AK711" s="158">
        <f>P711-R711-U711-Z711</f>
        <v>189041767</v>
      </c>
      <c r="AL711" s="158">
        <v>877</v>
      </c>
      <c r="AM711" s="158">
        <v>20</v>
      </c>
      <c r="AN711" s="158">
        <v>3</v>
      </c>
      <c r="AO711" s="158"/>
      <c r="AP711" s="158"/>
      <c r="AQ711" s="158"/>
      <c r="AR711" s="158"/>
      <c r="AS711" s="158"/>
      <c r="AT711" s="56">
        <v>0</v>
      </c>
      <c r="AU711" s="58" t="s">
        <v>521</v>
      </c>
      <c r="AV711" s="478" t="s">
        <v>2189</v>
      </c>
      <c r="AW711" s="51"/>
      <c r="AX711" s="158"/>
      <c r="AY711" s="158"/>
      <c r="AZ711" s="158"/>
      <c r="BA711" s="158"/>
      <c r="BB711" s="158"/>
      <c r="BC711" s="69"/>
      <c r="BD711" s="69"/>
      <c r="BE711" s="69"/>
      <c r="BF711" s="271"/>
      <c r="BG711" s="271">
        <v>2019</v>
      </c>
      <c r="BH711" s="271">
        <v>2020</v>
      </c>
      <c r="BI711" s="271" t="s">
        <v>2375</v>
      </c>
    </row>
    <row r="712" spans="1:61" s="204" customFormat="1" ht="18" customHeight="1">
      <c r="A712" s="248" t="s">
        <v>512</v>
      </c>
      <c r="B712" s="58" t="s">
        <v>295</v>
      </c>
      <c r="C712" s="259" t="s">
        <v>788</v>
      </c>
      <c r="D712" s="33" t="s">
        <v>743</v>
      </c>
      <c r="E712" s="33"/>
      <c r="F712" s="33"/>
      <c r="G712" s="33"/>
      <c r="H712" s="30" t="s">
        <v>715</v>
      </c>
      <c r="I712" s="30">
        <v>2833</v>
      </c>
      <c r="J712" s="212">
        <v>43076</v>
      </c>
      <c r="K712" s="51"/>
      <c r="L712" s="51">
        <v>100</v>
      </c>
      <c r="M712" s="51"/>
      <c r="N712" s="51"/>
      <c r="O712" s="51"/>
      <c r="P712" s="51"/>
      <c r="Q712" s="51"/>
      <c r="R712" s="158"/>
      <c r="S712" s="51"/>
      <c r="T712" s="51"/>
      <c r="U712" s="94"/>
      <c r="V712" s="51"/>
      <c r="W712" s="311"/>
      <c r="X712" s="311"/>
      <c r="Y712" s="311"/>
      <c r="Z712" s="94">
        <v>3621221323</v>
      </c>
      <c r="AA712" s="51">
        <v>10</v>
      </c>
      <c r="AB712" s="311">
        <v>43313</v>
      </c>
      <c r="AC712" s="53"/>
      <c r="AD712" s="53"/>
      <c r="AE712" s="158"/>
      <c r="AF712" s="158">
        <f t="shared" si="197"/>
        <v>-3621221323</v>
      </c>
      <c r="AG712" s="158"/>
      <c r="AH712" s="94">
        <v>0</v>
      </c>
      <c r="AI712" s="94">
        <v>0</v>
      </c>
      <c r="AJ712" s="94"/>
      <c r="AK712" s="158">
        <f t="shared" si="198"/>
        <v>-3621221323</v>
      </c>
      <c r="AL712" s="158"/>
      <c r="AM712" s="158"/>
      <c r="AN712" s="158"/>
      <c r="AO712" s="158"/>
      <c r="AP712" s="51"/>
      <c r="AQ712" s="158"/>
      <c r="AR712" s="158"/>
      <c r="AS712" s="158"/>
      <c r="AT712" s="2">
        <v>1</v>
      </c>
      <c r="AU712" s="58" t="s">
        <v>646</v>
      </c>
      <c r="AV712" s="478"/>
      <c r="AW712" s="51"/>
      <c r="AX712" s="158"/>
      <c r="AY712" s="158"/>
      <c r="AZ712" s="81">
        <v>100</v>
      </c>
      <c r="BA712" s="81"/>
      <c r="BB712" s="81"/>
      <c r="BC712" s="220"/>
      <c r="BD712" s="220">
        <v>100</v>
      </c>
      <c r="BE712" s="220"/>
      <c r="BF712" s="271">
        <v>2019</v>
      </c>
      <c r="BG712" s="271">
        <v>2019</v>
      </c>
      <c r="BH712" s="271"/>
      <c r="BI712" s="271" t="s">
        <v>2375</v>
      </c>
    </row>
    <row r="713" spans="1:61" s="204" customFormat="1" ht="18" customHeight="1">
      <c r="A713" s="160" t="s">
        <v>512</v>
      </c>
      <c r="B713" s="58" t="s">
        <v>295</v>
      </c>
      <c r="C713" s="148" t="s">
        <v>788</v>
      </c>
      <c r="D713" s="33" t="s">
        <v>743</v>
      </c>
      <c r="E713" s="33"/>
      <c r="F713" s="33"/>
      <c r="G713" s="33"/>
      <c r="H713" s="30" t="s">
        <v>715</v>
      </c>
      <c r="I713" s="30">
        <v>2833</v>
      </c>
      <c r="J713" s="212">
        <v>43076</v>
      </c>
      <c r="K713" s="51"/>
      <c r="L713" s="51">
        <v>1</v>
      </c>
      <c r="M713" s="51"/>
      <c r="N713" s="51"/>
      <c r="O713" s="51"/>
      <c r="P713" s="51"/>
      <c r="Q713" s="51"/>
      <c r="R713" s="158"/>
      <c r="S713" s="51"/>
      <c r="T713" s="51"/>
      <c r="U713" s="94"/>
      <c r="V713" s="51"/>
      <c r="W713" s="311"/>
      <c r="X713" s="311"/>
      <c r="Y713" s="311"/>
      <c r="Z713" s="94">
        <v>36212214</v>
      </c>
      <c r="AA713" s="51">
        <v>10</v>
      </c>
      <c r="AB713" s="311">
        <v>43313</v>
      </c>
      <c r="AC713" s="51"/>
      <c r="AD713" s="51"/>
      <c r="AE713" s="158"/>
      <c r="AF713" s="158">
        <f t="shared" si="197"/>
        <v>-36212214</v>
      </c>
      <c r="AG713" s="158"/>
      <c r="AH713" s="94">
        <v>0</v>
      </c>
      <c r="AI713" s="94">
        <v>0</v>
      </c>
      <c r="AJ713" s="94"/>
      <c r="AK713" s="158">
        <f t="shared" si="198"/>
        <v>-36212214</v>
      </c>
      <c r="AL713" s="158"/>
      <c r="AM713" s="158"/>
      <c r="AN713" s="158"/>
      <c r="AO713" s="158"/>
      <c r="AP713" s="51"/>
      <c r="AQ713" s="158"/>
      <c r="AR713" s="158"/>
      <c r="AS713" s="158"/>
      <c r="AT713" s="2">
        <v>1</v>
      </c>
      <c r="AU713" s="58" t="s">
        <v>646</v>
      </c>
      <c r="AV713" s="478"/>
      <c r="AW713" s="51"/>
      <c r="AX713" s="158"/>
      <c r="AY713" s="158"/>
      <c r="AZ713" s="81">
        <v>1</v>
      </c>
      <c r="BA713" s="81"/>
      <c r="BB713" s="81"/>
      <c r="BC713" s="220"/>
      <c r="BD713" s="220">
        <v>1</v>
      </c>
      <c r="BE713" s="220"/>
      <c r="BF713" s="271">
        <v>2019</v>
      </c>
      <c r="BG713" s="271">
        <v>2019</v>
      </c>
      <c r="BH713" s="271"/>
      <c r="BI713" s="271" t="s">
        <v>2375</v>
      </c>
    </row>
    <row r="714" spans="1:61" s="204" customFormat="1" ht="18" customHeight="1">
      <c r="A714" s="160" t="s">
        <v>512</v>
      </c>
      <c r="B714" s="58" t="s">
        <v>295</v>
      </c>
      <c r="C714" s="148" t="s">
        <v>993</v>
      </c>
      <c r="D714" s="33" t="s">
        <v>765</v>
      </c>
      <c r="E714" s="33"/>
      <c r="F714" s="33"/>
      <c r="G714" s="33"/>
      <c r="H714" s="30" t="s">
        <v>720</v>
      </c>
      <c r="I714" s="228">
        <v>3014</v>
      </c>
      <c r="J714" s="212">
        <v>43091</v>
      </c>
      <c r="K714" s="51"/>
      <c r="L714" s="51"/>
      <c r="M714" s="51">
        <v>57</v>
      </c>
      <c r="N714" s="51">
        <v>57</v>
      </c>
      <c r="O714" s="51"/>
      <c r="P714" s="158">
        <v>3619370312</v>
      </c>
      <c r="Q714" s="158"/>
      <c r="R714" s="158"/>
      <c r="S714" s="51"/>
      <c r="T714" s="51"/>
      <c r="U714" s="94">
        <v>1627110750</v>
      </c>
      <c r="V714" s="51">
        <v>10</v>
      </c>
      <c r="W714" s="311"/>
      <c r="X714" s="311"/>
      <c r="Y714" s="311"/>
      <c r="Z714" s="94">
        <v>1992259562</v>
      </c>
      <c r="AA714" s="51">
        <v>10</v>
      </c>
      <c r="AB714" s="311">
        <v>43678</v>
      </c>
      <c r="AC714" s="311"/>
      <c r="AD714" s="51"/>
      <c r="AE714" s="158"/>
      <c r="AF714" s="158">
        <f t="shared" si="197"/>
        <v>0</v>
      </c>
      <c r="AG714" s="158"/>
      <c r="AH714" s="94">
        <v>0</v>
      </c>
      <c r="AI714" s="94">
        <v>0</v>
      </c>
      <c r="AJ714" s="94"/>
      <c r="AK714" s="158">
        <f t="shared" ref="AK714:AK715" si="199">P714-R714-U714-Z714</f>
        <v>0</v>
      </c>
      <c r="AL714" s="158">
        <v>877</v>
      </c>
      <c r="AM714" s="158">
        <v>10</v>
      </c>
      <c r="AN714" s="158"/>
      <c r="AO714" s="158"/>
      <c r="AP714" s="158">
        <v>57</v>
      </c>
      <c r="AQ714" s="158"/>
      <c r="AR714" s="158"/>
      <c r="AS714" s="158"/>
      <c r="AT714" s="56">
        <v>1</v>
      </c>
      <c r="AU714" s="58" t="s">
        <v>646</v>
      </c>
      <c r="AV714" s="478" t="s">
        <v>2205</v>
      </c>
      <c r="AW714" s="51"/>
      <c r="AX714" s="158"/>
      <c r="AY714" s="158"/>
      <c r="AZ714" s="158"/>
      <c r="BA714" s="158">
        <v>57</v>
      </c>
      <c r="BB714" s="158"/>
      <c r="BC714" s="158"/>
      <c r="BD714" s="158">
        <v>57</v>
      </c>
      <c r="BE714" s="69"/>
      <c r="BF714" s="271">
        <v>2020</v>
      </c>
      <c r="BG714" s="271">
        <v>2019</v>
      </c>
      <c r="BH714" s="430">
        <v>2020</v>
      </c>
      <c r="BI714" s="271" t="s">
        <v>2375</v>
      </c>
    </row>
    <row r="715" spans="1:61" s="204" customFormat="1" ht="18" customHeight="1">
      <c r="A715" s="160" t="s">
        <v>512</v>
      </c>
      <c r="B715" s="58" t="s">
        <v>295</v>
      </c>
      <c r="C715" s="148" t="s">
        <v>1082</v>
      </c>
      <c r="D715" s="33" t="s">
        <v>765</v>
      </c>
      <c r="E715" s="33"/>
      <c r="F715" s="33"/>
      <c r="G715" s="33"/>
      <c r="H715" s="30" t="s">
        <v>720</v>
      </c>
      <c r="I715" s="30">
        <v>3015</v>
      </c>
      <c r="J715" s="212">
        <v>43091</v>
      </c>
      <c r="K715" s="51"/>
      <c r="L715" s="51"/>
      <c r="M715" s="51">
        <v>61</v>
      </c>
      <c r="N715" s="51">
        <v>61</v>
      </c>
      <c r="O715" s="51"/>
      <c r="P715" s="158">
        <v>3879207695</v>
      </c>
      <c r="Q715" s="158"/>
      <c r="R715" s="158"/>
      <c r="S715" s="51"/>
      <c r="T715" s="51"/>
      <c r="U715" s="94">
        <v>1745330023</v>
      </c>
      <c r="V715" s="51">
        <v>10</v>
      </c>
      <c r="W715" s="311"/>
      <c r="X715" s="311"/>
      <c r="Y715" s="311"/>
      <c r="Z715" s="94">
        <v>2133877672</v>
      </c>
      <c r="AA715" s="81">
        <v>20</v>
      </c>
      <c r="AB715" s="311">
        <v>43800</v>
      </c>
      <c r="AC715" s="311"/>
      <c r="AD715" s="51"/>
      <c r="AE715" s="158"/>
      <c r="AF715" s="158">
        <f>P715-U715-Z715</f>
        <v>0</v>
      </c>
      <c r="AG715" s="158"/>
      <c r="AH715" s="94">
        <v>0</v>
      </c>
      <c r="AI715" s="94">
        <v>0</v>
      </c>
      <c r="AJ715" s="94"/>
      <c r="AK715" s="158">
        <f t="shared" si="199"/>
        <v>0</v>
      </c>
      <c r="AL715" s="158">
        <v>877</v>
      </c>
      <c r="AM715" s="158">
        <v>20</v>
      </c>
      <c r="AN715" s="158"/>
      <c r="AO715" s="158">
        <v>61</v>
      </c>
      <c r="AP715" s="158"/>
      <c r="AQ715" s="158"/>
      <c r="AR715" s="158"/>
      <c r="AS715" s="158"/>
      <c r="AT715" s="56">
        <v>0.46500000000000002</v>
      </c>
      <c r="AU715" s="58" t="s">
        <v>38</v>
      </c>
      <c r="AV715" s="478"/>
      <c r="AW715" s="51"/>
      <c r="AX715" s="158"/>
      <c r="AY715" s="158"/>
      <c r="AZ715" s="158"/>
      <c r="BA715" s="158"/>
      <c r="BB715" s="158"/>
      <c r="BC715" s="69"/>
      <c r="BD715" s="69"/>
      <c r="BE715" s="69"/>
      <c r="BF715" s="271"/>
      <c r="BG715" s="271">
        <v>2019</v>
      </c>
      <c r="BH715" s="430">
        <v>2020</v>
      </c>
      <c r="BI715" s="271" t="s">
        <v>2375</v>
      </c>
    </row>
    <row r="716" spans="1:61" s="204" customFormat="1" ht="18" customHeight="1">
      <c r="A716" s="160" t="s">
        <v>512</v>
      </c>
      <c r="B716" s="58" t="s">
        <v>295</v>
      </c>
      <c r="C716" s="148" t="s">
        <v>1083</v>
      </c>
      <c r="D716" s="33" t="s">
        <v>765</v>
      </c>
      <c r="E716" s="33"/>
      <c r="F716" s="33"/>
      <c r="G716" s="33"/>
      <c r="H716" s="30" t="s">
        <v>720</v>
      </c>
      <c r="I716" s="30">
        <v>3013</v>
      </c>
      <c r="J716" s="212">
        <v>43090</v>
      </c>
      <c r="K716" s="51"/>
      <c r="L716" s="51">
        <v>89</v>
      </c>
      <c r="M716" s="51"/>
      <c r="N716" s="51"/>
      <c r="O716" s="51"/>
      <c r="P716" s="51"/>
      <c r="Q716" s="51"/>
      <c r="R716" s="158"/>
      <c r="S716" s="51"/>
      <c r="T716" s="51"/>
      <c r="U716" s="94"/>
      <c r="V716" s="51"/>
      <c r="W716" s="311"/>
      <c r="X716" s="311"/>
      <c r="Y716" s="311"/>
      <c r="Z716" s="94">
        <v>3077259884</v>
      </c>
      <c r="AA716" s="51">
        <v>10</v>
      </c>
      <c r="AB716" s="311">
        <v>43374</v>
      </c>
      <c r="AC716" s="51"/>
      <c r="AD716" s="51"/>
      <c r="AE716" s="158"/>
      <c r="AF716" s="158">
        <f t="shared" si="197"/>
        <v>-3077259884</v>
      </c>
      <c r="AG716" s="158"/>
      <c r="AH716" s="94">
        <v>0</v>
      </c>
      <c r="AI716" s="94">
        <v>0</v>
      </c>
      <c r="AJ716" s="94"/>
      <c r="AK716" s="158">
        <f t="shared" si="198"/>
        <v>-3077259884</v>
      </c>
      <c r="AL716" s="158"/>
      <c r="AM716" s="158"/>
      <c r="AN716" s="158"/>
      <c r="AO716" s="158"/>
      <c r="AP716" s="158"/>
      <c r="AQ716" s="158"/>
      <c r="AR716" s="158"/>
      <c r="AS716" s="158"/>
      <c r="AT716" s="2">
        <v>1</v>
      </c>
      <c r="AU716" s="58" t="s">
        <v>646</v>
      </c>
      <c r="AV716" s="478"/>
      <c r="AW716" s="51"/>
      <c r="AX716" s="158"/>
      <c r="AY716" s="158"/>
      <c r="AZ716" s="158">
        <v>89</v>
      </c>
      <c r="BA716" s="158"/>
      <c r="BB716" s="158"/>
      <c r="BC716" s="69"/>
      <c r="BD716" s="69">
        <v>89</v>
      </c>
      <c r="BE716" s="69"/>
      <c r="BF716" s="271">
        <v>2019</v>
      </c>
      <c r="BG716" s="271">
        <v>2019</v>
      </c>
      <c r="BH716" s="271"/>
      <c r="BI716" s="271" t="s">
        <v>2375</v>
      </c>
    </row>
    <row r="717" spans="1:61" s="204" customFormat="1" ht="18" customHeight="1">
      <c r="A717" s="160" t="s">
        <v>512</v>
      </c>
      <c r="B717" s="58" t="s">
        <v>1008</v>
      </c>
      <c r="C717" s="148" t="s">
        <v>1007</v>
      </c>
      <c r="D717" s="33" t="s">
        <v>1328</v>
      </c>
      <c r="E717" s="33"/>
      <c r="F717" s="33"/>
      <c r="G717" s="33"/>
      <c r="H717" s="30" t="s">
        <v>968</v>
      </c>
      <c r="I717" s="30">
        <v>566</v>
      </c>
      <c r="J717" s="212">
        <v>43147</v>
      </c>
      <c r="K717" s="81">
        <v>69</v>
      </c>
      <c r="L717" s="81">
        <v>69</v>
      </c>
      <c r="M717" s="81"/>
      <c r="N717" s="81">
        <v>69</v>
      </c>
      <c r="O717" s="81"/>
      <c r="P717" s="158">
        <v>5002440356</v>
      </c>
      <c r="Q717" s="158"/>
      <c r="R717" s="158"/>
      <c r="S717" s="81"/>
      <c r="T717" s="81"/>
      <c r="U717" s="94">
        <v>2501220178</v>
      </c>
      <c r="V717" s="81">
        <v>10</v>
      </c>
      <c r="W717" s="311">
        <v>43313</v>
      </c>
      <c r="X717" s="649"/>
      <c r="Y717" s="311"/>
      <c r="Z717" s="94">
        <v>2253282468</v>
      </c>
      <c r="AA717" s="81">
        <v>20</v>
      </c>
      <c r="AB717" s="311">
        <v>43709</v>
      </c>
      <c r="AC717" s="311"/>
      <c r="AD717" s="81"/>
      <c r="AE717" s="158"/>
      <c r="AF717" s="158">
        <f>P717-U717-Z717</f>
        <v>247937710</v>
      </c>
      <c r="AG717" s="158"/>
      <c r="AH717" s="158"/>
      <c r="AI717" s="158">
        <v>247937710</v>
      </c>
      <c r="AJ717" s="158"/>
      <c r="AK717" s="158">
        <f>P717-R717-U717-Z717</f>
        <v>247937710</v>
      </c>
      <c r="AL717" s="158">
        <v>877</v>
      </c>
      <c r="AM717" s="158">
        <v>20</v>
      </c>
      <c r="AN717" s="158"/>
      <c r="AO717" s="158">
        <v>69</v>
      </c>
      <c r="AP717" s="158"/>
      <c r="AQ717" s="158"/>
      <c r="AR717" s="158"/>
      <c r="AS717" s="158"/>
      <c r="AT717" s="56">
        <v>0.78790000000000004</v>
      </c>
      <c r="AU717" s="58" t="s">
        <v>38</v>
      </c>
      <c r="AV717" s="479" t="s">
        <v>1223</v>
      </c>
      <c r="AW717" s="51"/>
      <c r="AX717" s="158"/>
      <c r="AY717" s="158"/>
      <c r="AZ717" s="158"/>
      <c r="BA717" s="158"/>
      <c r="BB717" s="158"/>
      <c r="BC717" s="69"/>
      <c r="BD717" s="69"/>
      <c r="BE717" s="69"/>
      <c r="BF717" s="271"/>
      <c r="BG717" s="271">
        <v>2019</v>
      </c>
      <c r="BH717" s="430">
        <v>2020</v>
      </c>
      <c r="BI717" s="271" t="s">
        <v>2375</v>
      </c>
    </row>
    <row r="718" spans="1:61" s="204" customFormat="1" ht="18" customHeight="1">
      <c r="A718" s="160" t="s">
        <v>512</v>
      </c>
      <c r="B718" s="58" t="s">
        <v>1008</v>
      </c>
      <c r="C718" s="58" t="s">
        <v>1024</v>
      </c>
      <c r="D718" s="33" t="s">
        <v>772</v>
      </c>
      <c r="E718" s="33"/>
      <c r="F718" s="33"/>
      <c r="G718" s="33"/>
      <c r="H718" s="30" t="s">
        <v>968</v>
      </c>
      <c r="I718" s="228" t="s">
        <v>1466</v>
      </c>
      <c r="J718" s="215" t="s">
        <v>1465</v>
      </c>
      <c r="K718" s="81">
        <v>24</v>
      </c>
      <c r="L718" s="81">
        <v>24</v>
      </c>
      <c r="M718" s="81"/>
      <c r="N718" s="81"/>
      <c r="O718" s="81">
        <v>24</v>
      </c>
      <c r="P718" s="213">
        <v>1515076314</v>
      </c>
      <c r="Q718" s="213"/>
      <c r="R718" s="158"/>
      <c r="S718" s="213"/>
      <c r="T718" s="213"/>
      <c r="U718" s="94">
        <v>629281439</v>
      </c>
      <c r="V718" s="81">
        <v>20</v>
      </c>
      <c r="W718" s="311"/>
      <c r="X718" s="311"/>
      <c r="Y718" s="311"/>
      <c r="Z718" s="94">
        <v>885794875</v>
      </c>
      <c r="AA718" s="81">
        <v>10</v>
      </c>
      <c r="AB718" s="311">
        <v>43525</v>
      </c>
      <c r="AC718" s="311"/>
      <c r="AD718" s="81"/>
      <c r="AE718" s="158"/>
      <c r="AF718" s="158">
        <f t="shared" si="197"/>
        <v>0</v>
      </c>
      <c r="AG718" s="158"/>
      <c r="AH718" s="94">
        <v>0</v>
      </c>
      <c r="AI718" s="94">
        <v>0</v>
      </c>
      <c r="AJ718" s="94"/>
      <c r="AK718" s="158">
        <f t="shared" ref="AK718:AK719" si="200">P718-R718-U718-Z718</f>
        <v>0</v>
      </c>
      <c r="AL718" s="158">
        <v>877</v>
      </c>
      <c r="AM718" s="158">
        <v>10</v>
      </c>
      <c r="AN718" s="158"/>
      <c r="AO718" s="158"/>
      <c r="AP718" s="158"/>
      <c r="AQ718" s="158">
        <v>24</v>
      </c>
      <c r="AR718" s="158"/>
      <c r="AS718" s="158"/>
      <c r="AT718" s="56">
        <v>0.64700000000000002</v>
      </c>
      <c r="AU718" s="58" t="s">
        <v>942</v>
      </c>
      <c r="AV718" s="386" t="s">
        <v>2348</v>
      </c>
      <c r="AW718" s="51"/>
      <c r="AX718" s="158"/>
      <c r="AY718" s="158"/>
      <c r="AZ718" s="158"/>
      <c r="BA718" s="158"/>
      <c r="BB718" s="158"/>
      <c r="BC718" s="69"/>
      <c r="BD718" s="69"/>
      <c r="BE718" s="69"/>
      <c r="BF718" s="271"/>
      <c r="BG718" s="271">
        <v>2019</v>
      </c>
      <c r="BH718" s="430">
        <v>2020</v>
      </c>
      <c r="BI718" s="271" t="s">
        <v>2375</v>
      </c>
    </row>
    <row r="719" spans="1:61" s="204" customFormat="1" ht="18" customHeight="1">
      <c r="A719" s="160" t="s">
        <v>512</v>
      </c>
      <c r="B719" s="58" t="s">
        <v>295</v>
      </c>
      <c r="C719" s="58" t="s">
        <v>1102</v>
      </c>
      <c r="D719" s="33" t="s">
        <v>16</v>
      </c>
      <c r="E719" s="33"/>
      <c r="F719" s="33"/>
      <c r="G719" s="33"/>
      <c r="H719" s="30" t="s">
        <v>1058</v>
      </c>
      <c r="I719" s="115" t="s">
        <v>1445</v>
      </c>
      <c r="J719" s="215" t="s">
        <v>1446</v>
      </c>
      <c r="K719" s="81">
        <v>123</v>
      </c>
      <c r="L719" s="81">
        <v>123</v>
      </c>
      <c r="M719" s="81"/>
      <c r="N719" s="81">
        <v>123</v>
      </c>
      <c r="O719" s="81"/>
      <c r="P719" s="12">
        <v>8094154673</v>
      </c>
      <c r="Q719" s="12"/>
      <c r="R719" s="158"/>
      <c r="S719" s="12"/>
      <c r="T719" s="12"/>
      <c r="U719" s="94">
        <v>3502318027</v>
      </c>
      <c r="V719" s="81">
        <v>20</v>
      </c>
      <c r="W719" s="311">
        <v>43374</v>
      </c>
      <c r="X719" s="311"/>
      <c r="Y719" s="311"/>
      <c r="Z719" s="94">
        <v>4591836646</v>
      </c>
      <c r="AA719" s="81">
        <v>20</v>
      </c>
      <c r="AB719" s="311">
        <v>43678</v>
      </c>
      <c r="AC719" s="311"/>
      <c r="AD719" s="81"/>
      <c r="AE719" s="158"/>
      <c r="AF719" s="158">
        <f t="shared" si="197"/>
        <v>0</v>
      </c>
      <c r="AG719" s="158"/>
      <c r="AH719" s="94">
        <v>0</v>
      </c>
      <c r="AI719" s="94">
        <v>0</v>
      </c>
      <c r="AJ719" s="94"/>
      <c r="AK719" s="158">
        <f t="shared" si="200"/>
        <v>0</v>
      </c>
      <c r="AL719" s="158">
        <v>877</v>
      </c>
      <c r="AM719" s="158">
        <v>20</v>
      </c>
      <c r="AN719" s="158"/>
      <c r="AO719" s="158"/>
      <c r="AP719" s="158">
        <v>123</v>
      </c>
      <c r="AQ719" s="158"/>
      <c r="AR719" s="158"/>
      <c r="AS719" s="158"/>
      <c r="AT719" s="56">
        <v>1</v>
      </c>
      <c r="AU719" s="58" t="s">
        <v>646</v>
      </c>
      <c r="AV719" s="479" t="s">
        <v>1223</v>
      </c>
      <c r="AW719" s="51"/>
      <c r="AX719" s="158"/>
      <c r="AY719" s="158"/>
      <c r="AZ719" s="158"/>
      <c r="BA719" s="158">
        <v>123</v>
      </c>
      <c r="BB719" s="158"/>
      <c r="BC719" s="69"/>
      <c r="BD719" s="69">
        <v>123</v>
      </c>
      <c r="BE719" s="69"/>
      <c r="BF719" s="271">
        <v>2020</v>
      </c>
      <c r="BG719" s="271">
        <v>2019</v>
      </c>
      <c r="BH719" s="430">
        <v>2020</v>
      </c>
      <c r="BI719" s="271" t="s">
        <v>2375</v>
      </c>
    </row>
    <row r="720" spans="1:61" s="204" customFormat="1" ht="18" customHeight="1">
      <c r="A720" s="160" t="s">
        <v>512</v>
      </c>
      <c r="B720" s="58" t="s">
        <v>2435</v>
      </c>
      <c r="C720" s="58" t="s">
        <v>293</v>
      </c>
      <c r="D720" s="33" t="s">
        <v>287</v>
      </c>
      <c r="E720" s="33"/>
      <c r="F720" s="33"/>
      <c r="G720" s="33"/>
      <c r="H720" s="30" t="s">
        <v>1058</v>
      </c>
      <c r="I720" s="78">
        <v>349</v>
      </c>
      <c r="J720" s="212">
        <v>43410</v>
      </c>
      <c r="K720" s="81">
        <v>40</v>
      </c>
      <c r="L720" s="81">
        <v>40</v>
      </c>
      <c r="M720" s="81"/>
      <c r="N720" s="81"/>
      <c r="O720" s="81"/>
      <c r="P720" s="158">
        <v>2540529190</v>
      </c>
      <c r="Q720" s="158"/>
      <c r="R720" s="158"/>
      <c r="S720" s="158"/>
      <c r="T720" s="158"/>
      <c r="U720" s="94">
        <v>1055629557</v>
      </c>
      <c r="V720" s="94">
        <v>10</v>
      </c>
      <c r="W720" s="311">
        <v>43405</v>
      </c>
      <c r="X720" s="311"/>
      <c r="Y720" s="311"/>
      <c r="Z720" s="94">
        <v>1484899633</v>
      </c>
      <c r="AA720" s="221">
        <v>10</v>
      </c>
      <c r="AB720" s="311">
        <v>43678</v>
      </c>
      <c r="AC720" s="577"/>
      <c r="AD720" s="221"/>
      <c r="AE720" s="158"/>
      <c r="AF720" s="158">
        <f t="shared" si="197"/>
        <v>0</v>
      </c>
      <c r="AG720" s="158"/>
      <c r="AH720" s="94">
        <v>0</v>
      </c>
      <c r="AI720" s="94">
        <v>0</v>
      </c>
      <c r="AJ720" s="94"/>
      <c r="AK720" s="158">
        <f t="shared" si="198"/>
        <v>0</v>
      </c>
      <c r="AL720" s="158">
        <v>877</v>
      </c>
      <c r="AM720" s="158">
        <v>10</v>
      </c>
      <c r="AN720" s="158"/>
      <c r="AO720" s="158"/>
      <c r="AP720" s="158"/>
      <c r="AQ720" s="158"/>
      <c r="AR720" s="158"/>
      <c r="AS720" s="158"/>
      <c r="AT720" s="2">
        <v>1</v>
      </c>
      <c r="AU720" s="58" t="s">
        <v>646</v>
      </c>
      <c r="AV720" s="479"/>
      <c r="AW720" s="51"/>
      <c r="AX720" s="158"/>
      <c r="AY720" s="158"/>
      <c r="AZ720" s="158">
        <v>40</v>
      </c>
      <c r="BA720" s="158"/>
      <c r="BB720" s="158"/>
      <c r="BC720" s="69"/>
      <c r="BD720" s="69">
        <v>40</v>
      </c>
      <c r="BE720" s="69"/>
      <c r="BF720" s="271">
        <v>2019</v>
      </c>
      <c r="BG720" s="271">
        <v>2019</v>
      </c>
      <c r="BH720" s="271"/>
      <c r="BI720" s="271" t="s">
        <v>2375</v>
      </c>
    </row>
    <row r="721" spans="1:61" s="204" customFormat="1" ht="18" customHeight="1">
      <c r="A721" s="160" t="s">
        <v>512</v>
      </c>
      <c r="B721" s="58" t="s">
        <v>295</v>
      </c>
      <c r="C721" s="58" t="s">
        <v>1331</v>
      </c>
      <c r="D721" s="33" t="s">
        <v>1164</v>
      </c>
      <c r="E721" s="33"/>
      <c r="F721" s="33"/>
      <c r="G721" s="33"/>
      <c r="H721" s="30" t="s">
        <v>1113</v>
      </c>
      <c r="I721" s="82">
        <v>705</v>
      </c>
      <c r="J721" s="212">
        <v>43452</v>
      </c>
      <c r="K721" s="81">
        <v>84</v>
      </c>
      <c r="L721" s="81">
        <v>84</v>
      </c>
      <c r="M721" s="81"/>
      <c r="N721" s="81">
        <v>84</v>
      </c>
      <c r="O721" s="81"/>
      <c r="P721" s="158">
        <f>5595240175-65826355</f>
        <v>5529413820</v>
      </c>
      <c r="Q721" s="158"/>
      <c r="R721" s="158"/>
      <c r="S721" s="158"/>
      <c r="T721" s="158"/>
      <c r="U721" s="94">
        <v>3007738427</v>
      </c>
      <c r="V721" s="158">
        <v>10</v>
      </c>
      <c r="W721" s="311">
        <v>43525</v>
      </c>
      <c r="X721" s="311"/>
      <c r="Y721" s="311"/>
      <c r="Z721" s="94">
        <v>2521675393</v>
      </c>
      <c r="AA721" s="158">
        <v>20</v>
      </c>
      <c r="AB721" s="311">
        <v>43739</v>
      </c>
      <c r="AC721" s="583"/>
      <c r="AD721" s="92"/>
      <c r="AE721" s="158"/>
      <c r="AF721" s="158">
        <f>P721-U721-Z721</f>
        <v>0</v>
      </c>
      <c r="AG721" s="158"/>
      <c r="AH721" s="94">
        <v>0</v>
      </c>
      <c r="AI721" s="94">
        <v>0</v>
      </c>
      <c r="AJ721" s="94"/>
      <c r="AK721" s="158">
        <f t="shared" ref="AK721:AK732" si="201">P721-R721-U721-Z721</f>
        <v>0</v>
      </c>
      <c r="AL721" s="158">
        <v>877</v>
      </c>
      <c r="AM721" s="158">
        <v>20</v>
      </c>
      <c r="AN721" s="158"/>
      <c r="AO721" s="158"/>
      <c r="AP721" s="158">
        <v>84</v>
      </c>
      <c r="AQ721" s="158"/>
      <c r="AR721" s="158"/>
      <c r="AS721" s="158"/>
      <c r="AT721" s="24">
        <v>1</v>
      </c>
      <c r="AU721" s="58" t="s">
        <v>646</v>
      </c>
      <c r="AV721" s="479" t="s">
        <v>1329</v>
      </c>
      <c r="AW721" s="51"/>
      <c r="AX721" s="158"/>
      <c r="AY721" s="158"/>
      <c r="AZ721" s="158"/>
      <c r="BA721" s="158">
        <v>84</v>
      </c>
      <c r="BB721" s="158"/>
      <c r="BC721" s="69"/>
      <c r="BD721" s="69">
        <v>84</v>
      </c>
      <c r="BE721" s="69"/>
      <c r="BF721" s="271">
        <v>2020</v>
      </c>
      <c r="BG721" s="271">
        <v>2019</v>
      </c>
      <c r="BH721" s="430">
        <v>2020</v>
      </c>
      <c r="BI721" s="271" t="s">
        <v>2375</v>
      </c>
    </row>
    <row r="722" spans="1:61" s="204" customFormat="1" ht="18" customHeight="1">
      <c r="A722" s="160" t="s">
        <v>512</v>
      </c>
      <c r="B722" s="58" t="s">
        <v>295</v>
      </c>
      <c r="C722" s="58" t="s">
        <v>1331</v>
      </c>
      <c r="D722" s="33" t="s">
        <v>1164</v>
      </c>
      <c r="E722" s="33"/>
      <c r="F722" s="33"/>
      <c r="G722" s="33"/>
      <c r="H722" s="30" t="s">
        <v>1113</v>
      </c>
      <c r="I722" s="82">
        <v>705</v>
      </c>
      <c r="J722" s="212">
        <v>43452</v>
      </c>
      <c r="K722" s="81"/>
      <c r="L722" s="81"/>
      <c r="M722" s="81">
        <v>1</v>
      </c>
      <c r="N722" s="81"/>
      <c r="O722" s="81">
        <v>1</v>
      </c>
      <c r="P722" s="158">
        <v>65826355</v>
      </c>
      <c r="Q722" s="158"/>
      <c r="R722" s="158"/>
      <c r="S722" s="158"/>
      <c r="T722" s="158"/>
      <c r="U722" s="94"/>
      <c r="V722" s="81">
        <v>10</v>
      </c>
      <c r="W722" s="311"/>
      <c r="X722" s="311"/>
      <c r="Y722" s="311"/>
      <c r="Z722" s="94"/>
      <c r="AA722" s="81"/>
      <c r="AB722" s="81"/>
      <c r="AC722" s="81"/>
      <c r="AD722" s="81"/>
      <c r="AE722" s="158"/>
      <c r="AF722" s="158">
        <f t="shared" si="197"/>
        <v>65826355</v>
      </c>
      <c r="AG722" s="158"/>
      <c r="AH722" s="94">
        <v>0</v>
      </c>
      <c r="AI722" s="94">
        <v>65826355</v>
      </c>
      <c r="AJ722" s="94"/>
      <c r="AK722" s="158">
        <f t="shared" si="201"/>
        <v>65826355</v>
      </c>
      <c r="AL722" s="158">
        <v>877</v>
      </c>
      <c r="AM722" s="158">
        <v>10</v>
      </c>
      <c r="AN722" s="158">
        <v>1</v>
      </c>
      <c r="AO722" s="158"/>
      <c r="AP722" s="158"/>
      <c r="AQ722" s="158"/>
      <c r="AR722" s="158"/>
      <c r="AS722" s="158"/>
      <c r="AT722" s="98">
        <v>0</v>
      </c>
      <c r="AU722" s="58" t="s">
        <v>521</v>
      </c>
      <c r="AV722" s="478" t="s">
        <v>1297</v>
      </c>
      <c r="AW722" s="51"/>
      <c r="AX722" s="158"/>
      <c r="AY722" s="158"/>
      <c r="AZ722" s="158"/>
      <c r="BA722" s="158"/>
      <c r="BB722" s="158"/>
      <c r="BC722" s="69"/>
      <c r="BD722" s="69"/>
      <c r="BE722" s="69"/>
      <c r="BF722" s="271"/>
      <c r="BG722" s="271">
        <v>2019</v>
      </c>
      <c r="BH722" s="271">
        <v>2020</v>
      </c>
      <c r="BI722" s="271" t="s">
        <v>2375</v>
      </c>
    </row>
    <row r="723" spans="1:61" s="204" customFormat="1" ht="18" customHeight="1">
      <c r="A723" s="160" t="s">
        <v>512</v>
      </c>
      <c r="B723" s="58" t="s">
        <v>295</v>
      </c>
      <c r="C723" s="58" t="s">
        <v>1253</v>
      </c>
      <c r="D723" s="33" t="s">
        <v>119</v>
      </c>
      <c r="E723" s="33"/>
      <c r="F723" s="33"/>
      <c r="G723" s="33"/>
      <c r="H723" s="30" t="s">
        <v>1232</v>
      </c>
      <c r="I723" s="82">
        <v>508</v>
      </c>
      <c r="J723" s="212">
        <v>43543</v>
      </c>
      <c r="K723" s="81"/>
      <c r="L723" s="81"/>
      <c r="M723" s="81">
        <v>16</v>
      </c>
      <c r="N723" s="81">
        <v>16</v>
      </c>
      <c r="O723" s="81"/>
      <c r="P723" s="94">
        <v>1110929911</v>
      </c>
      <c r="Q723" s="94"/>
      <c r="R723" s="158"/>
      <c r="S723" s="94"/>
      <c r="T723" s="94"/>
      <c r="U723" s="94">
        <v>577000617</v>
      </c>
      <c r="V723" s="94">
        <v>20</v>
      </c>
      <c r="W723" s="311">
        <v>43617</v>
      </c>
      <c r="X723" s="311"/>
      <c r="Y723" s="311"/>
      <c r="Z723" s="94"/>
      <c r="AA723" s="81"/>
      <c r="AB723" s="81"/>
      <c r="AC723" s="81"/>
      <c r="AD723" s="81"/>
      <c r="AE723" s="158"/>
      <c r="AF723" s="158">
        <f t="shared" si="197"/>
        <v>533929294</v>
      </c>
      <c r="AG723" s="158"/>
      <c r="AH723" s="94">
        <v>0</v>
      </c>
      <c r="AI723" s="94">
        <v>533929294</v>
      </c>
      <c r="AJ723" s="94"/>
      <c r="AK723" s="158">
        <f>P723-R723-U723-Z723</f>
        <v>533929294</v>
      </c>
      <c r="AL723" s="158">
        <v>877</v>
      </c>
      <c r="AM723" s="158">
        <v>20</v>
      </c>
      <c r="AN723" s="158"/>
      <c r="AO723" s="158">
        <v>16</v>
      </c>
      <c r="AP723" s="158"/>
      <c r="AQ723" s="158"/>
      <c r="AR723" s="158"/>
      <c r="AS723" s="158"/>
      <c r="AT723" s="56">
        <v>0.43</v>
      </c>
      <c r="AU723" s="58" t="s">
        <v>38</v>
      </c>
      <c r="AV723" s="478"/>
      <c r="AW723" s="60"/>
      <c r="AX723" s="158"/>
      <c r="AY723" s="158"/>
      <c r="AZ723" s="158"/>
      <c r="BA723" s="158"/>
      <c r="BB723" s="158"/>
      <c r="BC723" s="69"/>
      <c r="BD723" s="69"/>
      <c r="BE723" s="69"/>
      <c r="BF723" s="271"/>
      <c r="BG723" s="271">
        <v>2019</v>
      </c>
      <c r="BH723" s="430">
        <v>2020</v>
      </c>
      <c r="BI723" s="271" t="s">
        <v>2375</v>
      </c>
    </row>
    <row r="724" spans="1:61" s="204" customFormat="1" ht="18" customHeight="1">
      <c r="A724" s="160" t="s">
        <v>512</v>
      </c>
      <c r="B724" s="58" t="s">
        <v>295</v>
      </c>
      <c r="C724" s="58" t="s">
        <v>1254</v>
      </c>
      <c r="D724" s="33" t="s">
        <v>119</v>
      </c>
      <c r="E724" s="33"/>
      <c r="F724" s="33"/>
      <c r="G724" s="33"/>
      <c r="H724" s="30" t="s">
        <v>1232</v>
      </c>
      <c r="I724" s="82">
        <v>509</v>
      </c>
      <c r="J724" s="212">
        <v>43543</v>
      </c>
      <c r="K724" s="81"/>
      <c r="L724" s="81"/>
      <c r="M724" s="81">
        <v>29</v>
      </c>
      <c r="N724" s="81">
        <v>29</v>
      </c>
      <c r="O724" s="81"/>
      <c r="P724" s="94">
        <v>2003852898</v>
      </c>
      <c r="Q724" s="94"/>
      <c r="R724" s="158"/>
      <c r="S724" s="94"/>
      <c r="T724" s="94"/>
      <c r="U724" s="94">
        <v>1040698090</v>
      </c>
      <c r="V724" s="94">
        <v>20</v>
      </c>
      <c r="W724" s="311">
        <v>43617</v>
      </c>
      <c r="X724" s="311"/>
      <c r="Y724" s="311"/>
      <c r="Z724" s="94"/>
      <c r="AA724" s="81"/>
      <c r="AB724" s="81"/>
      <c r="AC724" s="81"/>
      <c r="AD724" s="81"/>
      <c r="AE724" s="158"/>
      <c r="AF724" s="158">
        <f t="shared" si="197"/>
        <v>963154808</v>
      </c>
      <c r="AG724" s="158"/>
      <c r="AH724" s="94">
        <v>0</v>
      </c>
      <c r="AI724" s="94">
        <v>963154808</v>
      </c>
      <c r="AJ724" s="94"/>
      <c r="AK724" s="158">
        <f>P724-R724-U724-Z724</f>
        <v>963154808</v>
      </c>
      <c r="AL724" s="158">
        <v>877</v>
      </c>
      <c r="AM724" s="158">
        <v>20</v>
      </c>
      <c r="AN724" s="158"/>
      <c r="AO724" s="158">
        <v>29</v>
      </c>
      <c r="AP724" s="158"/>
      <c r="AQ724" s="158"/>
      <c r="AR724" s="158"/>
      <c r="AS724" s="158"/>
      <c r="AT724" s="56">
        <v>0.4</v>
      </c>
      <c r="AU724" s="58" t="s">
        <v>38</v>
      </c>
      <c r="AV724" s="478"/>
      <c r="AW724" s="60"/>
      <c r="AX724" s="158"/>
      <c r="AY724" s="158"/>
      <c r="AZ724" s="158"/>
      <c r="BA724" s="158"/>
      <c r="BB724" s="158"/>
      <c r="BC724" s="69"/>
      <c r="BD724" s="69"/>
      <c r="BE724" s="69"/>
      <c r="BF724" s="271"/>
      <c r="BG724" s="271">
        <v>2019</v>
      </c>
      <c r="BH724" s="430">
        <v>2020</v>
      </c>
      <c r="BI724" s="271" t="s">
        <v>2375</v>
      </c>
    </row>
    <row r="725" spans="1:61" s="204" customFormat="1" ht="18" customHeight="1">
      <c r="A725" s="160" t="s">
        <v>512</v>
      </c>
      <c r="B725" s="58" t="s">
        <v>295</v>
      </c>
      <c r="C725" s="58" t="s">
        <v>1255</v>
      </c>
      <c r="D725" s="33" t="s">
        <v>119</v>
      </c>
      <c r="E725" s="33"/>
      <c r="F725" s="33"/>
      <c r="G725" s="33"/>
      <c r="H725" s="30" t="s">
        <v>1232</v>
      </c>
      <c r="I725" s="82">
        <v>510</v>
      </c>
      <c r="J725" s="212">
        <v>43543</v>
      </c>
      <c r="K725" s="81"/>
      <c r="L725" s="81"/>
      <c r="M725" s="81">
        <f>37-1</f>
        <v>36</v>
      </c>
      <c r="N725" s="81">
        <v>36</v>
      </c>
      <c r="O725" s="81"/>
      <c r="P725" s="94">
        <f>2597901790-70213562</f>
        <v>2527688228</v>
      </c>
      <c r="Q725" s="94"/>
      <c r="R725" s="158"/>
      <c r="S725" s="94"/>
      <c r="T725" s="94"/>
      <c r="U725" s="94">
        <v>1313596330</v>
      </c>
      <c r="V725" s="94">
        <v>20</v>
      </c>
      <c r="W725" s="311">
        <v>43617</v>
      </c>
      <c r="X725" s="311"/>
      <c r="Y725" s="311"/>
      <c r="Z725" s="94"/>
      <c r="AA725" s="81"/>
      <c r="AB725" s="81"/>
      <c r="AC725" s="81"/>
      <c r="AD725" s="81"/>
      <c r="AE725" s="158"/>
      <c r="AF725" s="158">
        <f>P725-U725-Z725</f>
        <v>1214091898</v>
      </c>
      <c r="AG725" s="158"/>
      <c r="AH725" s="94">
        <v>0</v>
      </c>
      <c r="AI725" s="94">
        <v>1214091898</v>
      </c>
      <c r="AJ725" s="94"/>
      <c r="AK725" s="158">
        <f t="shared" si="201"/>
        <v>1214091898</v>
      </c>
      <c r="AL725" s="158">
        <v>877</v>
      </c>
      <c r="AM725" s="158">
        <v>20</v>
      </c>
      <c r="AN725" s="158"/>
      <c r="AO725" s="158">
        <v>36</v>
      </c>
      <c r="AP725" s="158"/>
      <c r="AQ725" s="158"/>
      <c r="AR725" s="158"/>
      <c r="AS725" s="158"/>
      <c r="AT725" s="56">
        <v>0.39</v>
      </c>
      <c r="AU725" s="58" t="s">
        <v>38</v>
      </c>
      <c r="AV725" s="478" t="s">
        <v>2188</v>
      </c>
      <c r="AW725" s="60"/>
      <c r="AX725" s="158"/>
      <c r="AY725" s="158"/>
      <c r="AZ725" s="158"/>
      <c r="BA725" s="158"/>
      <c r="BB725" s="158"/>
      <c r="BC725" s="69"/>
      <c r="BD725" s="69"/>
      <c r="BE725" s="69"/>
      <c r="BF725" s="271"/>
      <c r="BG725" s="271">
        <v>2019</v>
      </c>
      <c r="BH725" s="430">
        <v>2020</v>
      </c>
      <c r="BI725" s="271" t="s">
        <v>2375</v>
      </c>
    </row>
    <row r="726" spans="1:61" s="204" customFormat="1" ht="18" customHeight="1">
      <c r="A726" s="160" t="s">
        <v>512</v>
      </c>
      <c r="B726" s="58" t="s">
        <v>295</v>
      </c>
      <c r="C726" s="58" t="s">
        <v>1255</v>
      </c>
      <c r="D726" s="33" t="s">
        <v>119</v>
      </c>
      <c r="E726" s="33"/>
      <c r="F726" s="33"/>
      <c r="G726" s="33"/>
      <c r="H726" s="30" t="s">
        <v>1232</v>
      </c>
      <c r="I726" s="82">
        <v>510</v>
      </c>
      <c r="J726" s="212">
        <v>43543</v>
      </c>
      <c r="K726" s="81"/>
      <c r="L726" s="81"/>
      <c r="M726" s="81">
        <v>1</v>
      </c>
      <c r="N726" s="81">
        <v>1</v>
      </c>
      <c r="O726" s="81"/>
      <c r="P726" s="94">
        <v>70213562</v>
      </c>
      <c r="Q726" s="94"/>
      <c r="R726" s="158"/>
      <c r="S726" s="94"/>
      <c r="T726" s="94"/>
      <c r="U726" s="94"/>
      <c r="V726" s="94"/>
      <c r="W726" s="311"/>
      <c r="X726" s="311"/>
      <c r="Y726" s="311"/>
      <c r="Z726" s="94"/>
      <c r="AA726" s="81"/>
      <c r="AB726" s="81"/>
      <c r="AC726" s="81"/>
      <c r="AD726" s="81"/>
      <c r="AE726" s="158"/>
      <c r="AF726" s="158">
        <f>P726-U726-Z726</f>
        <v>70213562</v>
      </c>
      <c r="AG726" s="158"/>
      <c r="AH726" s="94">
        <v>0</v>
      </c>
      <c r="AI726" s="94">
        <v>70213562</v>
      </c>
      <c r="AJ726" s="94"/>
      <c r="AK726" s="158">
        <f t="shared" si="201"/>
        <v>70213562</v>
      </c>
      <c r="AL726" s="158">
        <v>877</v>
      </c>
      <c r="AM726" s="158">
        <v>20</v>
      </c>
      <c r="AN726" s="158">
        <v>1</v>
      </c>
      <c r="AO726" s="158"/>
      <c r="AP726" s="158"/>
      <c r="AQ726" s="158"/>
      <c r="AR726" s="158"/>
      <c r="AS726" s="158"/>
      <c r="AT726" s="56">
        <v>0</v>
      </c>
      <c r="AU726" s="58" t="s">
        <v>521</v>
      </c>
      <c r="AV726" s="478"/>
      <c r="AW726" s="60"/>
      <c r="AX726" s="158"/>
      <c r="AY726" s="158"/>
      <c r="AZ726" s="158"/>
      <c r="BA726" s="158"/>
      <c r="BB726" s="158"/>
      <c r="BC726" s="69"/>
      <c r="BD726" s="69"/>
      <c r="BE726" s="69"/>
      <c r="BF726" s="271"/>
      <c r="BG726" s="271">
        <v>2019</v>
      </c>
      <c r="BH726" s="271">
        <v>2020</v>
      </c>
      <c r="BI726" s="271" t="s">
        <v>2375</v>
      </c>
    </row>
    <row r="727" spans="1:61" s="204" customFormat="1" ht="25.5" customHeight="1">
      <c r="A727" s="160" t="s">
        <v>512</v>
      </c>
      <c r="B727" s="58" t="s">
        <v>1579</v>
      </c>
      <c r="C727" s="88" t="s">
        <v>1612</v>
      </c>
      <c r="D727" s="33" t="s">
        <v>46</v>
      </c>
      <c r="E727" s="33"/>
      <c r="F727" s="33"/>
      <c r="G727" s="33"/>
      <c r="H727" s="30" t="s">
        <v>1605</v>
      </c>
      <c r="I727" s="82">
        <v>1382</v>
      </c>
      <c r="J727" s="212">
        <v>43685</v>
      </c>
      <c r="K727" s="81"/>
      <c r="L727" s="81"/>
      <c r="M727" s="81">
        <v>74</v>
      </c>
      <c r="N727" s="81">
        <v>74</v>
      </c>
      <c r="O727" s="81"/>
      <c r="P727" s="94">
        <v>5371476569</v>
      </c>
      <c r="Q727" s="94"/>
      <c r="R727" s="158"/>
      <c r="S727" s="94"/>
      <c r="T727" s="94"/>
      <c r="U727" s="94">
        <f>2937801857+26857382</f>
        <v>2964659239</v>
      </c>
      <c r="V727" s="94">
        <v>20</v>
      </c>
      <c r="W727" s="311">
        <v>43709</v>
      </c>
      <c r="X727" s="311"/>
      <c r="Y727" s="311"/>
      <c r="Z727" s="94">
        <v>2406817330</v>
      </c>
      <c r="AA727" s="81">
        <v>20</v>
      </c>
      <c r="AB727" s="311">
        <v>43826</v>
      </c>
      <c r="AC727" s="311"/>
      <c r="AD727" s="81"/>
      <c r="AE727" s="158"/>
      <c r="AF727" s="158">
        <f>P727-U727-Z727</f>
        <v>0</v>
      </c>
      <c r="AG727" s="158"/>
      <c r="AH727" s="94">
        <v>0</v>
      </c>
      <c r="AI727" s="94">
        <v>0</v>
      </c>
      <c r="AJ727" s="94"/>
      <c r="AK727" s="158">
        <f t="shared" si="201"/>
        <v>0</v>
      </c>
      <c r="AL727" s="158">
        <v>877</v>
      </c>
      <c r="AM727" s="158">
        <v>20</v>
      </c>
      <c r="AN727" s="158"/>
      <c r="AO727" s="158"/>
      <c r="AP727" s="158">
        <v>74</v>
      </c>
      <c r="AQ727" s="158"/>
      <c r="AR727" s="158"/>
      <c r="AS727" s="158"/>
      <c r="AT727" s="56">
        <v>1</v>
      </c>
      <c r="AU727" s="58" t="s">
        <v>646</v>
      </c>
      <c r="AV727" s="478"/>
      <c r="AW727" s="60"/>
      <c r="AX727" s="158"/>
      <c r="AY727" s="158"/>
      <c r="AZ727" s="158"/>
      <c r="BA727" s="158">
        <v>74</v>
      </c>
      <c r="BB727" s="158"/>
      <c r="BC727" s="69"/>
      <c r="BD727" s="69">
        <v>74</v>
      </c>
      <c r="BE727" s="69"/>
      <c r="BF727" s="271">
        <v>2020</v>
      </c>
      <c r="BG727" s="271">
        <v>2019</v>
      </c>
      <c r="BH727" s="430">
        <v>2020</v>
      </c>
      <c r="BI727" s="271" t="s">
        <v>2375</v>
      </c>
    </row>
    <row r="728" spans="1:61" s="204" customFormat="1" ht="27.75" customHeight="1">
      <c r="A728" s="160" t="s">
        <v>512</v>
      </c>
      <c r="B728" s="58" t="s">
        <v>1579</v>
      </c>
      <c r="C728" s="88" t="s">
        <v>1612</v>
      </c>
      <c r="D728" s="33" t="s">
        <v>46</v>
      </c>
      <c r="E728" s="33"/>
      <c r="F728" s="33"/>
      <c r="G728" s="33"/>
      <c r="H728" s="30" t="s">
        <v>1605</v>
      </c>
      <c r="I728" s="82">
        <v>1382</v>
      </c>
      <c r="J728" s="212">
        <v>43685</v>
      </c>
      <c r="K728" s="81"/>
      <c r="L728" s="81"/>
      <c r="M728" s="81">
        <v>1</v>
      </c>
      <c r="N728" s="81">
        <v>1</v>
      </c>
      <c r="O728" s="81"/>
      <c r="P728" s="94">
        <v>72587522</v>
      </c>
      <c r="Q728" s="94"/>
      <c r="R728" s="158"/>
      <c r="S728" s="94"/>
      <c r="T728" s="94"/>
      <c r="U728" s="94">
        <f>39116118+362938</f>
        <v>39479056</v>
      </c>
      <c r="V728" s="94">
        <v>20</v>
      </c>
      <c r="W728" s="311">
        <v>43900</v>
      </c>
      <c r="X728" s="311"/>
      <c r="Y728" s="311"/>
      <c r="Z728" s="94">
        <v>33108466</v>
      </c>
      <c r="AA728" s="81">
        <v>20</v>
      </c>
      <c r="AB728" s="311">
        <v>43951</v>
      </c>
      <c r="AC728" s="311"/>
      <c r="AD728" s="81"/>
      <c r="AE728" s="158"/>
      <c r="AF728" s="158">
        <f>P728</f>
        <v>72587522</v>
      </c>
      <c r="AG728" s="158"/>
      <c r="AH728" s="158">
        <v>0</v>
      </c>
      <c r="AI728" s="158">
        <v>72587522</v>
      </c>
      <c r="AJ728" s="158"/>
      <c r="AK728" s="158">
        <f t="shared" si="201"/>
        <v>0</v>
      </c>
      <c r="AL728" s="158">
        <v>877</v>
      </c>
      <c r="AM728" s="158">
        <v>20</v>
      </c>
      <c r="AN728" s="158"/>
      <c r="AO728" s="158"/>
      <c r="AP728" s="158">
        <v>1</v>
      </c>
      <c r="AQ728" s="158"/>
      <c r="AR728" s="158"/>
      <c r="AS728" s="158"/>
      <c r="AT728" s="56">
        <v>1</v>
      </c>
      <c r="AU728" s="58" t="s">
        <v>646</v>
      </c>
      <c r="AV728" s="478"/>
      <c r="AW728" s="60"/>
      <c r="AX728" s="158"/>
      <c r="AY728" s="158"/>
      <c r="AZ728" s="158"/>
      <c r="BA728" s="158">
        <v>1</v>
      </c>
      <c r="BB728" s="158"/>
      <c r="BC728" s="69"/>
      <c r="BD728" s="69">
        <v>1</v>
      </c>
      <c r="BE728" s="69"/>
      <c r="BF728" s="271">
        <v>2020</v>
      </c>
      <c r="BG728" s="271">
        <v>2019</v>
      </c>
      <c r="BH728" s="430">
        <v>2020</v>
      </c>
      <c r="BI728" s="271" t="s">
        <v>2375</v>
      </c>
    </row>
    <row r="729" spans="1:61" s="204" customFormat="1" ht="26.25" customHeight="1">
      <c r="A729" s="160" t="s">
        <v>512</v>
      </c>
      <c r="B729" s="58" t="s">
        <v>1579</v>
      </c>
      <c r="C729" s="58" t="s">
        <v>300</v>
      </c>
      <c r="D729" s="33" t="s">
        <v>1578</v>
      </c>
      <c r="E729" s="33"/>
      <c r="F729" s="33"/>
      <c r="G729" s="33"/>
      <c r="H729" s="30" t="s">
        <v>1553</v>
      </c>
      <c r="I729" s="82">
        <v>1663</v>
      </c>
      <c r="J729" s="212">
        <v>43731</v>
      </c>
      <c r="K729" s="81"/>
      <c r="L729" s="81"/>
      <c r="M729" s="81">
        <v>34</v>
      </c>
      <c r="N729" s="81">
        <v>34</v>
      </c>
      <c r="O729" s="81"/>
      <c r="P729" s="94">
        <f>1336391091+1105306648</f>
        <v>2441697739</v>
      </c>
      <c r="Q729" s="94"/>
      <c r="R729" s="158"/>
      <c r="S729" s="94"/>
      <c r="T729" s="94"/>
      <c r="U729" s="94">
        <v>1336391091</v>
      </c>
      <c r="V729" s="94">
        <v>20</v>
      </c>
      <c r="W729" s="460">
        <v>44012</v>
      </c>
      <c r="X729" s="311"/>
      <c r="Y729" s="311"/>
      <c r="Z729" s="94"/>
      <c r="AA729" s="81"/>
      <c r="AB729" s="81"/>
      <c r="AC729" s="81"/>
      <c r="AD729" s="81"/>
      <c r="AE729" s="158"/>
      <c r="AF729" s="158">
        <f>P729-U729-Z729-AH729</f>
        <v>1105306648</v>
      </c>
      <c r="AG729" s="158"/>
      <c r="AH729" s="94">
        <v>0</v>
      </c>
      <c r="AI729" s="94">
        <v>2441697739</v>
      </c>
      <c r="AJ729" s="94"/>
      <c r="AK729" s="158">
        <f t="shared" si="201"/>
        <v>1105306648</v>
      </c>
      <c r="AL729" s="158">
        <v>877</v>
      </c>
      <c r="AM729" s="158">
        <v>10</v>
      </c>
      <c r="AN729" s="158">
        <v>34</v>
      </c>
      <c r="AO729" s="158"/>
      <c r="AP729" s="158"/>
      <c r="AQ729" s="158"/>
      <c r="AR729" s="158"/>
      <c r="AS729" s="158"/>
      <c r="AT729" s="56">
        <v>0</v>
      </c>
      <c r="AU729" s="58" t="s">
        <v>521</v>
      </c>
      <c r="AV729" s="717" t="s">
        <v>2400</v>
      </c>
      <c r="AW729" s="60"/>
      <c r="AX729" s="158"/>
      <c r="AY729" s="158"/>
      <c r="AZ729" s="158"/>
      <c r="BA729" s="158"/>
      <c r="BB729" s="158"/>
      <c r="BC729" s="69"/>
      <c r="BD729" s="69"/>
      <c r="BE729" s="69"/>
      <c r="BF729" s="271"/>
      <c r="BG729" s="271">
        <v>2019</v>
      </c>
      <c r="BH729" s="271">
        <v>2020</v>
      </c>
      <c r="BI729" s="271" t="s">
        <v>2375</v>
      </c>
    </row>
    <row r="730" spans="1:61" s="204" customFormat="1" ht="18" customHeight="1">
      <c r="A730" s="160" t="s">
        <v>512</v>
      </c>
      <c r="B730" s="58" t="s">
        <v>1579</v>
      </c>
      <c r="C730" s="58" t="s">
        <v>2234</v>
      </c>
      <c r="D730" s="33" t="s">
        <v>1015</v>
      </c>
      <c r="E730" s="33"/>
      <c r="F730" s="33"/>
      <c r="G730" s="33"/>
      <c r="H730" s="30" t="s">
        <v>1763</v>
      </c>
      <c r="I730" s="82">
        <v>1857</v>
      </c>
      <c r="J730" s="212">
        <v>43766</v>
      </c>
      <c r="K730" s="81"/>
      <c r="L730" s="81"/>
      <c r="M730" s="81">
        <v>77</v>
      </c>
      <c r="N730" s="81">
        <v>77</v>
      </c>
      <c r="O730" s="81"/>
      <c r="P730" s="158">
        <v>6409638194</v>
      </c>
      <c r="Q730" s="158"/>
      <c r="R730" s="158"/>
      <c r="S730" s="94"/>
      <c r="T730" s="94"/>
      <c r="U730" s="94">
        <v>3507333675</v>
      </c>
      <c r="V730" s="94">
        <v>20</v>
      </c>
      <c r="W730" s="311">
        <v>43770</v>
      </c>
      <c r="X730" s="311"/>
      <c r="Y730" s="311"/>
      <c r="Z730" s="94">
        <v>2902304519</v>
      </c>
      <c r="AA730" s="81">
        <v>20</v>
      </c>
      <c r="AB730" s="311">
        <v>43920</v>
      </c>
      <c r="AC730" s="311"/>
      <c r="AD730" s="81"/>
      <c r="AE730" s="158"/>
      <c r="AF730" s="158">
        <f t="shared" ref="AF730" si="202">P730-R730-U730</f>
        <v>2902304519</v>
      </c>
      <c r="AG730" s="158"/>
      <c r="AH730" s="94">
        <v>0</v>
      </c>
      <c r="AI730" s="94">
        <v>2902304519</v>
      </c>
      <c r="AJ730" s="94"/>
      <c r="AK730" s="158">
        <f t="shared" si="201"/>
        <v>0</v>
      </c>
      <c r="AL730" s="158">
        <v>877</v>
      </c>
      <c r="AM730" s="158">
        <v>20</v>
      </c>
      <c r="AN730" s="158"/>
      <c r="AO730" s="158">
        <v>77</v>
      </c>
      <c r="AP730" s="158"/>
      <c r="AQ730" s="158"/>
      <c r="AR730" s="158"/>
      <c r="AS730" s="158"/>
      <c r="AT730" s="56">
        <v>0.6</v>
      </c>
      <c r="AU730" s="58" t="s">
        <v>38</v>
      </c>
      <c r="AV730" s="478"/>
      <c r="AW730" s="60"/>
      <c r="AX730" s="158"/>
      <c r="AY730" s="158"/>
      <c r="AZ730" s="158"/>
      <c r="BA730" s="158"/>
      <c r="BB730" s="158"/>
      <c r="BC730" s="69"/>
      <c r="BD730" s="69"/>
      <c r="BE730" s="69"/>
      <c r="BF730" s="271"/>
      <c r="BG730" s="271">
        <v>2019</v>
      </c>
      <c r="BH730" s="430">
        <v>2020</v>
      </c>
      <c r="BI730" s="271" t="s">
        <v>2375</v>
      </c>
    </row>
    <row r="731" spans="1:61" s="204" customFormat="1" ht="18" customHeight="1">
      <c r="A731" s="160" t="s">
        <v>512</v>
      </c>
      <c r="B731" s="58" t="s">
        <v>2434</v>
      </c>
      <c r="C731" s="148" t="s">
        <v>2397</v>
      </c>
      <c r="D731" s="33" t="s">
        <v>16</v>
      </c>
      <c r="E731" s="660"/>
      <c r="F731" s="78">
        <v>4</v>
      </c>
      <c r="G731" s="660"/>
      <c r="H731" s="30" t="s">
        <v>2398</v>
      </c>
      <c r="I731" s="82">
        <v>709</v>
      </c>
      <c r="J731" s="212">
        <v>44000</v>
      </c>
      <c r="K731" s="227"/>
      <c r="L731" s="227"/>
      <c r="M731" s="227"/>
      <c r="N731" s="227"/>
      <c r="O731" s="227">
        <v>59</v>
      </c>
      <c r="P731" s="61">
        <f>2350525038+1951027728</f>
        <v>4301552766</v>
      </c>
      <c r="Q731" s="61"/>
      <c r="R731" s="158"/>
      <c r="S731" s="225"/>
      <c r="T731" s="225"/>
      <c r="U731" s="94">
        <v>2350525038</v>
      </c>
      <c r="V731" s="225">
        <v>20</v>
      </c>
      <c r="W731" s="460">
        <v>44012</v>
      </c>
      <c r="X731" s="460"/>
      <c r="Y731" s="460"/>
      <c r="Z731" s="698"/>
      <c r="AA731" s="227"/>
      <c r="AB731" s="460"/>
      <c r="AC731" s="460"/>
      <c r="AD731" s="227"/>
      <c r="AE731" s="61"/>
      <c r="AF731" s="61"/>
      <c r="AG731" s="61">
        <v>20</v>
      </c>
      <c r="AH731" s="225"/>
      <c r="AI731" s="225">
        <v>4301552766</v>
      </c>
      <c r="AJ731" s="225">
        <v>20</v>
      </c>
      <c r="AK731" s="61">
        <f t="shared" si="201"/>
        <v>1951027728</v>
      </c>
      <c r="AL731" s="61">
        <v>877</v>
      </c>
      <c r="AM731" s="61">
        <v>20</v>
      </c>
      <c r="AN731" s="61">
        <v>59</v>
      </c>
      <c r="AO731" s="61"/>
      <c r="AP731" s="61"/>
      <c r="AQ731" s="61"/>
      <c r="AR731" s="61"/>
      <c r="AS731" s="61"/>
      <c r="AT731" s="56">
        <v>0</v>
      </c>
      <c r="AU731" s="58" t="s">
        <v>521</v>
      </c>
      <c r="AV731" s="478"/>
      <c r="AW731" s="60"/>
      <c r="AX731" s="61"/>
      <c r="AY731" s="61"/>
      <c r="AZ731" s="61"/>
      <c r="BA731" s="61"/>
      <c r="BB731" s="61"/>
      <c r="BC731" s="158"/>
      <c r="BD731" s="158"/>
      <c r="BE731" s="158"/>
      <c r="BF731" s="271"/>
      <c r="BG731" s="464"/>
      <c r="BH731" s="430">
        <v>2020</v>
      </c>
      <c r="BI731" s="271" t="s">
        <v>2375</v>
      </c>
    </row>
    <row r="732" spans="1:61" s="204" customFormat="1" ht="18" customHeight="1">
      <c r="A732" s="160" t="s">
        <v>512</v>
      </c>
      <c r="B732" s="58" t="s">
        <v>2434</v>
      </c>
      <c r="C732" s="148" t="s">
        <v>2397</v>
      </c>
      <c r="D732" s="33" t="s">
        <v>16</v>
      </c>
      <c r="E732" s="660"/>
      <c r="F732" s="78">
        <v>4</v>
      </c>
      <c r="G732" s="660"/>
      <c r="H732" s="30" t="s">
        <v>2398</v>
      </c>
      <c r="I732" s="82">
        <v>709</v>
      </c>
      <c r="J732" s="212">
        <v>44000</v>
      </c>
      <c r="K732" s="227"/>
      <c r="L732" s="227"/>
      <c r="M732" s="227"/>
      <c r="N732" s="227"/>
      <c r="O732" s="227">
        <v>1</v>
      </c>
      <c r="P732" s="61">
        <f>39839407+33068267</f>
        <v>72907674</v>
      </c>
      <c r="Q732" s="61"/>
      <c r="R732" s="158"/>
      <c r="S732" s="225"/>
      <c r="T732" s="225"/>
      <c r="U732" s="94"/>
      <c r="V732" s="225"/>
      <c r="W732" s="460"/>
      <c r="X732" s="460"/>
      <c r="Y732" s="460"/>
      <c r="Z732" s="698"/>
      <c r="AA732" s="227"/>
      <c r="AB732" s="460"/>
      <c r="AC732" s="460"/>
      <c r="AD732" s="227"/>
      <c r="AE732" s="61"/>
      <c r="AF732" s="61"/>
      <c r="AG732" s="61">
        <v>20</v>
      </c>
      <c r="AH732" s="225"/>
      <c r="AI732" s="225">
        <v>72907674</v>
      </c>
      <c r="AJ732" s="225">
        <v>20</v>
      </c>
      <c r="AK732" s="61">
        <f t="shared" si="201"/>
        <v>72907674</v>
      </c>
      <c r="AL732" s="61">
        <v>877</v>
      </c>
      <c r="AM732" s="61">
        <v>20</v>
      </c>
      <c r="AN732" s="61">
        <v>1</v>
      </c>
      <c r="AO732" s="61"/>
      <c r="AP732" s="61"/>
      <c r="AQ732" s="61"/>
      <c r="AR732" s="61"/>
      <c r="AS732" s="61"/>
      <c r="AT732" s="56">
        <v>0</v>
      </c>
      <c r="AU732" s="58" t="s">
        <v>521</v>
      </c>
      <c r="AV732" s="478"/>
      <c r="AW732" s="60"/>
      <c r="AX732" s="61"/>
      <c r="AY732" s="61"/>
      <c r="AZ732" s="61"/>
      <c r="BA732" s="61"/>
      <c r="BB732" s="61"/>
      <c r="BC732" s="158"/>
      <c r="BD732" s="158"/>
      <c r="BE732" s="158"/>
      <c r="BF732" s="271"/>
      <c r="BG732" s="464"/>
      <c r="BH732" s="271">
        <v>2020</v>
      </c>
      <c r="BI732" s="271" t="s">
        <v>2375</v>
      </c>
    </row>
    <row r="733" spans="1:61" ht="15" customHeight="1">
      <c r="A733" s="371" t="s">
        <v>513</v>
      </c>
      <c r="B733" s="371"/>
      <c r="C733" s="371"/>
      <c r="D733" s="371"/>
      <c r="E733" s="371"/>
      <c r="F733" s="371"/>
      <c r="G733" s="371"/>
      <c r="H733" s="371"/>
      <c r="I733" s="371"/>
      <c r="J733" s="371"/>
      <c r="K733" s="371">
        <f>SUM(K734:K751)</f>
        <v>31</v>
      </c>
      <c r="L733" s="370">
        <f t="shared" ref="L733" si="203">SUM(L734:L751)</f>
        <v>124</v>
      </c>
      <c r="M733" s="370">
        <f>SUM(M734:M751)</f>
        <v>93</v>
      </c>
      <c r="N733" s="424">
        <f>SUM(N734:N751)</f>
        <v>90</v>
      </c>
      <c r="O733" s="370">
        <f t="shared" ref="O733" si="204">SUM(O734:O751)</f>
        <v>1</v>
      </c>
      <c r="P733" s="371"/>
      <c r="Q733" s="371"/>
      <c r="R733" s="371"/>
      <c r="S733" s="371"/>
      <c r="T733" s="371"/>
      <c r="U733" s="371"/>
      <c r="V733" s="371"/>
      <c r="W733" s="371"/>
      <c r="X733" s="371"/>
      <c r="Y733" s="371"/>
      <c r="Z733" s="371"/>
      <c r="AA733" s="371"/>
      <c r="AB733" s="371"/>
      <c r="AC733" s="371"/>
      <c r="AD733" s="371"/>
      <c r="AE733" s="371"/>
      <c r="AF733" s="371"/>
      <c r="AG733" s="371"/>
      <c r="AH733" s="371"/>
      <c r="AI733" s="371"/>
      <c r="AJ733" s="371"/>
      <c r="AK733" s="371"/>
      <c r="AL733" s="371"/>
      <c r="AM733" s="371"/>
      <c r="AN733" s="370">
        <f t="shared" ref="AN733:AS733" si="205">SUM(AN734:AN751)</f>
        <v>1</v>
      </c>
      <c r="AO733" s="370">
        <f t="shared" si="205"/>
        <v>0</v>
      </c>
      <c r="AP733" s="370">
        <f t="shared" si="205"/>
        <v>90</v>
      </c>
      <c r="AQ733" s="370">
        <f t="shared" si="205"/>
        <v>0</v>
      </c>
      <c r="AR733" s="370">
        <f t="shared" si="205"/>
        <v>0</v>
      </c>
      <c r="AS733" s="370">
        <f t="shared" si="205"/>
        <v>0</v>
      </c>
      <c r="AT733" s="371"/>
      <c r="AU733" s="371"/>
      <c r="AV733" s="385"/>
      <c r="AW733" s="370">
        <f t="shared" ref="AW733:BE733" si="206">SUM(AW734:AW751)</f>
        <v>44</v>
      </c>
      <c r="AX733" s="370">
        <f t="shared" si="206"/>
        <v>175</v>
      </c>
      <c r="AY733" s="370">
        <f t="shared" si="206"/>
        <v>181</v>
      </c>
      <c r="AZ733" s="370">
        <f t="shared" si="206"/>
        <v>123</v>
      </c>
      <c r="BA733" s="370">
        <f t="shared" si="206"/>
        <v>90</v>
      </c>
      <c r="BB733" s="370">
        <f t="shared" si="206"/>
        <v>141</v>
      </c>
      <c r="BC733" s="370">
        <f t="shared" si="206"/>
        <v>40</v>
      </c>
      <c r="BD733" s="370">
        <f t="shared" si="206"/>
        <v>253</v>
      </c>
      <c r="BE733" s="370">
        <f t="shared" si="206"/>
        <v>3</v>
      </c>
      <c r="BF733" s="371"/>
      <c r="BG733" s="371">
        <v>2019</v>
      </c>
      <c r="BH733" s="371">
        <v>2020</v>
      </c>
      <c r="BI733" s="434" t="s">
        <v>2419</v>
      </c>
    </row>
    <row r="734" spans="1:61" s="204" customFormat="1" ht="15" customHeight="1">
      <c r="A734" s="160" t="s">
        <v>513</v>
      </c>
      <c r="B734" s="58" t="s">
        <v>1789</v>
      </c>
      <c r="C734" s="58" t="s">
        <v>305</v>
      </c>
      <c r="D734" s="33" t="s">
        <v>30</v>
      </c>
      <c r="E734" s="33"/>
      <c r="F734" s="33"/>
      <c r="G734" s="33"/>
      <c r="H734" s="30"/>
      <c r="I734" s="58"/>
      <c r="J734" s="212"/>
      <c r="K734" s="158"/>
      <c r="L734" s="158"/>
      <c r="M734" s="158"/>
      <c r="N734" s="158"/>
      <c r="O734" s="158"/>
      <c r="P734" s="158"/>
      <c r="Q734" s="158"/>
      <c r="R734" s="158"/>
      <c r="S734" s="158"/>
      <c r="T734" s="158"/>
      <c r="U734" s="94"/>
      <c r="V734" s="158"/>
      <c r="W734" s="311"/>
      <c r="X734" s="311"/>
      <c r="Y734" s="311"/>
      <c r="Z734" s="94">
        <v>14772800</v>
      </c>
      <c r="AA734" s="158">
        <v>20</v>
      </c>
      <c r="AB734" s="311">
        <v>43313</v>
      </c>
      <c r="AC734" s="158"/>
      <c r="AD734" s="158"/>
      <c r="AE734" s="158"/>
      <c r="AF734" s="158"/>
      <c r="AG734" s="158"/>
      <c r="AH734" s="158"/>
      <c r="AI734" s="158"/>
      <c r="AJ734" s="158"/>
      <c r="AK734" s="158"/>
      <c r="AL734" s="158">
        <v>877</v>
      </c>
      <c r="AM734" s="158">
        <v>20</v>
      </c>
      <c r="AN734" s="158"/>
      <c r="AO734" s="158"/>
      <c r="AP734" s="158"/>
      <c r="AQ734" s="158"/>
      <c r="AR734" s="158"/>
      <c r="AS734" s="158"/>
      <c r="AT734" s="2"/>
      <c r="AU734" s="58"/>
      <c r="AV734" s="479"/>
      <c r="AW734" s="158">
        <v>24</v>
      </c>
      <c r="AX734" s="158"/>
      <c r="AY734" s="158"/>
      <c r="AZ734" s="158"/>
      <c r="BA734" s="158"/>
      <c r="BB734" s="158"/>
      <c r="BC734" s="69"/>
      <c r="BD734" s="69"/>
      <c r="BE734" s="69"/>
      <c r="BF734" s="271">
        <v>2016</v>
      </c>
      <c r="BG734" s="271"/>
      <c r="BH734" s="268"/>
      <c r="BI734" s="271" t="s">
        <v>2376</v>
      </c>
    </row>
    <row r="735" spans="1:61" s="204" customFormat="1" ht="15" customHeight="1">
      <c r="A735" s="160" t="s">
        <v>513</v>
      </c>
      <c r="B735" s="58" t="s">
        <v>1789</v>
      </c>
      <c r="C735" s="58" t="s">
        <v>307</v>
      </c>
      <c r="D735" s="33" t="s">
        <v>30</v>
      </c>
      <c r="E735" s="33"/>
      <c r="F735" s="33"/>
      <c r="G735" s="33"/>
      <c r="H735" s="30"/>
      <c r="I735" s="58"/>
      <c r="J735" s="212"/>
      <c r="K735" s="158"/>
      <c r="L735" s="158"/>
      <c r="M735" s="158"/>
      <c r="N735" s="158"/>
      <c r="O735" s="158"/>
      <c r="P735" s="158"/>
      <c r="Q735" s="158"/>
      <c r="R735" s="158"/>
      <c r="S735" s="158"/>
      <c r="T735" s="158"/>
      <c r="U735" s="94"/>
      <c r="V735" s="158"/>
      <c r="W735" s="311"/>
      <c r="X735" s="311"/>
      <c r="Y735" s="311"/>
      <c r="Z735" s="94"/>
      <c r="AA735" s="158"/>
      <c r="AB735" s="158"/>
      <c r="AC735" s="158"/>
      <c r="AD735" s="158"/>
      <c r="AE735" s="158"/>
      <c r="AF735" s="158"/>
      <c r="AG735" s="158"/>
      <c r="AH735" s="158"/>
      <c r="AI735" s="158"/>
      <c r="AJ735" s="158"/>
      <c r="AK735" s="158"/>
      <c r="AL735" s="158"/>
      <c r="AM735" s="158"/>
      <c r="AN735" s="158"/>
      <c r="AO735" s="158"/>
      <c r="AP735" s="158"/>
      <c r="AQ735" s="158"/>
      <c r="AR735" s="158"/>
      <c r="AS735" s="158"/>
      <c r="AT735" s="2"/>
      <c r="AU735" s="58"/>
      <c r="AV735" s="479"/>
      <c r="AW735" s="158">
        <v>5</v>
      </c>
      <c r="AX735" s="158"/>
      <c r="AY735" s="158"/>
      <c r="AZ735" s="158"/>
      <c r="BA735" s="158"/>
      <c r="BB735" s="158"/>
      <c r="BC735" s="69"/>
      <c r="BD735" s="69"/>
      <c r="BE735" s="69"/>
      <c r="BF735" s="271">
        <v>2016</v>
      </c>
      <c r="BG735" s="271"/>
      <c r="BH735" s="268"/>
      <c r="BI735" s="271" t="s">
        <v>2376</v>
      </c>
    </row>
    <row r="736" spans="1:61" s="204" customFormat="1" ht="15" customHeight="1">
      <c r="A736" s="160" t="s">
        <v>513</v>
      </c>
      <c r="B736" s="58" t="s">
        <v>1789</v>
      </c>
      <c r="C736" s="58" t="s">
        <v>308</v>
      </c>
      <c r="D736" s="33" t="s">
        <v>30</v>
      </c>
      <c r="E736" s="33"/>
      <c r="F736" s="33"/>
      <c r="G736" s="33"/>
      <c r="H736" s="30"/>
      <c r="I736" s="58"/>
      <c r="J736" s="212"/>
      <c r="K736" s="158"/>
      <c r="L736" s="158"/>
      <c r="M736" s="158"/>
      <c r="N736" s="158"/>
      <c r="O736" s="158"/>
      <c r="P736" s="158"/>
      <c r="Q736" s="158"/>
      <c r="R736" s="158"/>
      <c r="S736" s="158"/>
      <c r="T736" s="158"/>
      <c r="U736" s="94"/>
      <c r="V736" s="158"/>
      <c r="W736" s="311"/>
      <c r="X736" s="311"/>
      <c r="Y736" s="311"/>
      <c r="Z736" s="94">
        <v>7587525</v>
      </c>
      <c r="AA736" s="158">
        <v>20</v>
      </c>
      <c r="AB736" s="311">
        <v>43313</v>
      </c>
      <c r="AC736" s="158"/>
      <c r="AD736" s="158"/>
      <c r="AE736" s="158"/>
      <c r="AF736" s="158"/>
      <c r="AG736" s="158"/>
      <c r="AH736" s="158"/>
      <c r="AI736" s="158"/>
      <c r="AJ736" s="158"/>
      <c r="AK736" s="158"/>
      <c r="AL736" s="158">
        <v>877</v>
      </c>
      <c r="AM736" s="158">
        <v>20</v>
      </c>
      <c r="AN736" s="158"/>
      <c r="AO736" s="158"/>
      <c r="AP736" s="158"/>
      <c r="AQ736" s="158"/>
      <c r="AR736" s="158"/>
      <c r="AS736" s="158"/>
      <c r="AT736" s="2"/>
      <c r="AU736" s="58"/>
      <c r="AV736" s="479"/>
      <c r="AW736" s="158">
        <v>15</v>
      </c>
      <c r="AX736" s="158"/>
      <c r="AY736" s="158"/>
      <c r="AZ736" s="158"/>
      <c r="BA736" s="158"/>
      <c r="BB736" s="158"/>
      <c r="BC736" s="69"/>
      <c r="BD736" s="69"/>
      <c r="BE736" s="69"/>
      <c r="BF736" s="271">
        <v>2016</v>
      </c>
      <c r="BG736" s="271"/>
      <c r="BH736" s="268"/>
      <c r="BI736" s="271" t="s">
        <v>2376</v>
      </c>
    </row>
    <row r="737" spans="1:61" s="204" customFormat="1" ht="15" customHeight="1">
      <c r="A737" s="160" t="s">
        <v>513</v>
      </c>
      <c r="B737" s="58" t="s">
        <v>783</v>
      </c>
      <c r="C737" s="1" t="s">
        <v>309</v>
      </c>
      <c r="D737" s="33" t="s">
        <v>30</v>
      </c>
      <c r="E737" s="33"/>
      <c r="F737" s="33"/>
      <c r="G737" s="33"/>
      <c r="H737" s="30" t="s">
        <v>684</v>
      </c>
      <c r="I737" s="34"/>
      <c r="J737" s="212"/>
      <c r="K737" s="158"/>
      <c r="L737" s="158"/>
      <c r="M737" s="158"/>
      <c r="N737" s="158"/>
      <c r="O737" s="158"/>
      <c r="P737" s="158"/>
      <c r="Q737" s="158"/>
      <c r="R737" s="158"/>
      <c r="S737" s="158"/>
      <c r="T737" s="158"/>
      <c r="U737" s="94"/>
      <c r="V737" s="158"/>
      <c r="W737" s="311"/>
      <c r="X737" s="311"/>
      <c r="Y737" s="311"/>
      <c r="Z737" s="94"/>
      <c r="AA737" s="158"/>
      <c r="AB737" s="158"/>
      <c r="AC737" s="158"/>
      <c r="AD737" s="158"/>
      <c r="AE737" s="158"/>
      <c r="AF737" s="158"/>
      <c r="AG737" s="158"/>
      <c r="AH737" s="158"/>
      <c r="AI737" s="158"/>
      <c r="AJ737" s="158"/>
      <c r="AK737" s="158"/>
      <c r="AL737" s="158"/>
      <c r="AM737" s="158"/>
      <c r="AN737" s="158"/>
      <c r="AO737" s="158"/>
      <c r="AP737" s="11"/>
      <c r="AQ737" s="158"/>
      <c r="AR737" s="158"/>
      <c r="AS737" s="158"/>
      <c r="AT737" s="2">
        <v>1</v>
      </c>
      <c r="AU737" s="58" t="s">
        <v>646</v>
      </c>
      <c r="AV737" s="479"/>
      <c r="AW737" s="158" t="s">
        <v>0</v>
      </c>
      <c r="AX737" s="12">
        <v>75</v>
      </c>
      <c r="AY737" s="11"/>
      <c r="AZ737" s="11"/>
      <c r="BA737" s="11"/>
      <c r="BB737" s="11"/>
      <c r="BC737" s="70"/>
      <c r="BD737" s="70"/>
      <c r="BE737" s="70"/>
      <c r="BF737" s="271">
        <v>2017</v>
      </c>
      <c r="BG737" s="271"/>
      <c r="BH737" s="268"/>
      <c r="BI737" s="271" t="s">
        <v>2376</v>
      </c>
    </row>
    <row r="738" spans="1:61" s="204" customFormat="1" ht="15" customHeight="1">
      <c r="A738" s="160" t="s">
        <v>513</v>
      </c>
      <c r="B738" s="58" t="s">
        <v>783</v>
      </c>
      <c r="C738" s="1" t="s">
        <v>309</v>
      </c>
      <c r="D738" s="33" t="s">
        <v>30</v>
      </c>
      <c r="E738" s="33"/>
      <c r="F738" s="33"/>
      <c r="G738" s="33"/>
      <c r="H738" s="30" t="s">
        <v>684</v>
      </c>
      <c r="I738" s="34"/>
      <c r="J738" s="212"/>
      <c r="K738" s="158"/>
      <c r="L738" s="158"/>
      <c r="M738" s="158"/>
      <c r="N738" s="158"/>
      <c r="O738" s="158"/>
      <c r="P738" s="158"/>
      <c r="Q738" s="158"/>
      <c r="R738" s="158"/>
      <c r="S738" s="158"/>
      <c r="T738" s="158"/>
      <c r="U738" s="94"/>
      <c r="V738" s="158"/>
      <c r="W738" s="311"/>
      <c r="X738" s="311"/>
      <c r="Y738" s="311"/>
      <c r="Z738" s="94"/>
      <c r="AA738" s="158"/>
      <c r="AB738" s="158"/>
      <c r="AC738" s="158"/>
      <c r="AD738" s="158"/>
      <c r="AE738" s="158"/>
      <c r="AF738" s="158"/>
      <c r="AG738" s="158"/>
      <c r="AH738" s="158"/>
      <c r="AI738" s="158"/>
      <c r="AJ738" s="158"/>
      <c r="AK738" s="158"/>
      <c r="AL738" s="158"/>
      <c r="AM738" s="158"/>
      <c r="AN738" s="158"/>
      <c r="AO738" s="158"/>
      <c r="AP738" s="11"/>
      <c r="AQ738" s="158"/>
      <c r="AR738" s="158"/>
      <c r="AS738" s="158"/>
      <c r="AT738" s="2">
        <v>1</v>
      </c>
      <c r="AU738" s="58" t="s">
        <v>646</v>
      </c>
      <c r="AV738" s="479"/>
      <c r="AW738" s="158" t="s">
        <v>0</v>
      </c>
      <c r="AX738" s="12">
        <v>4</v>
      </c>
      <c r="AY738" s="11"/>
      <c r="AZ738" s="11"/>
      <c r="BA738" s="11"/>
      <c r="BB738" s="11"/>
      <c r="BC738" s="70"/>
      <c r="BD738" s="70"/>
      <c r="BE738" s="70"/>
      <c r="BF738" s="271">
        <v>2017</v>
      </c>
      <c r="BG738" s="271"/>
      <c r="BH738" s="268"/>
      <c r="BI738" s="271" t="s">
        <v>2376</v>
      </c>
    </row>
    <row r="739" spans="1:61" s="204" customFormat="1" ht="15" customHeight="1">
      <c r="A739" s="160" t="s">
        <v>513</v>
      </c>
      <c r="B739" s="58" t="s">
        <v>1789</v>
      </c>
      <c r="C739" s="1" t="s">
        <v>310</v>
      </c>
      <c r="D739" s="33" t="s">
        <v>311</v>
      </c>
      <c r="E739" s="33"/>
      <c r="F739" s="33"/>
      <c r="G739" s="33"/>
      <c r="H739" s="30" t="s">
        <v>682</v>
      </c>
      <c r="I739" s="34"/>
      <c r="J739" s="212"/>
      <c r="K739" s="158"/>
      <c r="L739" s="158"/>
      <c r="M739" s="158"/>
      <c r="N739" s="158"/>
      <c r="O739" s="158"/>
      <c r="P739" s="158"/>
      <c r="Q739" s="158"/>
      <c r="R739" s="158"/>
      <c r="S739" s="158"/>
      <c r="T739" s="158"/>
      <c r="U739" s="94"/>
      <c r="V739" s="158"/>
      <c r="W739" s="311"/>
      <c r="X739" s="311"/>
      <c r="Y739" s="311"/>
      <c r="Z739" s="94"/>
      <c r="AA739" s="158"/>
      <c r="AB739" s="158"/>
      <c r="AC739" s="158"/>
      <c r="AD739" s="158"/>
      <c r="AE739" s="158"/>
      <c r="AF739" s="158"/>
      <c r="AG739" s="158"/>
      <c r="AH739" s="158"/>
      <c r="AI739" s="158"/>
      <c r="AJ739" s="158"/>
      <c r="AK739" s="158"/>
      <c r="AL739" s="158"/>
      <c r="AM739" s="158"/>
      <c r="AN739" s="158"/>
      <c r="AO739" s="158"/>
      <c r="AP739" s="158"/>
      <c r="AQ739" s="158"/>
      <c r="AR739" s="158"/>
      <c r="AS739" s="158"/>
      <c r="AT739" s="2">
        <v>1</v>
      </c>
      <c r="AU739" s="58" t="s">
        <v>646</v>
      </c>
      <c r="AV739" s="479"/>
      <c r="AW739" s="158" t="s">
        <v>0</v>
      </c>
      <c r="AX739" s="158">
        <v>60</v>
      </c>
      <c r="AY739" s="158"/>
      <c r="AZ739" s="158"/>
      <c r="BA739" s="158"/>
      <c r="BB739" s="158"/>
      <c r="BC739" s="69"/>
      <c r="BD739" s="69"/>
      <c r="BE739" s="69"/>
      <c r="BF739" s="271">
        <v>2017</v>
      </c>
      <c r="BG739" s="271"/>
      <c r="BH739" s="268"/>
      <c r="BI739" s="271" t="s">
        <v>2376</v>
      </c>
    </row>
    <row r="740" spans="1:61" s="204" customFormat="1" ht="15" customHeight="1">
      <c r="A740" s="160" t="s">
        <v>513</v>
      </c>
      <c r="B740" s="58" t="s">
        <v>1789</v>
      </c>
      <c r="C740" s="58" t="s">
        <v>312</v>
      </c>
      <c r="D740" s="33" t="s">
        <v>43</v>
      </c>
      <c r="E740" s="33"/>
      <c r="F740" s="33"/>
      <c r="G740" s="33"/>
      <c r="H740" s="30" t="s">
        <v>682</v>
      </c>
      <c r="I740" s="30"/>
      <c r="J740" s="212"/>
      <c r="K740" s="158"/>
      <c r="L740" s="158"/>
      <c r="M740" s="158"/>
      <c r="N740" s="158"/>
      <c r="O740" s="158"/>
      <c r="P740" s="158"/>
      <c r="Q740" s="158"/>
      <c r="R740" s="158"/>
      <c r="S740" s="158"/>
      <c r="T740" s="158"/>
      <c r="U740" s="94"/>
      <c r="V740" s="158"/>
      <c r="W740" s="311"/>
      <c r="X740" s="311"/>
      <c r="Y740" s="311"/>
      <c r="Z740" s="94"/>
      <c r="AA740" s="158"/>
      <c r="AB740" s="158"/>
      <c r="AC740" s="158"/>
      <c r="AD740" s="158"/>
      <c r="AE740" s="158"/>
      <c r="AF740" s="158"/>
      <c r="AG740" s="158"/>
      <c r="AH740" s="158"/>
      <c r="AI740" s="158"/>
      <c r="AJ740" s="158"/>
      <c r="AK740" s="158"/>
      <c r="AL740" s="158"/>
      <c r="AM740" s="158"/>
      <c r="AN740" s="158"/>
      <c r="AO740" s="158"/>
      <c r="AP740" s="158"/>
      <c r="AQ740" s="158"/>
      <c r="AR740" s="158"/>
      <c r="AS740" s="158"/>
      <c r="AT740" s="2">
        <v>1</v>
      </c>
      <c r="AU740" s="58" t="s">
        <v>646</v>
      </c>
      <c r="AV740" s="478"/>
      <c r="AW740" s="158" t="s">
        <v>0</v>
      </c>
      <c r="AX740" s="158"/>
      <c r="AY740" s="12">
        <v>40</v>
      </c>
      <c r="AZ740" s="158"/>
      <c r="BA740" s="158"/>
      <c r="BB740" s="158"/>
      <c r="BC740" s="69">
        <v>40</v>
      </c>
      <c r="BD740" s="69">
        <v>40</v>
      </c>
      <c r="BE740" s="69"/>
      <c r="BF740" s="271">
        <v>2018</v>
      </c>
      <c r="BG740" s="271"/>
      <c r="BH740" s="268"/>
      <c r="BI740" s="271" t="s">
        <v>2375</v>
      </c>
    </row>
    <row r="741" spans="1:61" s="204" customFormat="1" ht="15" customHeight="1">
      <c r="A741" s="160" t="s">
        <v>513</v>
      </c>
      <c r="B741" s="58" t="s">
        <v>1789</v>
      </c>
      <c r="C741" s="58" t="s">
        <v>313</v>
      </c>
      <c r="D741" s="33" t="s">
        <v>302</v>
      </c>
      <c r="E741" s="33"/>
      <c r="F741" s="33"/>
      <c r="G741" s="33"/>
      <c r="H741" s="30" t="s">
        <v>683</v>
      </c>
      <c r="I741" s="30"/>
      <c r="J741" s="212"/>
      <c r="K741" s="158"/>
      <c r="L741" s="158"/>
      <c r="M741" s="158"/>
      <c r="N741" s="158"/>
      <c r="O741" s="158"/>
      <c r="P741" s="158"/>
      <c r="Q741" s="158"/>
      <c r="R741" s="158"/>
      <c r="S741" s="158"/>
      <c r="T741" s="158"/>
      <c r="U741" s="94"/>
      <c r="V741" s="158"/>
      <c r="W741" s="311"/>
      <c r="X741" s="311"/>
      <c r="Y741" s="311"/>
      <c r="Z741" s="94"/>
      <c r="AA741" s="158"/>
      <c r="AB741" s="158"/>
      <c r="AC741" s="158"/>
      <c r="AD741" s="158"/>
      <c r="AE741" s="158"/>
      <c r="AF741" s="158"/>
      <c r="AG741" s="158"/>
      <c r="AH741" s="158"/>
      <c r="AI741" s="158"/>
      <c r="AJ741" s="158"/>
      <c r="AK741" s="158"/>
      <c r="AL741" s="158"/>
      <c r="AM741" s="158"/>
      <c r="AN741" s="158"/>
      <c r="AO741" s="158"/>
      <c r="AP741" s="158"/>
      <c r="AQ741" s="158"/>
      <c r="AR741" s="158"/>
      <c r="AS741" s="158"/>
      <c r="AT741" s="2">
        <v>1</v>
      </c>
      <c r="AU741" s="58" t="s">
        <v>646</v>
      </c>
      <c r="AV741" s="479"/>
      <c r="AW741" s="158"/>
      <c r="AX741" s="158">
        <v>36</v>
      </c>
      <c r="AY741" s="158"/>
      <c r="AZ741" s="158"/>
      <c r="BA741" s="158"/>
      <c r="BB741" s="158"/>
      <c r="BC741" s="69"/>
      <c r="BD741" s="69"/>
      <c r="BE741" s="69"/>
      <c r="BF741" s="271">
        <v>2017</v>
      </c>
      <c r="BG741" s="271"/>
      <c r="BH741" s="268"/>
      <c r="BI741" s="271" t="s">
        <v>2376</v>
      </c>
    </row>
    <row r="742" spans="1:61" s="204" customFormat="1" ht="21" customHeight="1">
      <c r="A742" s="160" t="s">
        <v>513</v>
      </c>
      <c r="B742" s="58" t="s">
        <v>783</v>
      </c>
      <c r="C742" s="148" t="s">
        <v>780</v>
      </c>
      <c r="D742" s="33" t="s">
        <v>743</v>
      </c>
      <c r="E742" s="33"/>
      <c r="F742" s="33"/>
      <c r="G742" s="33"/>
      <c r="H742" s="30" t="s">
        <v>713</v>
      </c>
      <c r="I742" s="30"/>
      <c r="J742" s="212"/>
      <c r="K742" s="51"/>
      <c r="L742" s="51"/>
      <c r="M742" s="51"/>
      <c r="N742" s="51"/>
      <c r="O742" s="51"/>
      <c r="P742" s="94">
        <f>4457884858</f>
        <v>4457884858</v>
      </c>
      <c r="Q742" s="94"/>
      <c r="R742" s="158"/>
      <c r="S742" s="51"/>
      <c r="T742" s="51"/>
      <c r="U742" s="94">
        <v>1994991337</v>
      </c>
      <c r="V742" s="51"/>
      <c r="W742" s="311"/>
      <c r="X742" s="311"/>
      <c r="Y742" s="311"/>
      <c r="Z742" s="94">
        <v>2361881304</v>
      </c>
      <c r="AA742" s="51"/>
      <c r="AB742" s="51"/>
      <c r="AC742" s="51"/>
      <c r="AD742" s="51"/>
      <c r="AE742" s="158"/>
      <c r="AF742" s="158"/>
      <c r="AG742" s="158"/>
      <c r="AH742" s="158"/>
      <c r="AI742" s="158"/>
      <c r="AJ742" s="158"/>
      <c r="AK742" s="158"/>
      <c r="AL742" s="158"/>
      <c r="AM742" s="158"/>
      <c r="AN742" s="158"/>
      <c r="AO742" s="158"/>
      <c r="AP742" s="81"/>
      <c r="AQ742" s="54"/>
      <c r="AR742" s="54"/>
      <c r="AS742" s="54"/>
      <c r="AT742" s="2">
        <v>1</v>
      </c>
      <c r="AU742" s="58" t="s">
        <v>646</v>
      </c>
      <c r="AV742" s="479"/>
      <c r="AW742" s="51"/>
      <c r="AX742" s="51"/>
      <c r="AY742" s="181">
        <v>89</v>
      </c>
      <c r="AZ742" s="81"/>
      <c r="BA742" s="81"/>
      <c r="BB742" s="81">
        <v>89</v>
      </c>
      <c r="BC742" s="220"/>
      <c r="BD742" s="220"/>
      <c r="BE742" s="220"/>
      <c r="BF742" s="271">
        <v>2018</v>
      </c>
      <c r="BG742" s="271"/>
      <c r="BH742" s="268"/>
      <c r="BI742" s="271" t="s">
        <v>2376</v>
      </c>
    </row>
    <row r="743" spans="1:61" s="204" customFormat="1" ht="20.25" customHeight="1">
      <c r="A743" s="160" t="s">
        <v>513</v>
      </c>
      <c r="B743" s="58" t="s">
        <v>783</v>
      </c>
      <c r="C743" s="148" t="s">
        <v>780</v>
      </c>
      <c r="D743" s="33" t="s">
        <v>743</v>
      </c>
      <c r="E743" s="33"/>
      <c r="F743" s="33"/>
      <c r="G743" s="33"/>
      <c r="H743" s="30" t="s">
        <v>713</v>
      </c>
      <c r="I743" s="30"/>
      <c r="J743" s="212"/>
      <c r="K743" s="51"/>
      <c r="L743" s="51"/>
      <c r="M743" s="51"/>
      <c r="N743" s="51"/>
      <c r="O743" s="51"/>
      <c r="P743" s="51"/>
      <c r="Q743" s="51"/>
      <c r="R743" s="158"/>
      <c r="S743" s="51"/>
      <c r="T743" s="51"/>
      <c r="U743" s="94"/>
      <c r="V743" s="51"/>
      <c r="W743" s="311"/>
      <c r="X743" s="311"/>
      <c r="Y743" s="311"/>
      <c r="Z743" s="94">
        <v>214881659</v>
      </c>
      <c r="AA743" s="51">
        <v>10</v>
      </c>
      <c r="AB743" s="311">
        <v>43313</v>
      </c>
      <c r="AC743" s="51"/>
      <c r="AD743" s="51"/>
      <c r="AE743" s="158"/>
      <c r="AF743" s="158"/>
      <c r="AG743" s="158"/>
      <c r="AH743" s="158"/>
      <c r="AI743" s="158"/>
      <c r="AJ743" s="158"/>
      <c r="AK743" s="158"/>
      <c r="AL743" s="158"/>
      <c r="AM743" s="158"/>
      <c r="AN743" s="158"/>
      <c r="AO743" s="158"/>
      <c r="AP743" s="81"/>
      <c r="AQ743" s="54"/>
      <c r="AR743" s="54"/>
      <c r="AS743" s="54"/>
      <c r="AT743" s="2">
        <v>1</v>
      </c>
      <c r="AU743" s="58" t="s">
        <v>646</v>
      </c>
      <c r="AV743" s="479"/>
      <c r="AW743" s="51"/>
      <c r="AX743" s="51"/>
      <c r="AY743" s="181">
        <v>6</v>
      </c>
      <c r="AZ743" s="81"/>
      <c r="BA743" s="81"/>
      <c r="BB743" s="81">
        <v>6</v>
      </c>
      <c r="BC743" s="220"/>
      <c r="BD743" s="220"/>
      <c r="BE743" s="220"/>
      <c r="BF743" s="271">
        <v>2018</v>
      </c>
      <c r="BG743" s="271"/>
      <c r="BH743" s="268"/>
      <c r="BI743" s="271" t="s">
        <v>2376</v>
      </c>
    </row>
    <row r="744" spans="1:61" s="204" customFormat="1" ht="18" customHeight="1">
      <c r="A744" s="160" t="s">
        <v>513</v>
      </c>
      <c r="B744" s="58" t="s">
        <v>784</v>
      </c>
      <c r="C744" s="148" t="s">
        <v>781</v>
      </c>
      <c r="D744" s="33" t="s">
        <v>782</v>
      </c>
      <c r="E744" s="33"/>
      <c r="F744" s="33"/>
      <c r="G744" s="33"/>
      <c r="H744" s="30" t="s">
        <v>713</v>
      </c>
      <c r="I744" s="30">
        <v>1788</v>
      </c>
      <c r="J744" s="212">
        <v>42971</v>
      </c>
      <c r="K744" s="51"/>
      <c r="L744" s="51">
        <v>70</v>
      </c>
      <c r="M744" s="51"/>
      <c r="N744" s="51"/>
      <c r="O744" s="51"/>
      <c r="P744" s="51"/>
      <c r="Q744" s="51"/>
      <c r="R744" s="158"/>
      <c r="S744" s="51"/>
      <c r="T744" s="51"/>
      <c r="U744" s="94"/>
      <c r="V744" s="51"/>
      <c r="W744" s="311"/>
      <c r="X744" s="311"/>
      <c r="Y744" s="311"/>
      <c r="Z744" s="94"/>
      <c r="AA744" s="51"/>
      <c r="AB744" s="51"/>
      <c r="AC744" s="51"/>
      <c r="AD744" s="51"/>
      <c r="AE744" s="158"/>
      <c r="AF744" s="158">
        <f>P744-U744-Z744</f>
        <v>0</v>
      </c>
      <c r="AG744" s="158"/>
      <c r="AH744" s="94">
        <v>0</v>
      </c>
      <c r="AI744" s="94">
        <v>0</v>
      </c>
      <c r="AJ744" s="94"/>
      <c r="AK744" s="158">
        <f t="shared" ref="AK744:AK746" si="207">AF744+AH744</f>
        <v>0</v>
      </c>
      <c r="AL744" s="158"/>
      <c r="AM744" s="158"/>
      <c r="AN744" s="158"/>
      <c r="AO744" s="158"/>
      <c r="AP744" s="51"/>
      <c r="AQ744" s="51"/>
      <c r="AR744" s="51"/>
      <c r="AS744" s="51"/>
      <c r="AT744" s="56">
        <v>1</v>
      </c>
      <c r="AU744" s="58" t="s">
        <v>646</v>
      </c>
      <c r="AV744" s="478"/>
      <c r="AW744" s="51"/>
      <c r="AX744" s="51"/>
      <c r="AY744" s="51"/>
      <c r="AZ744" s="81">
        <v>70</v>
      </c>
      <c r="BA744" s="81"/>
      <c r="BB744" s="81"/>
      <c r="BC744" s="220"/>
      <c r="BD744" s="220">
        <v>70</v>
      </c>
      <c r="BE744" s="220"/>
      <c r="BF744" s="271">
        <v>2019</v>
      </c>
      <c r="BG744" s="271">
        <v>2019</v>
      </c>
      <c r="BH744" s="271"/>
      <c r="BI744" s="271" t="s">
        <v>2375</v>
      </c>
    </row>
    <row r="745" spans="1:61" s="204" customFormat="1" ht="18" customHeight="1">
      <c r="A745" s="160" t="s">
        <v>513</v>
      </c>
      <c r="B745" s="58" t="s">
        <v>784</v>
      </c>
      <c r="C745" s="148" t="s">
        <v>781</v>
      </c>
      <c r="D745" s="33" t="s">
        <v>782</v>
      </c>
      <c r="E745" s="33"/>
      <c r="F745" s="33"/>
      <c r="G745" s="33"/>
      <c r="H745" s="30" t="s">
        <v>713</v>
      </c>
      <c r="I745" s="30">
        <v>1788</v>
      </c>
      <c r="J745" s="212">
        <v>42971</v>
      </c>
      <c r="K745" s="51"/>
      <c r="L745" s="51">
        <v>23</v>
      </c>
      <c r="M745" s="51"/>
      <c r="N745" s="51"/>
      <c r="O745" s="51"/>
      <c r="P745" s="94">
        <v>1413927333</v>
      </c>
      <c r="Q745" s="94"/>
      <c r="R745" s="158"/>
      <c r="S745" s="94"/>
      <c r="T745" s="94"/>
      <c r="U745" s="94">
        <v>636201207</v>
      </c>
      <c r="V745" s="51">
        <v>10</v>
      </c>
      <c r="W745" s="311"/>
      <c r="X745" s="311"/>
      <c r="Y745" s="311"/>
      <c r="Z745" s="94">
        <v>777726126</v>
      </c>
      <c r="AA745" s="51">
        <v>10</v>
      </c>
      <c r="AB745" s="311">
        <v>43497</v>
      </c>
      <c r="AC745" s="311"/>
      <c r="AD745" s="51"/>
      <c r="AE745" s="158"/>
      <c r="AF745" s="158">
        <f>P745-U745-Z745</f>
        <v>0</v>
      </c>
      <c r="AG745" s="158"/>
      <c r="AH745" s="94">
        <v>0</v>
      </c>
      <c r="AI745" s="94">
        <v>0</v>
      </c>
      <c r="AJ745" s="94"/>
      <c r="AK745" s="158">
        <f t="shared" si="207"/>
        <v>0</v>
      </c>
      <c r="AL745" s="158">
        <v>877</v>
      </c>
      <c r="AM745" s="158">
        <v>10</v>
      </c>
      <c r="AN745" s="158"/>
      <c r="AO745" s="158"/>
      <c r="AP745" s="51"/>
      <c r="AQ745" s="51"/>
      <c r="AR745" s="51"/>
      <c r="AS745" s="51"/>
      <c r="AT745" s="56">
        <v>1</v>
      </c>
      <c r="AU745" s="58" t="s">
        <v>646</v>
      </c>
      <c r="AV745" s="478"/>
      <c r="AW745" s="51"/>
      <c r="AX745" s="51"/>
      <c r="AY745" s="51"/>
      <c r="AZ745" s="81">
        <v>23</v>
      </c>
      <c r="BA745" s="81"/>
      <c r="BB745" s="81"/>
      <c r="BC745" s="220"/>
      <c r="BD745" s="220">
        <v>23</v>
      </c>
      <c r="BE745" s="220"/>
      <c r="BF745" s="271">
        <v>2019</v>
      </c>
      <c r="BG745" s="271">
        <v>2019</v>
      </c>
      <c r="BH745" s="271"/>
      <c r="BI745" s="271" t="s">
        <v>2375</v>
      </c>
    </row>
    <row r="746" spans="1:61" s="204" customFormat="1" ht="18" customHeight="1">
      <c r="A746" s="160" t="s">
        <v>513</v>
      </c>
      <c r="B746" s="58" t="s">
        <v>784</v>
      </c>
      <c r="C746" s="148" t="s">
        <v>781</v>
      </c>
      <c r="D746" s="33" t="s">
        <v>782</v>
      </c>
      <c r="E746" s="33"/>
      <c r="F746" s="33"/>
      <c r="G746" s="33"/>
      <c r="H746" s="30" t="s">
        <v>713</v>
      </c>
      <c r="I746" s="30">
        <v>1788</v>
      </c>
      <c r="J746" s="212">
        <v>42971</v>
      </c>
      <c r="K746" s="81"/>
      <c r="L746" s="81"/>
      <c r="M746" s="81">
        <v>3</v>
      </c>
      <c r="N746" s="81"/>
      <c r="O746" s="81"/>
      <c r="P746" s="81"/>
      <c r="Q746" s="81"/>
      <c r="R746" s="158"/>
      <c r="S746" s="81"/>
      <c r="T746" s="81"/>
      <c r="U746" s="94"/>
      <c r="V746" s="81"/>
      <c r="W746" s="311"/>
      <c r="X746" s="311"/>
      <c r="Y746" s="311"/>
      <c r="Z746" s="94"/>
      <c r="AA746" s="81"/>
      <c r="AB746" s="81"/>
      <c r="AC746" s="81"/>
      <c r="AD746" s="81"/>
      <c r="AE746" s="158"/>
      <c r="AF746" s="158">
        <f>P746-U746-Z746</f>
        <v>0</v>
      </c>
      <c r="AG746" s="158"/>
      <c r="AH746" s="94">
        <v>0</v>
      </c>
      <c r="AI746" s="94">
        <v>0</v>
      </c>
      <c r="AJ746" s="94"/>
      <c r="AK746" s="158">
        <f t="shared" si="207"/>
        <v>0</v>
      </c>
      <c r="AL746" s="158"/>
      <c r="AM746" s="158"/>
      <c r="AN746" s="158"/>
      <c r="AO746" s="158"/>
      <c r="AP746" s="54"/>
      <c r="AQ746" s="54"/>
      <c r="AR746" s="54"/>
      <c r="AS746" s="81"/>
      <c r="AT746" s="2">
        <v>0</v>
      </c>
      <c r="AU746" s="58" t="s">
        <v>687</v>
      </c>
      <c r="AV746" s="720" t="s">
        <v>1125</v>
      </c>
      <c r="AW746" s="51"/>
      <c r="AX746" s="51"/>
      <c r="AY746" s="54"/>
      <c r="AZ746" s="54"/>
      <c r="BA746" s="54"/>
      <c r="BB746" s="54"/>
      <c r="BC746" s="290"/>
      <c r="BD746" s="290"/>
      <c r="BE746" s="69">
        <v>3</v>
      </c>
      <c r="BF746" s="271" t="s">
        <v>1706</v>
      </c>
      <c r="BG746" s="271">
        <v>2019</v>
      </c>
      <c r="BH746" s="271"/>
      <c r="BI746" s="271" t="s">
        <v>2375</v>
      </c>
    </row>
    <row r="747" spans="1:61" s="204" customFormat="1" ht="21.75" customHeight="1">
      <c r="A747" s="160" t="s">
        <v>513</v>
      </c>
      <c r="B747" s="58" t="s">
        <v>783</v>
      </c>
      <c r="C747" s="149" t="s">
        <v>1106</v>
      </c>
      <c r="D747" s="33" t="s">
        <v>743</v>
      </c>
      <c r="E747" s="33"/>
      <c r="F747" s="33"/>
      <c r="G747" s="33"/>
      <c r="H747" s="30" t="s">
        <v>715</v>
      </c>
      <c r="I747" s="30"/>
      <c r="J747" s="212"/>
      <c r="K747" s="51"/>
      <c r="L747" s="51"/>
      <c r="M747" s="51"/>
      <c r="N747" s="51"/>
      <c r="O747" s="51"/>
      <c r="P747" s="51"/>
      <c r="Q747" s="51"/>
      <c r="R747" s="158"/>
      <c r="S747" s="51"/>
      <c r="T747" s="51"/>
      <c r="U747" s="94"/>
      <c r="V747" s="51"/>
      <c r="W747" s="311"/>
      <c r="X747" s="311"/>
      <c r="Y747" s="311"/>
      <c r="Z747" s="94"/>
      <c r="AA747" s="51"/>
      <c r="AB747" s="51"/>
      <c r="AC747" s="51"/>
      <c r="AD747" s="51"/>
      <c r="AE747" s="158"/>
      <c r="AF747" s="158"/>
      <c r="AG747" s="158"/>
      <c r="AH747" s="158"/>
      <c r="AI747" s="158"/>
      <c r="AJ747" s="158"/>
      <c r="AK747" s="158"/>
      <c r="AL747" s="158"/>
      <c r="AM747" s="158"/>
      <c r="AN747" s="158"/>
      <c r="AO747" s="158"/>
      <c r="AP747" s="51"/>
      <c r="AQ747" s="51"/>
      <c r="AR747" s="51"/>
      <c r="AS747" s="51"/>
      <c r="AT747" s="2">
        <v>1</v>
      </c>
      <c r="AU747" s="58" t="s">
        <v>646</v>
      </c>
      <c r="AV747" s="454" t="s">
        <v>1041</v>
      </c>
      <c r="AW747" s="51"/>
      <c r="AX747" s="51"/>
      <c r="AY747" s="74">
        <v>44</v>
      </c>
      <c r="AZ747" s="51"/>
      <c r="BA747" s="51"/>
      <c r="BB747" s="51">
        <v>44</v>
      </c>
      <c r="BC747" s="71"/>
      <c r="BD747" s="71"/>
      <c r="BE747" s="71"/>
      <c r="BF747" s="271">
        <v>2018</v>
      </c>
      <c r="BG747" s="271"/>
      <c r="BH747" s="268"/>
      <c r="BI747" s="271" t="s">
        <v>2376</v>
      </c>
    </row>
    <row r="748" spans="1:61" s="204" customFormat="1" ht="18.75" customHeight="1">
      <c r="A748" s="230" t="s">
        <v>513</v>
      </c>
      <c r="B748" s="58" t="s">
        <v>783</v>
      </c>
      <c r="C748" s="239" t="s">
        <v>1106</v>
      </c>
      <c r="D748" s="33" t="s">
        <v>743</v>
      </c>
      <c r="E748" s="33"/>
      <c r="F748" s="33"/>
      <c r="G748" s="33"/>
      <c r="H748" s="30" t="s">
        <v>715</v>
      </c>
      <c r="I748" s="30"/>
      <c r="J748" s="212"/>
      <c r="K748" s="51"/>
      <c r="L748" s="51"/>
      <c r="M748" s="51"/>
      <c r="N748" s="51"/>
      <c r="O748" s="51"/>
      <c r="P748" s="51"/>
      <c r="Q748" s="51"/>
      <c r="R748" s="158"/>
      <c r="S748" s="51"/>
      <c r="T748" s="51"/>
      <c r="U748" s="94"/>
      <c r="V748" s="51"/>
      <c r="W748" s="311"/>
      <c r="X748" s="311"/>
      <c r="Y748" s="311"/>
      <c r="Z748" s="94"/>
      <c r="AA748" s="51"/>
      <c r="AB748" s="89"/>
      <c r="AC748" s="89"/>
      <c r="AD748" s="89"/>
      <c r="AE748" s="158"/>
      <c r="AF748" s="158"/>
      <c r="AG748" s="158"/>
      <c r="AH748" s="158"/>
      <c r="AI748" s="158"/>
      <c r="AJ748" s="158"/>
      <c r="AK748" s="158"/>
      <c r="AL748" s="158"/>
      <c r="AM748" s="158"/>
      <c r="AN748" s="158"/>
      <c r="AO748" s="158"/>
      <c r="AP748" s="51"/>
      <c r="AQ748" s="51"/>
      <c r="AR748" s="51"/>
      <c r="AS748" s="51"/>
      <c r="AT748" s="2">
        <v>1</v>
      </c>
      <c r="AU748" s="58" t="s">
        <v>646</v>
      </c>
      <c r="AV748" s="105"/>
      <c r="AW748" s="51"/>
      <c r="AX748" s="51"/>
      <c r="AY748" s="74">
        <v>2</v>
      </c>
      <c r="AZ748" s="51"/>
      <c r="BA748" s="51"/>
      <c r="BB748" s="51">
        <v>2</v>
      </c>
      <c r="BC748" s="71"/>
      <c r="BD748" s="71"/>
      <c r="BE748" s="71"/>
      <c r="BF748" s="271">
        <v>2018</v>
      </c>
      <c r="BG748" s="271"/>
      <c r="BH748" s="268"/>
      <c r="BI748" s="271" t="s">
        <v>2376</v>
      </c>
    </row>
    <row r="749" spans="1:61" s="204" customFormat="1" ht="18" customHeight="1">
      <c r="A749" s="160" t="s">
        <v>513</v>
      </c>
      <c r="B749" s="58" t="s">
        <v>1789</v>
      </c>
      <c r="C749" s="149" t="s">
        <v>1225</v>
      </c>
      <c r="D749" s="33" t="s">
        <v>302</v>
      </c>
      <c r="E749" s="33"/>
      <c r="F749" s="33"/>
      <c r="G749" s="33"/>
      <c r="H749" s="30" t="s">
        <v>1116</v>
      </c>
      <c r="I749" s="78">
        <v>323</v>
      </c>
      <c r="J749" s="212">
        <v>43405</v>
      </c>
      <c r="K749" s="51">
        <f>31-1</f>
        <v>30</v>
      </c>
      <c r="L749" s="51">
        <v>30</v>
      </c>
      <c r="M749" s="51"/>
      <c r="N749" s="51"/>
      <c r="O749" s="51"/>
      <c r="P749" s="158">
        <f>2034003145-65613005</f>
        <v>1968390140</v>
      </c>
      <c r="Q749" s="158"/>
      <c r="R749" s="158"/>
      <c r="S749" s="158"/>
      <c r="T749" s="158"/>
      <c r="U749" s="94">
        <v>870487191</v>
      </c>
      <c r="V749" s="94">
        <v>10</v>
      </c>
      <c r="W749" s="311">
        <v>43405</v>
      </c>
      <c r="X749" s="311"/>
      <c r="Y749" s="311"/>
      <c r="Z749" s="94">
        <v>1097902949</v>
      </c>
      <c r="AA749" s="221">
        <v>10</v>
      </c>
      <c r="AB749" s="311">
        <v>43617</v>
      </c>
      <c r="AC749" s="577"/>
      <c r="AD749" s="221"/>
      <c r="AE749" s="158"/>
      <c r="AF749" s="158">
        <f>P749-U749-Z749</f>
        <v>0</v>
      </c>
      <c r="AG749" s="158"/>
      <c r="AH749" s="94">
        <v>0</v>
      </c>
      <c r="AI749" s="94">
        <v>0</v>
      </c>
      <c r="AJ749" s="94"/>
      <c r="AK749" s="158">
        <f t="shared" ref="AK749" si="208">AF749+AH749</f>
        <v>0</v>
      </c>
      <c r="AL749" s="158">
        <v>877</v>
      </c>
      <c r="AM749" s="158">
        <v>10</v>
      </c>
      <c r="AN749" s="158"/>
      <c r="AO749" s="158"/>
      <c r="AP749" s="51"/>
      <c r="AQ749" s="51"/>
      <c r="AR749" s="51"/>
      <c r="AS749" s="51"/>
      <c r="AT749" s="56">
        <v>1</v>
      </c>
      <c r="AU749" s="58" t="s">
        <v>646</v>
      </c>
      <c r="AV749" s="386"/>
      <c r="AW749" s="51"/>
      <c r="AX749" s="51"/>
      <c r="AY749" s="51"/>
      <c r="AZ749" s="51">
        <v>30</v>
      </c>
      <c r="BA749" s="51"/>
      <c r="BB749" s="51"/>
      <c r="BC749" s="71"/>
      <c r="BD749" s="71">
        <v>30</v>
      </c>
      <c r="BE749" s="71"/>
      <c r="BF749" s="271">
        <v>2019</v>
      </c>
      <c r="BG749" s="271">
        <v>2019</v>
      </c>
      <c r="BH749" s="271"/>
      <c r="BI749" s="271" t="s">
        <v>2375</v>
      </c>
    </row>
    <row r="750" spans="1:61" s="204" customFormat="1" ht="27" customHeight="1">
      <c r="A750" s="160" t="s">
        <v>513</v>
      </c>
      <c r="B750" s="88" t="s">
        <v>2426</v>
      </c>
      <c r="C750" s="149" t="s">
        <v>1225</v>
      </c>
      <c r="D750" s="33" t="s">
        <v>302</v>
      </c>
      <c r="E750" s="33"/>
      <c r="F750" s="33"/>
      <c r="G750" s="33"/>
      <c r="H750" s="30" t="s">
        <v>1116</v>
      </c>
      <c r="I750" s="78">
        <v>323</v>
      </c>
      <c r="J750" s="212">
        <v>43405</v>
      </c>
      <c r="K750" s="51">
        <v>1</v>
      </c>
      <c r="L750" s="51">
        <v>1</v>
      </c>
      <c r="M750" s="51"/>
      <c r="N750" s="51"/>
      <c r="O750" s="51">
        <v>1</v>
      </c>
      <c r="P750" s="158">
        <v>65613005</v>
      </c>
      <c r="Q750" s="158"/>
      <c r="R750" s="158"/>
      <c r="S750" s="158"/>
      <c r="T750" s="158"/>
      <c r="U750" s="225">
        <v>0</v>
      </c>
      <c r="V750" s="51"/>
      <c r="W750" s="311"/>
      <c r="X750" s="311"/>
      <c r="Y750" s="311"/>
      <c r="Z750" s="94"/>
      <c r="AA750" s="221"/>
      <c r="AB750" s="221"/>
      <c r="AC750" s="221"/>
      <c r="AD750" s="221"/>
      <c r="AE750" s="158"/>
      <c r="AF750" s="158">
        <f>P750-U750-Z750</f>
        <v>65613005</v>
      </c>
      <c r="AG750" s="158"/>
      <c r="AH750" s="94">
        <v>0</v>
      </c>
      <c r="AI750" s="94">
        <v>65613005</v>
      </c>
      <c r="AJ750" s="94"/>
      <c r="AK750" s="158">
        <f t="shared" ref="AK750:AK751" si="209">P750-R750-U750-Z750</f>
        <v>65613005</v>
      </c>
      <c r="AL750" s="158">
        <v>877</v>
      </c>
      <c r="AM750" s="158">
        <v>10</v>
      </c>
      <c r="AN750" s="158">
        <v>1</v>
      </c>
      <c r="AO750" s="158"/>
      <c r="AP750" s="51"/>
      <c r="AQ750" s="51"/>
      <c r="AR750" s="51"/>
      <c r="AS750" s="51"/>
      <c r="AT750" s="56">
        <v>0</v>
      </c>
      <c r="AU750" s="58" t="s">
        <v>521</v>
      </c>
      <c r="AV750" s="478" t="s">
        <v>1297</v>
      </c>
      <c r="AW750" s="51"/>
      <c r="AX750" s="51"/>
      <c r="AY750" s="51"/>
      <c r="AZ750" s="51"/>
      <c r="BA750" s="51"/>
      <c r="BB750" s="51"/>
      <c r="BC750" s="71"/>
      <c r="BD750" s="71"/>
      <c r="BE750" s="71"/>
      <c r="BF750" s="271"/>
      <c r="BG750" s="271">
        <v>2019</v>
      </c>
      <c r="BH750" s="271">
        <v>2020</v>
      </c>
      <c r="BI750" s="271" t="s">
        <v>2375</v>
      </c>
    </row>
    <row r="751" spans="1:61" s="204" customFormat="1" ht="23.25" customHeight="1">
      <c r="A751" s="160" t="s">
        <v>513</v>
      </c>
      <c r="B751" s="88" t="s">
        <v>2426</v>
      </c>
      <c r="C751" s="87" t="s">
        <v>1788</v>
      </c>
      <c r="D751" s="33" t="s">
        <v>302</v>
      </c>
      <c r="E751" s="33"/>
      <c r="F751" s="33"/>
      <c r="G751" s="33"/>
      <c r="H751" s="30" t="s">
        <v>1605</v>
      </c>
      <c r="I751" s="78">
        <v>1368</v>
      </c>
      <c r="J751" s="212">
        <v>43685</v>
      </c>
      <c r="K751" s="51"/>
      <c r="L751" s="51"/>
      <c r="M751" s="51">
        <v>90</v>
      </c>
      <c r="N751" s="51">
        <v>90</v>
      </c>
      <c r="O751" s="51"/>
      <c r="P751" s="158">
        <v>6561812882</v>
      </c>
      <c r="Q751" s="158"/>
      <c r="R751" s="158"/>
      <c r="S751" s="158"/>
      <c r="T751" s="158"/>
      <c r="U751" s="225">
        <v>3439332335</v>
      </c>
      <c r="V751" s="51">
        <v>20</v>
      </c>
      <c r="W751" s="311">
        <v>43678</v>
      </c>
      <c r="X751" s="311"/>
      <c r="Y751" s="311"/>
      <c r="Z751" s="94">
        <v>3122480547</v>
      </c>
      <c r="AA751" s="51">
        <v>20</v>
      </c>
      <c r="AB751" s="311">
        <v>43770</v>
      </c>
      <c r="AC751" s="582"/>
      <c r="AD751" s="316"/>
      <c r="AE751" s="158"/>
      <c r="AF751" s="158">
        <f>P751-U751-Z751</f>
        <v>0</v>
      </c>
      <c r="AG751" s="158"/>
      <c r="AH751" s="94">
        <v>0</v>
      </c>
      <c r="AI751" s="94">
        <v>0</v>
      </c>
      <c r="AJ751" s="94"/>
      <c r="AK751" s="158">
        <f t="shared" si="209"/>
        <v>0</v>
      </c>
      <c r="AL751" s="158">
        <v>877</v>
      </c>
      <c r="AM751" s="158">
        <v>20</v>
      </c>
      <c r="AN751" s="158"/>
      <c r="AO751" s="158"/>
      <c r="AP751" s="51">
        <v>90</v>
      </c>
      <c r="AQ751" s="51"/>
      <c r="AR751" s="51"/>
      <c r="AS751" s="51"/>
      <c r="AT751" s="56">
        <v>1</v>
      </c>
      <c r="AU751" s="58" t="s">
        <v>646</v>
      </c>
      <c r="AV751" s="479"/>
      <c r="AW751" s="51"/>
      <c r="AX751" s="51"/>
      <c r="AY751" s="51"/>
      <c r="AZ751" s="51"/>
      <c r="BA751" s="51">
        <v>90</v>
      </c>
      <c r="BB751" s="51"/>
      <c r="BC751" s="71"/>
      <c r="BD751" s="71">
        <v>90</v>
      </c>
      <c r="BE751" s="71"/>
      <c r="BF751" s="271">
        <v>2020</v>
      </c>
      <c r="BG751" s="271">
        <v>2019</v>
      </c>
      <c r="BH751" s="430">
        <v>2020</v>
      </c>
      <c r="BI751" s="271" t="s">
        <v>2375</v>
      </c>
    </row>
    <row r="752" spans="1:61" ht="21.75" customHeight="1">
      <c r="A752" s="371" t="s">
        <v>514</v>
      </c>
      <c r="B752" s="371"/>
      <c r="C752" s="371"/>
      <c r="D752" s="371"/>
      <c r="E752" s="371"/>
      <c r="F752" s="371"/>
      <c r="G752" s="371"/>
      <c r="H752" s="371"/>
      <c r="I752" s="371"/>
      <c r="J752" s="371"/>
      <c r="K752" s="371">
        <f>SUM(K753:K759)</f>
        <v>0</v>
      </c>
      <c r="L752" s="370">
        <f t="shared" ref="L752:O752" si="210">SUM(L753:L759)</f>
        <v>54</v>
      </c>
      <c r="M752" s="370">
        <f t="shared" si="210"/>
        <v>70</v>
      </c>
      <c r="N752" s="424">
        <f>SUM(N753:N759)</f>
        <v>66</v>
      </c>
      <c r="O752" s="370">
        <f t="shared" si="210"/>
        <v>0</v>
      </c>
      <c r="P752" s="371"/>
      <c r="Q752" s="371"/>
      <c r="R752" s="371"/>
      <c r="S752" s="371"/>
      <c r="T752" s="371"/>
      <c r="U752" s="371"/>
      <c r="V752" s="371"/>
      <c r="W752" s="371"/>
      <c r="X752" s="371"/>
      <c r="Y752" s="371"/>
      <c r="Z752" s="371"/>
      <c r="AA752" s="371"/>
      <c r="AB752" s="371"/>
      <c r="AC752" s="371"/>
      <c r="AD752" s="371"/>
      <c r="AE752" s="371"/>
      <c r="AF752" s="371"/>
      <c r="AG752" s="371"/>
      <c r="AH752" s="371"/>
      <c r="AI752" s="371"/>
      <c r="AJ752" s="371"/>
      <c r="AK752" s="371"/>
      <c r="AL752" s="371"/>
      <c r="AM752" s="371"/>
      <c r="AN752" s="370">
        <f t="shared" ref="AN752:AS752" si="211">SUM(AN753:AN759)</f>
        <v>0</v>
      </c>
      <c r="AO752" s="370">
        <f t="shared" si="211"/>
        <v>0</v>
      </c>
      <c r="AP752" s="370">
        <f t="shared" si="211"/>
        <v>66</v>
      </c>
      <c r="AQ752" s="370">
        <f t="shared" si="211"/>
        <v>0</v>
      </c>
      <c r="AR752" s="370">
        <f t="shared" si="211"/>
        <v>0</v>
      </c>
      <c r="AS752" s="370">
        <f t="shared" si="211"/>
        <v>0</v>
      </c>
      <c r="AT752" s="371"/>
      <c r="AU752" s="371"/>
      <c r="AV752" s="385"/>
      <c r="AW752" s="370">
        <f t="shared" ref="AW752:BE752" si="212">SUM(AW753:AW759)</f>
        <v>70</v>
      </c>
      <c r="AX752" s="370">
        <f t="shared" si="212"/>
        <v>0</v>
      </c>
      <c r="AY752" s="370">
        <f t="shared" si="212"/>
        <v>53</v>
      </c>
      <c r="AZ752" s="370">
        <f t="shared" si="212"/>
        <v>54</v>
      </c>
      <c r="BA752" s="370">
        <f t="shared" si="212"/>
        <v>66</v>
      </c>
      <c r="BB752" s="370">
        <f t="shared" si="212"/>
        <v>53</v>
      </c>
      <c r="BC752" s="370">
        <f t="shared" si="212"/>
        <v>0</v>
      </c>
      <c r="BD752" s="370">
        <f t="shared" si="212"/>
        <v>120</v>
      </c>
      <c r="BE752" s="370">
        <f t="shared" si="212"/>
        <v>4</v>
      </c>
      <c r="BF752" s="371"/>
      <c r="BG752" s="371">
        <v>2019</v>
      </c>
      <c r="BH752" s="371">
        <v>2020</v>
      </c>
      <c r="BI752" s="434" t="s">
        <v>2419</v>
      </c>
    </row>
    <row r="753" spans="1:61" ht="21" customHeight="1">
      <c r="A753" s="160" t="s">
        <v>514</v>
      </c>
      <c r="B753" s="58" t="s">
        <v>316</v>
      </c>
      <c r="C753" s="1" t="s">
        <v>314</v>
      </c>
      <c r="D753" s="33" t="s">
        <v>315</v>
      </c>
      <c r="E753" s="33"/>
      <c r="F753" s="33"/>
      <c r="G753" s="33"/>
      <c r="H753" s="30" t="s">
        <v>685</v>
      </c>
      <c r="I753" s="30"/>
      <c r="J753" s="212"/>
      <c r="K753" s="158"/>
      <c r="L753" s="158"/>
      <c r="M753" s="158"/>
      <c r="N753" s="158"/>
      <c r="O753" s="158"/>
      <c r="P753" s="158"/>
      <c r="Q753" s="158"/>
      <c r="R753" s="158"/>
      <c r="S753" s="158"/>
      <c r="T753" s="158"/>
      <c r="U753" s="225"/>
      <c r="V753" s="158"/>
      <c r="W753" s="311"/>
      <c r="X753" s="311"/>
      <c r="Y753" s="311"/>
      <c r="Z753" s="94">
        <v>3925688</v>
      </c>
      <c r="AA753" s="221">
        <v>10</v>
      </c>
      <c r="AB753" s="311">
        <v>43313</v>
      </c>
      <c r="AC753" s="158"/>
      <c r="AD753" s="158"/>
      <c r="AE753" s="158"/>
      <c r="AF753" s="158"/>
      <c r="AG753" s="158"/>
      <c r="AH753" s="158"/>
      <c r="AI753" s="158"/>
      <c r="AJ753" s="158"/>
      <c r="AK753" s="158"/>
      <c r="AL753" s="158"/>
      <c r="AM753" s="158"/>
      <c r="AN753" s="158"/>
      <c r="AO753" s="158"/>
      <c r="AP753" s="158"/>
      <c r="AQ753" s="158"/>
      <c r="AR753" s="158"/>
      <c r="AS753" s="158"/>
      <c r="AT753" s="2">
        <v>1</v>
      </c>
      <c r="AU753" s="58" t="s">
        <v>646</v>
      </c>
      <c r="AV753" s="102"/>
      <c r="AW753" s="158" t="s">
        <v>0</v>
      </c>
      <c r="AX753" s="158"/>
      <c r="AY753" s="72">
        <v>8</v>
      </c>
      <c r="AZ753" s="158"/>
      <c r="BA753" s="158"/>
      <c r="BB753" s="158">
        <v>8</v>
      </c>
      <c r="BC753" s="69"/>
      <c r="BD753" s="69"/>
      <c r="BE753" s="69"/>
      <c r="BF753" s="270">
        <v>2018</v>
      </c>
      <c r="BG753" s="270"/>
      <c r="BI753" s="271" t="s">
        <v>2376</v>
      </c>
    </row>
    <row r="754" spans="1:61" ht="27" customHeight="1">
      <c r="A754" s="230" t="s">
        <v>514</v>
      </c>
      <c r="B754" s="58" t="s">
        <v>317</v>
      </c>
      <c r="C754" s="49" t="s">
        <v>1107</v>
      </c>
      <c r="D754" s="33" t="s">
        <v>315</v>
      </c>
      <c r="E754" s="33"/>
      <c r="F754" s="33"/>
      <c r="G754" s="33"/>
      <c r="H754" s="30" t="s">
        <v>685</v>
      </c>
      <c r="I754" s="30"/>
      <c r="J754" s="212"/>
      <c r="K754" s="158"/>
      <c r="L754" s="158"/>
      <c r="M754" s="158"/>
      <c r="N754" s="158"/>
      <c r="O754" s="158"/>
      <c r="P754" s="158">
        <v>2513863857</v>
      </c>
      <c r="Q754" s="158"/>
      <c r="R754" s="158"/>
      <c r="S754" s="158"/>
      <c r="T754" s="284"/>
      <c r="U754" s="225">
        <v>1140527576</v>
      </c>
      <c r="V754" s="61"/>
      <c r="W754" s="311"/>
      <c r="X754" s="311"/>
      <c r="Y754" s="311"/>
      <c r="Z754" s="94">
        <v>1373336281</v>
      </c>
      <c r="AA754" s="158"/>
      <c r="AB754" s="5"/>
      <c r="AC754" s="5"/>
      <c r="AD754" s="5"/>
      <c r="AE754" s="158"/>
      <c r="AF754" s="158">
        <f>P754-U754-Z754</f>
        <v>0</v>
      </c>
      <c r="AG754" s="158"/>
      <c r="AH754" s="158"/>
      <c r="AI754" s="158"/>
      <c r="AJ754" s="158"/>
      <c r="AK754" s="158"/>
      <c r="AL754" s="158"/>
      <c r="AM754" s="158"/>
      <c r="AN754" s="158"/>
      <c r="AO754" s="158"/>
      <c r="AP754" s="158"/>
      <c r="AQ754" s="158"/>
      <c r="AR754" s="158"/>
      <c r="AS754" s="158"/>
      <c r="AT754" s="2">
        <v>1</v>
      </c>
      <c r="AU754" s="58" t="s">
        <v>646</v>
      </c>
      <c r="AV754" s="105"/>
      <c r="AW754" s="158" t="s">
        <v>0</v>
      </c>
      <c r="AX754" s="158"/>
      <c r="AY754" s="72">
        <v>45</v>
      </c>
      <c r="AZ754" s="158"/>
      <c r="BA754" s="158"/>
      <c r="BB754" s="158">
        <v>45</v>
      </c>
      <c r="BC754" s="69"/>
      <c r="BD754" s="69"/>
      <c r="BE754" s="69"/>
      <c r="BF754" s="270">
        <v>2018</v>
      </c>
      <c r="BG754" s="270"/>
      <c r="BI754" s="271" t="s">
        <v>2376</v>
      </c>
    </row>
    <row r="755" spans="1:61" ht="18" customHeight="1">
      <c r="A755" s="160" t="s">
        <v>514</v>
      </c>
      <c r="B755" s="58" t="s">
        <v>317</v>
      </c>
      <c r="C755" s="1" t="s">
        <v>1107</v>
      </c>
      <c r="D755" s="33" t="s">
        <v>315</v>
      </c>
      <c r="E755" s="33"/>
      <c r="F755" s="33"/>
      <c r="G755" s="33"/>
      <c r="H755" s="30" t="s">
        <v>685</v>
      </c>
      <c r="I755" s="228" t="s">
        <v>1531</v>
      </c>
      <c r="J755" s="215" t="s">
        <v>1530</v>
      </c>
      <c r="K755" s="158"/>
      <c r="L755" s="158"/>
      <c r="M755" s="158">
        <v>1</v>
      </c>
      <c r="N755" s="158"/>
      <c r="O755" s="158"/>
      <c r="P755" s="158">
        <v>76964217</v>
      </c>
      <c r="Q755" s="158"/>
      <c r="R755" s="158"/>
      <c r="S755" s="158"/>
      <c r="T755" s="92"/>
      <c r="U755" s="225"/>
      <c r="V755" s="158"/>
      <c r="W755" s="311"/>
      <c r="X755" s="311"/>
      <c r="Y755" s="311"/>
      <c r="Z755" s="94"/>
      <c r="AA755" s="69"/>
      <c r="AB755" s="69"/>
      <c r="AC755" s="69"/>
      <c r="AD755" s="69">
        <v>76964217</v>
      </c>
      <c r="AE755" s="158"/>
      <c r="AF755" s="158">
        <f>P755-U755-Z755-AD755</f>
        <v>0</v>
      </c>
      <c r="AG755" s="158"/>
      <c r="AH755" s="94">
        <v>0</v>
      </c>
      <c r="AI755" s="94">
        <v>0</v>
      </c>
      <c r="AJ755" s="94"/>
      <c r="AK755" s="158">
        <f t="shared" ref="AK755" si="213">AF755+AH755</f>
        <v>0</v>
      </c>
      <c r="AL755" s="158">
        <v>877</v>
      </c>
      <c r="AM755" s="158">
        <v>10</v>
      </c>
      <c r="AN755" s="158"/>
      <c r="AO755" s="158"/>
      <c r="AP755" s="11"/>
      <c r="AQ755" s="11"/>
      <c r="AR755" s="11"/>
      <c r="AS755" s="12"/>
      <c r="AT755" s="24">
        <v>0</v>
      </c>
      <c r="AU755" s="58" t="s">
        <v>687</v>
      </c>
      <c r="AV755" s="387" t="s">
        <v>1362</v>
      </c>
      <c r="AW755" s="158"/>
      <c r="AX755" s="11"/>
      <c r="AY755" s="11"/>
      <c r="AZ755" s="11"/>
      <c r="BA755" s="11"/>
      <c r="BB755" s="11"/>
      <c r="BC755" s="70"/>
      <c r="BD755" s="70"/>
      <c r="BE755" s="69">
        <v>1</v>
      </c>
      <c r="BF755" s="270" t="s">
        <v>1706</v>
      </c>
      <c r="BG755" s="270">
        <v>2019</v>
      </c>
      <c r="BH755" s="271"/>
      <c r="BI755" s="271" t="s">
        <v>2375</v>
      </c>
    </row>
    <row r="756" spans="1:61" ht="15" customHeight="1">
      <c r="A756" s="248" t="s">
        <v>514</v>
      </c>
      <c r="B756" s="58" t="s">
        <v>316</v>
      </c>
      <c r="C756" s="251" t="s">
        <v>318</v>
      </c>
      <c r="D756" s="33" t="s">
        <v>119</v>
      </c>
      <c r="E756" s="33"/>
      <c r="F756" s="33"/>
      <c r="G756" s="33"/>
      <c r="H756" s="30"/>
      <c r="I756" s="30"/>
      <c r="J756" s="212"/>
      <c r="K756" s="158"/>
      <c r="L756" s="158"/>
      <c r="M756" s="158"/>
      <c r="N756" s="158"/>
      <c r="O756" s="158"/>
      <c r="P756" s="158"/>
      <c r="Q756" s="158"/>
      <c r="R756" s="158"/>
      <c r="S756" s="158"/>
      <c r="T756" s="158"/>
      <c r="U756" s="225"/>
      <c r="V756" s="158"/>
      <c r="W756" s="311"/>
      <c r="X756" s="311"/>
      <c r="Y756" s="311"/>
      <c r="Z756" s="94"/>
      <c r="AA756" s="158"/>
      <c r="AB756" s="92"/>
      <c r="AC756" s="92"/>
      <c r="AD756" s="92"/>
      <c r="AE756" s="158"/>
      <c r="AF756" s="158"/>
      <c r="AG756" s="158"/>
      <c r="AH756" s="158"/>
      <c r="AI756" s="158"/>
      <c r="AJ756" s="158"/>
      <c r="AK756" s="158"/>
      <c r="AL756" s="158"/>
      <c r="AM756" s="158"/>
      <c r="AN756" s="158"/>
      <c r="AO756" s="158"/>
      <c r="AP756" s="158"/>
      <c r="AQ756" s="158"/>
      <c r="AR756" s="158"/>
      <c r="AS756" s="158"/>
      <c r="AT756" s="2"/>
      <c r="AU756" s="58"/>
      <c r="AV756" s="105"/>
      <c r="AW756" s="158">
        <v>70</v>
      </c>
      <c r="AX756" s="158"/>
      <c r="AY756" s="158"/>
      <c r="AZ756" s="158"/>
      <c r="BA756" s="158"/>
      <c r="BB756" s="158"/>
      <c r="BC756" s="69"/>
      <c r="BD756" s="69"/>
      <c r="BE756" s="69"/>
      <c r="BF756" s="270">
        <v>2016</v>
      </c>
      <c r="BG756" s="270"/>
      <c r="BH756" s="204"/>
      <c r="BI756" s="682" t="s">
        <v>2376</v>
      </c>
    </row>
    <row r="757" spans="1:61" ht="18" customHeight="1">
      <c r="A757" s="160" t="s">
        <v>514</v>
      </c>
      <c r="B757" s="58" t="s">
        <v>786</v>
      </c>
      <c r="C757" s="1" t="s">
        <v>785</v>
      </c>
      <c r="D757" s="33" t="s">
        <v>287</v>
      </c>
      <c r="E757" s="33"/>
      <c r="F757" s="33"/>
      <c r="G757" s="33"/>
      <c r="H757" s="30" t="s">
        <v>715</v>
      </c>
      <c r="I757" s="30">
        <v>2607</v>
      </c>
      <c r="J757" s="212">
        <v>43055</v>
      </c>
      <c r="K757" s="158"/>
      <c r="L757" s="158">
        <v>54</v>
      </c>
      <c r="M757" s="158"/>
      <c r="N757" s="158"/>
      <c r="O757" s="158"/>
      <c r="P757" s="158"/>
      <c r="Q757" s="158"/>
      <c r="R757" s="158"/>
      <c r="S757" s="158"/>
      <c r="T757" s="158"/>
      <c r="U757" s="225"/>
      <c r="V757" s="158"/>
      <c r="W757" s="311"/>
      <c r="X757" s="311"/>
      <c r="Y757" s="311"/>
      <c r="Z757" s="94"/>
      <c r="AA757" s="158"/>
      <c r="AB757" s="158"/>
      <c r="AC757" s="158"/>
      <c r="AD757" s="158"/>
      <c r="AE757" s="158"/>
      <c r="AF757" s="158">
        <f>P757-U757-Z757</f>
        <v>0</v>
      </c>
      <c r="AG757" s="158"/>
      <c r="AH757" s="94">
        <v>0</v>
      </c>
      <c r="AI757" s="94">
        <v>0</v>
      </c>
      <c r="AJ757" s="94"/>
      <c r="AK757" s="158">
        <f t="shared" ref="AK757:AK758" si="214">AF757+AH757</f>
        <v>0</v>
      </c>
      <c r="AL757" s="158"/>
      <c r="AM757" s="158"/>
      <c r="AN757" s="158"/>
      <c r="AO757" s="158"/>
      <c r="AP757" s="158"/>
      <c r="AQ757" s="158"/>
      <c r="AR757" s="158"/>
      <c r="AS757" s="158"/>
      <c r="AT757" s="98">
        <v>1</v>
      </c>
      <c r="AU757" s="58" t="s">
        <v>646</v>
      </c>
      <c r="AV757" s="104" t="s">
        <v>1343</v>
      </c>
      <c r="AW757" s="158"/>
      <c r="AX757" s="158"/>
      <c r="AY757" s="158"/>
      <c r="AZ757" s="158">
        <v>54</v>
      </c>
      <c r="BA757" s="158"/>
      <c r="BB757" s="158"/>
      <c r="BC757" s="69"/>
      <c r="BD757" s="69">
        <v>54</v>
      </c>
      <c r="BE757" s="69"/>
      <c r="BF757" s="270">
        <v>2019</v>
      </c>
      <c r="BG757" s="270">
        <v>2019</v>
      </c>
      <c r="BH757" s="271"/>
      <c r="BI757" s="271" t="s">
        <v>2375</v>
      </c>
    </row>
    <row r="758" spans="1:61" ht="18" customHeight="1">
      <c r="A758" s="230" t="s">
        <v>514</v>
      </c>
      <c r="B758" s="58" t="s">
        <v>786</v>
      </c>
      <c r="C758" s="49" t="s">
        <v>2152</v>
      </c>
      <c r="D758" s="33" t="s">
        <v>287</v>
      </c>
      <c r="E758" s="33"/>
      <c r="F758" s="33"/>
      <c r="G758" s="33"/>
      <c r="H758" s="30" t="s">
        <v>715</v>
      </c>
      <c r="I758" s="30">
        <v>2607</v>
      </c>
      <c r="J758" s="212">
        <v>43054</v>
      </c>
      <c r="K758" s="158"/>
      <c r="L758" s="158"/>
      <c r="M758" s="158">
        <v>3</v>
      </c>
      <c r="N758" s="158"/>
      <c r="O758" s="158"/>
      <c r="P758" s="158">
        <v>189646104</v>
      </c>
      <c r="Q758" s="158"/>
      <c r="R758" s="158"/>
      <c r="S758" s="158"/>
      <c r="T758" s="158"/>
      <c r="U758" s="225"/>
      <c r="V758" s="158"/>
      <c r="W758" s="311"/>
      <c r="X758" s="311"/>
      <c r="Y758" s="311"/>
      <c r="Z758" s="94"/>
      <c r="AA758" s="158"/>
      <c r="AB758" s="5"/>
      <c r="AC758" s="5"/>
      <c r="AD758" s="5">
        <v>189646104</v>
      </c>
      <c r="AE758" s="158"/>
      <c r="AF758" s="158">
        <f>P758-U758-Z758-AD758</f>
        <v>0</v>
      </c>
      <c r="AG758" s="158"/>
      <c r="AH758" s="94">
        <v>0</v>
      </c>
      <c r="AI758" s="94">
        <v>0</v>
      </c>
      <c r="AJ758" s="94"/>
      <c r="AK758" s="158">
        <f t="shared" si="214"/>
        <v>0</v>
      </c>
      <c r="AL758" s="158">
        <v>877</v>
      </c>
      <c r="AM758" s="158">
        <v>10</v>
      </c>
      <c r="AN758" s="158"/>
      <c r="AO758" s="158"/>
      <c r="AP758" s="158"/>
      <c r="AQ758" s="158"/>
      <c r="AR758" s="158"/>
      <c r="AS758" s="158"/>
      <c r="AT758" s="24">
        <v>0</v>
      </c>
      <c r="AU758" s="58" t="s">
        <v>687</v>
      </c>
      <c r="AV758" s="396" t="s">
        <v>1354</v>
      </c>
      <c r="AW758" s="158"/>
      <c r="AX758" s="158"/>
      <c r="AY758" s="158"/>
      <c r="AZ758" s="158"/>
      <c r="BA758" s="158"/>
      <c r="BB758" s="158"/>
      <c r="BC758" s="69"/>
      <c r="BD758" s="69"/>
      <c r="BE758" s="69">
        <v>3</v>
      </c>
      <c r="BF758" s="270" t="s">
        <v>1706</v>
      </c>
      <c r="BG758" s="270">
        <v>2019</v>
      </c>
      <c r="BH758" s="271"/>
      <c r="BI758" s="271" t="s">
        <v>2375</v>
      </c>
    </row>
    <row r="759" spans="1:61" ht="18" customHeight="1">
      <c r="A759" s="160" t="s">
        <v>514</v>
      </c>
      <c r="B759" s="58" t="s">
        <v>786</v>
      </c>
      <c r="C759" s="1" t="s">
        <v>1256</v>
      </c>
      <c r="D759" s="33" t="s">
        <v>287</v>
      </c>
      <c r="E759" s="33"/>
      <c r="F759" s="33"/>
      <c r="G759" s="33"/>
      <c r="H759" s="30" t="s">
        <v>1232</v>
      </c>
      <c r="I759" s="78">
        <v>485</v>
      </c>
      <c r="J759" s="212">
        <v>43538</v>
      </c>
      <c r="K759" s="158"/>
      <c r="L759" s="158"/>
      <c r="M759" s="158">
        <v>66</v>
      </c>
      <c r="N759" s="158">
        <v>66</v>
      </c>
      <c r="O759" s="158"/>
      <c r="P759" s="158">
        <v>4635961081</v>
      </c>
      <c r="Q759" s="158"/>
      <c r="R759" s="158"/>
      <c r="S759" s="158"/>
      <c r="T759" s="158"/>
      <c r="U759" s="225">
        <v>2410222681</v>
      </c>
      <c r="V759" s="158">
        <v>10</v>
      </c>
      <c r="W759" s="311">
        <v>43586</v>
      </c>
      <c r="X759" s="311"/>
      <c r="Y759" s="311"/>
      <c r="Z759" s="94">
        <v>2225738400</v>
      </c>
      <c r="AA759" s="69">
        <v>20</v>
      </c>
      <c r="AB759" s="311">
        <v>43739</v>
      </c>
      <c r="AC759" s="577"/>
      <c r="AD759" s="69"/>
      <c r="AE759" s="158"/>
      <c r="AF759" s="158">
        <f>P759-U759-Z759</f>
        <v>0</v>
      </c>
      <c r="AG759" s="158"/>
      <c r="AH759" s="94">
        <v>0</v>
      </c>
      <c r="AI759" s="94">
        <v>0</v>
      </c>
      <c r="AJ759" s="94"/>
      <c r="AK759" s="158">
        <f>P759-R759-U759-Z759</f>
        <v>0</v>
      </c>
      <c r="AL759" s="158">
        <v>877</v>
      </c>
      <c r="AM759" s="158">
        <v>20</v>
      </c>
      <c r="AN759" s="158"/>
      <c r="AO759" s="158"/>
      <c r="AP759" s="158">
        <v>66</v>
      </c>
      <c r="AQ759" s="158"/>
      <c r="AR759" s="158"/>
      <c r="AS759" s="158"/>
      <c r="AT759" s="98">
        <v>1</v>
      </c>
      <c r="AU759" s="58" t="s">
        <v>646</v>
      </c>
      <c r="AV759" s="386"/>
      <c r="AW759" s="158"/>
      <c r="AX759" s="158"/>
      <c r="AY759" s="158"/>
      <c r="AZ759" s="158"/>
      <c r="BA759" s="158">
        <v>66</v>
      </c>
      <c r="BB759" s="158"/>
      <c r="BC759" s="69"/>
      <c r="BD759" s="69">
        <v>66</v>
      </c>
      <c r="BE759" s="69"/>
      <c r="BF759" s="270">
        <v>2020</v>
      </c>
      <c r="BG759" s="270">
        <v>2019</v>
      </c>
      <c r="BH759" s="430">
        <v>2020</v>
      </c>
      <c r="BI759" s="270" t="s">
        <v>2375</v>
      </c>
    </row>
    <row r="760" spans="1:61" ht="22.5" customHeight="1">
      <c r="A760" s="371" t="s">
        <v>1</v>
      </c>
      <c r="B760" s="371"/>
      <c r="C760" s="371"/>
      <c r="D760" s="371"/>
      <c r="E760" s="371"/>
      <c r="F760" s="371"/>
      <c r="G760" s="371"/>
      <c r="H760" s="371"/>
      <c r="I760" s="371"/>
      <c r="J760" s="371"/>
      <c r="K760" s="371">
        <f>SUM(K761:K1235)</f>
        <v>0</v>
      </c>
      <c r="L760" s="370">
        <f t="shared" ref="L760" si="215">SUM(L761:L1235)</f>
        <v>48</v>
      </c>
      <c r="M760" s="424">
        <f>SUM(M761:M1246)</f>
        <v>162</v>
      </c>
      <c r="N760" s="424">
        <f>SUM(N761:N1246)</f>
        <v>134</v>
      </c>
      <c r="O760" s="424">
        <f>SUM(O761:O1246)</f>
        <v>16</v>
      </c>
      <c r="P760" s="371"/>
      <c r="Q760" s="371"/>
      <c r="R760" s="371"/>
      <c r="S760" s="371"/>
      <c r="T760" s="371"/>
      <c r="U760" s="371"/>
      <c r="V760" s="371"/>
      <c r="W760" s="371"/>
      <c r="X760" s="371"/>
      <c r="Y760" s="371"/>
      <c r="Z760" s="371"/>
      <c r="AA760" s="371"/>
      <c r="AB760" s="371"/>
      <c r="AC760" s="371"/>
      <c r="AD760" s="371"/>
      <c r="AE760" s="371"/>
      <c r="AF760" s="371"/>
      <c r="AG760" s="371"/>
      <c r="AH760" s="371"/>
      <c r="AI760" s="371"/>
      <c r="AJ760" s="371"/>
      <c r="AK760" s="371"/>
      <c r="AL760" s="371"/>
      <c r="AM760" s="371"/>
      <c r="AN760" s="424">
        <f>SUM(AN761:AN1246)</f>
        <v>79</v>
      </c>
      <c r="AO760" s="424">
        <f t="shared" ref="AO760:AS760" si="216">SUM(AO761:AO1246)</f>
        <v>45</v>
      </c>
      <c r="AP760" s="424">
        <f t="shared" si="216"/>
        <v>25</v>
      </c>
      <c r="AQ760" s="424">
        <f t="shared" si="216"/>
        <v>0</v>
      </c>
      <c r="AR760" s="424">
        <f t="shared" si="216"/>
        <v>0</v>
      </c>
      <c r="AS760" s="424">
        <f t="shared" si="216"/>
        <v>1</v>
      </c>
      <c r="AT760" s="371"/>
      <c r="AU760" s="371"/>
      <c r="AV760" s="385"/>
      <c r="AW760" s="370">
        <f t="shared" ref="AW760:AZ760" si="217">SUM(AW761:AW1235)</f>
        <v>158</v>
      </c>
      <c r="AX760" s="370">
        <f t="shared" si="217"/>
        <v>60</v>
      </c>
      <c r="AY760" s="370">
        <f t="shared" si="217"/>
        <v>67</v>
      </c>
      <c r="AZ760" s="370">
        <f t="shared" si="217"/>
        <v>69</v>
      </c>
      <c r="BA760" s="424">
        <f>SUM(BA761:BA1246)</f>
        <v>25</v>
      </c>
      <c r="BB760" s="424">
        <f t="shared" ref="BB760:BE760" si="218">SUM(BB761:BB1246)</f>
        <v>67</v>
      </c>
      <c r="BC760" s="424">
        <f t="shared" si="218"/>
        <v>0</v>
      </c>
      <c r="BD760" s="424">
        <f t="shared" si="218"/>
        <v>94</v>
      </c>
      <c r="BE760" s="424">
        <f t="shared" si="218"/>
        <v>1</v>
      </c>
      <c r="BF760" s="371"/>
      <c r="BG760" s="371">
        <v>2019</v>
      </c>
      <c r="BH760" s="371">
        <v>2020</v>
      </c>
      <c r="BI760" s="434" t="s">
        <v>2419</v>
      </c>
    </row>
    <row r="761" spans="1:61" ht="15" customHeight="1">
      <c r="A761" s="160" t="s">
        <v>1</v>
      </c>
      <c r="B761" s="58" t="s">
        <v>320</v>
      </c>
      <c r="C761" s="129" t="s">
        <v>321</v>
      </c>
      <c r="D761" s="33" t="s">
        <v>319</v>
      </c>
      <c r="E761" s="33"/>
      <c r="F761" s="33"/>
      <c r="G761" s="33"/>
      <c r="H761" s="30"/>
      <c r="I761" s="65"/>
      <c r="J761" s="212"/>
      <c r="K761" s="23"/>
      <c r="L761" s="23"/>
      <c r="M761" s="23"/>
      <c r="N761" s="23"/>
      <c r="O761" s="23"/>
      <c r="P761" s="23"/>
      <c r="Q761" s="23"/>
      <c r="R761" s="158"/>
      <c r="S761" s="23"/>
      <c r="T761" s="23"/>
      <c r="U761" s="225"/>
      <c r="V761" s="23"/>
      <c r="W761" s="311"/>
      <c r="X761" s="311"/>
      <c r="Y761" s="311"/>
      <c r="Z761" s="94"/>
      <c r="AA761" s="23"/>
      <c r="AB761" s="23"/>
      <c r="AC761" s="23"/>
      <c r="AD761" s="23"/>
      <c r="AE761" s="158"/>
      <c r="AF761" s="158"/>
      <c r="AG761" s="158"/>
      <c r="AH761" s="158"/>
      <c r="AI761" s="158"/>
      <c r="AJ761" s="158"/>
      <c r="AK761" s="158"/>
      <c r="AL761" s="158"/>
      <c r="AM761" s="158"/>
      <c r="AN761" s="158"/>
      <c r="AO761" s="158"/>
      <c r="AP761" s="23"/>
      <c r="AQ761" s="23"/>
      <c r="AR761" s="23"/>
      <c r="AS761" s="23"/>
      <c r="AT761" s="2"/>
      <c r="AU761" s="58"/>
      <c r="AV761" s="105"/>
      <c r="AW761" s="23">
        <v>1</v>
      </c>
      <c r="AX761" s="23"/>
      <c r="AY761" s="23"/>
      <c r="AZ761" s="23"/>
      <c r="BA761" s="23"/>
      <c r="BB761" s="23"/>
      <c r="BC761" s="223"/>
      <c r="BD761" s="223"/>
      <c r="BE761" s="223"/>
      <c r="BF761" s="270">
        <v>2016</v>
      </c>
      <c r="BG761" s="270"/>
      <c r="BH761" s="447"/>
      <c r="BI761" s="682" t="s">
        <v>2376</v>
      </c>
    </row>
    <row r="762" spans="1:61" ht="15" customHeight="1">
      <c r="A762" s="160" t="s">
        <v>1</v>
      </c>
      <c r="B762" s="58" t="s">
        <v>320</v>
      </c>
      <c r="C762" s="129" t="s">
        <v>322</v>
      </c>
      <c r="D762" s="33" t="s">
        <v>319</v>
      </c>
      <c r="E762" s="33"/>
      <c r="F762" s="33"/>
      <c r="G762" s="33"/>
      <c r="H762" s="30"/>
      <c r="I762" s="65"/>
      <c r="J762" s="212"/>
      <c r="K762" s="23"/>
      <c r="L762" s="23"/>
      <c r="M762" s="23"/>
      <c r="N762" s="23"/>
      <c r="O762" s="23"/>
      <c r="P762" s="23"/>
      <c r="Q762" s="23"/>
      <c r="R762" s="158"/>
      <c r="S762" s="23"/>
      <c r="T762" s="23"/>
      <c r="U762" s="225"/>
      <c r="V762" s="23"/>
      <c r="W762" s="311"/>
      <c r="X762" s="311"/>
      <c r="Y762" s="311"/>
      <c r="Z762" s="94"/>
      <c r="AA762" s="23"/>
      <c r="AB762" s="23"/>
      <c r="AC762" s="23"/>
      <c r="AD762" s="23"/>
      <c r="AE762" s="158"/>
      <c r="AF762" s="158"/>
      <c r="AG762" s="158"/>
      <c r="AH762" s="158"/>
      <c r="AI762" s="158"/>
      <c r="AJ762" s="158"/>
      <c r="AK762" s="158"/>
      <c r="AL762" s="158"/>
      <c r="AM762" s="158"/>
      <c r="AN762" s="158"/>
      <c r="AO762" s="158"/>
      <c r="AP762" s="23"/>
      <c r="AQ762" s="23"/>
      <c r="AR762" s="23"/>
      <c r="AS762" s="23"/>
      <c r="AT762" s="2"/>
      <c r="AU762" s="58"/>
      <c r="AV762" s="65"/>
      <c r="AW762" s="23">
        <v>1</v>
      </c>
      <c r="AX762" s="23"/>
      <c r="AY762" s="23"/>
      <c r="AZ762" s="23"/>
      <c r="BA762" s="23"/>
      <c r="BB762" s="23"/>
      <c r="BC762" s="223"/>
      <c r="BD762" s="223"/>
      <c r="BE762" s="223"/>
      <c r="BF762" s="270">
        <v>2016</v>
      </c>
      <c r="BG762" s="270"/>
      <c r="BH762" s="447"/>
      <c r="BI762" s="682" t="s">
        <v>2376</v>
      </c>
    </row>
    <row r="763" spans="1:61" ht="15" customHeight="1">
      <c r="A763" s="160" t="s">
        <v>1</v>
      </c>
      <c r="B763" s="58" t="s">
        <v>320</v>
      </c>
      <c r="C763" s="129" t="s">
        <v>323</v>
      </c>
      <c r="D763" s="33" t="s">
        <v>319</v>
      </c>
      <c r="E763" s="33"/>
      <c r="F763" s="33"/>
      <c r="G763" s="33"/>
      <c r="H763" s="30"/>
      <c r="I763" s="65"/>
      <c r="J763" s="212"/>
      <c r="K763" s="23"/>
      <c r="L763" s="23"/>
      <c r="M763" s="23"/>
      <c r="N763" s="23"/>
      <c r="O763" s="23"/>
      <c r="P763" s="23"/>
      <c r="Q763" s="23"/>
      <c r="R763" s="158"/>
      <c r="S763" s="23"/>
      <c r="T763" s="23"/>
      <c r="U763" s="225"/>
      <c r="V763" s="23"/>
      <c r="W763" s="311"/>
      <c r="X763" s="311"/>
      <c r="Y763" s="311"/>
      <c r="Z763" s="94"/>
      <c r="AA763" s="23"/>
      <c r="AB763" s="23"/>
      <c r="AC763" s="23"/>
      <c r="AD763" s="23"/>
      <c r="AE763" s="158"/>
      <c r="AF763" s="158"/>
      <c r="AG763" s="158"/>
      <c r="AH763" s="158"/>
      <c r="AI763" s="158"/>
      <c r="AJ763" s="158"/>
      <c r="AK763" s="158"/>
      <c r="AL763" s="158"/>
      <c r="AM763" s="158"/>
      <c r="AN763" s="158"/>
      <c r="AO763" s="158"/>
      <c r="AP763" s="23"/>
      <c r="AQ763" s="23"/>
      <c r="AR763" s="23"/>
      <c r="AS763" s="23"/>
      <c r="AT763" s="2"/>
      <c r="AU763" s="58"/>
      <c r="AV763" s="65"/>
      <c r="AW763" s="23">
        <v>1</v>
      </c>
      <c r="AX763" s="23"/>
      <c r="AY763" s="23"/>
      <c r="AZ763" s="23"/>
      <c r="BA763" s="23"/>
      <c r="BB763" s="23"/>
      <c r="BC763" s="223"/>
      <c r="BD763" s="223"/>
      <c r="BE763" s="223"/>
      <c r="BF763" s="270">
        <v>2016</v>
      </c>
      <c r="BG763" s="270"/>
      <c r="BH763" s="447"/>
      <c r="BI763" s="682" t="s">
        <v>2376</v>
      </c>
    </row>
    <row r="764" spans="1:61" ht="15" customHeight="1">
      <c r="A764" s="160" t="s">
        <v>1</v>
      </c>
      <c r="B764" s="58" t="s">
        <v>320</v>
      </c>
      <c r="C764" s="65" t="s">
        <v>324</v>
      </c>
      <c r="D764" s="33" t="s">
        <v>319</v>
      </c>
      <c r="E764" s="33"/>
      <c r="F764" s="33"/>
      <c r="G764" s="33"/>
      <c r="H764" s="30" t="s">
        <v>661</v>
      </c>
      <c r="I764" s="30"/>
      <c r="J764" s="212"/>
      <c r="K764" s="23"/>
      <c r="L764" s="91"/>
      <c r="M764" s="91"/>
      <c r="N764" s="91"/>
      <c r="O764" s="91"/>
      <c r="P764" s="23">
        <v>61288248</v>
      </c>
      <c r="Q764" s="23"/>
      <c r="R764" s="158"/>
      <c r="S764" s="91"/>
      <c r="T764" s="91"/>
      <c r="U764" s="225">
        <f>55716595+5571653</f>
        <v>61288248</v>
      </c>
      <c r="V764" s="690">
        <v>10</v>
      </c>
      <c r="W764" s="311">
        <v>43344</v>
      </c>
      <c r="X764" s="311"/>
      <c r="Y764" s="311"/>
      <c r="Z764" s="94"/>
      <c r="AA764" s="91"/>
      <c r="AB764" s="91"/>
      <c r="AC764" s="91"/>
      <c r="AD764" s="91"/>
      <c r="AE764" s="158"/>
      <c r="AF764" s="158"/>
      <c r="AG764" s="158"/>
      <c r="AH764" s="158"/>
      <c r="AI764" s="158"/>
      <c r="AJ764" s="158"/>
      <c r="AK764" s="158"/>
      <c r="AL764" s="158">
        <v>980</v>
      </c>
      <c r="AM764" s="158">
        <v>10</v>
      </c>
      <c r="AN764" s="158"/>
      <c r="AO764" s="158"/>
      <c r="AP764" s="23"/>
      <c r="AQ764" s="23"/>
      <c r="AR764" s="23"/>
      <c r="AS764" s="23"/>
      <c r="AT764" s="24">
        <v>1</v>
      </c>
      <c r="AU764" s="58" t="s">
        <v>646</v>
      </c>
      <c r="AV764" s="65"/>
      <c r="AW764" s="23" t="s">
        <v>0</v>
      </c>
      <c r="AX764" s="23"/>
      <c r="AY764" s="514">
        <v>1</v>
      </c>
      <c r="AZ764" s="23"/>
      <c r="BA764" s="23"/>
      <c r="BB764" s="23">
        <v>1</v>
      </c>
      <c r="BC764" s="223"/>
      <c r="BD764" s="223"/>
      <c r="BE764" s="223"/>
      <c r="BF764" s="270">
        <v>2018</v>
      </c>
      <c r="BG764" s="270"/>
      <c r="BH764" s="448"/>
      <c r="BI764" s="682" t="s">
        <v>2376</v>
      </c>
    </row>
    <row r="765" spans="1:61" s="204" customFormat="1" ht="18" customHeight="1">
      <c r="A765" s="160" t="s">
        <v>1</v>
      </c>
      <c r="B765" s="58" t="s">
        <v>320</v>
      </c>
      <c r="C765" s="63" t="s">
        <v>325</v>
      </c>
      <c r="D765" s="33" t="s">
        <v>319</v>
      </c>
      <c r="E765" s="33"/>
      <c r="F765" s="33"/>
      <c r="G765" s="33"/>
      <c r="H765" s="30" t="s">
        <v>661</v>
      </c>
      <c r="I765" s="30">
        <v>1737</v>
      </c>
      <c r="J765" s="212">
        <v>41157</v>
      </c>
      <c r="K765" s="23"/>
      <c r="L765" s="23"/>
      <c r="M765" s="23">
        <v>1</v>
      </c>
      <c r="N765" s="23"/>
      <c r="O765" s="23">
        <v>1</v>
      </c>
      <c r="P765" s="23">
        <v>54390009</v>
      </c>
      <c r="Q765" s="23"/>
      <c r="R765" s="23"/>
      <c r="S765" s="23"/>
      <c r="T765" s="23"/>
      <c r="U765" s="225"/>
      <c r="V765" s="23"/>
      <c r="W765" s="311"/>
      <c r="X765" s="311"/>
      <c r="Y765" s="311"/>
      <c r="Z765" s="94"/>
      <c r="AA765" s="23"/>
      <c r="AB765" s="23"/>
      <c r="AC765" s="23"/>
      <c r="AD765" s="23"/>
      <c r="AE765" s="158"/>
      <c r="AF765" s="158">
        <f>P765-U765-Z765</f>
        <v>54390009</v>
      </c>
      <c r="AG765" s="158"/>
      <c r="AH765" s="94">
        <v>0</v>
      </c>
      <c r="AI765" s="94">
        <v>54390009</v>
      </c>
      <c r="AJ765" s="94"/>
      <c r="AK765" s="176">
        <f>P765-R765-U765-Z765</f>
        <v>54390009</v>
      </c>
      <c r="AL765" s="158"/>
      <c r="AM765" s="158"/>
      <c r="AN765" s="158">
        <v>1</v>
      </c>
      <c r="AO765" s="158"/>
      <c r="AP765" s="23"/>
      <c r="AQ765" s="23"/>
      <c r="AR765" s="23"/>
      <c r="AS765" s="23"/>
      <c r="AT765" s="24">
        <v>0</v>
      </c>
      <c r="AU765" s="58" t="s">
        <v>521</v>
      </c>
      <c r="AV765" s="398" t="s">
        <v>2220</v>
      </c>
      <c r="AW765" s="23"/>
      <c r="AX765" s="23"/>
      <c r="AY765" s="23"/>
      <c r="AZ765" s="23"/>
      <c r="BA765" s="23"/>
      <c r="BB765" s="23"/>
      <c r="BC765" s="223"/>
      <c r="BD765" s="223"/>
      <c r="BE765" s="223"/>
      <c r="BF765" s="271"/>
      <c r="BG765" s="271">
        <v>2019</v>
      </c>
      <c r="BH765" s="271">
        <v>2020</v>
      </c>
      <c r="BI765" s="271" t="s">
        <v>2375</v>
      </c>
    </row>
    <row r="766" spans="1:61" ht="15" customHeight="1">
      <c r="A766" s="160" t="s">
        <v>1</v>
      </c>
      <c r="B766" s="58" t="s">
        <v>320</v>
      </c>
      <c r="C766" s="63" t="s">
        <v>326</v>
      </c>
      <c r="D766" s="33" t="s">
        <v>319</v>
      </c>
      <c r="E766" s="33"/>
      <c r="F766" s="33"/>
      <c r="G766" s="33"/>
      <c r="H766" s="30"/>
      <c r="I766" s="30"/>
      <c r="J766" s="212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25"/>
      <c r="V766" s="23"/>
      <c r="W766" s="311"/>
      <c r="X766" s="311"/>
      <c r="Y766" s="311"/>
      <c r="Z766" s="94"/>
      <c r="AA766" s="23"/>
      <c r="AB766" s="23"/>
      <c r="AC766" s="23"/>
      <c r="AD766" s="23"/>
      <c r="AE766" s="158"/>
      <c r="AF766" s="158"/>
      <c r="AG766" s="158"/>
      <c r="AH766" s="158"/>
      <c r="AI766" s="158"/>
      <c r="AJ766" s="158"/>
      <c r="AK766" s="158"/>
      <c r="AL766" s="158"/>
      <c r="AM766" s="158"/>
      <c r="AN766" s="158"/>
      <c r="AO766" s="158"/>
      <c r="AP766" s="23"/>
      <c r="AQ766" s="23"/>
      <c r="AR766" s="23"/>
      <c r="AS766" s="23"/>
      <c r="AT766" s="2"/>
      <c r="AU766" s="58"/>
      <c r="AV766" s="110" t="s">
        <v>639</v>
      </c>
      <c r="AW766" s="23">
        <v>1</v>
      </c>
      <c r="AX766" s="23"/>
      <c r="AY766" s="23"/>
      <c r="AZ766" s="23"/>
      <c r="BA766" s="23"/>
      <c r="BB766" s="23"/>
      <c r="BC766" s="223"/>
      <c r="BD766" s="223"/>
      <c r="BE766" s="223"/>
      <c r="BF766" s="270">
        <v>2016</v>
      </c>
      <c r="BG766" s="270"/>
      <c r="BH766" s="448"/>
      <c r="BI766" s="682" t="s">
        <v>2376</v>
      </c>
    </row>
    <row r="767" spans="1:61" ht="15" customHeight="1">
      <c r="A767" s="160" t="s">
        <v>1</v>
      </c>
      <c r="B767" s="58" t="s">
        <v>320</v>
      </c>
      <c r="C767" s="63" t="s">
        <v>327</v>
      </c>
      <c r="D767" s="33" t="s">
        <v>319</v>
      </c>
      <c r="E767" s="33"/>
      <c r="F767" s="33"/>
      <c r="G767" s="33"/>
      <c r="H767" s="30"/>
      <c r="I767" s="30"/>
      <c r="J767" s="212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25"/>
      <c r="V767" s="23"/>
      <c r="W767" s="311"/>
      <c r="X767" s="311"/>
      <c r="Y767" s="311"/>
      <c r="Z767" s="94"/>
      <c r="AA767" s="23"/>
      <c r="AB767" s="23"/>
      <c r="AC767" s="23"/>
      <c r="AD767" s="23"/>
      <c r="AE767" s="158"/>
      <c r="AF767" s="158"/>
      <c r="AG767" s="158"/>
      <c r="AH767" s="158"/>
      <c r="AI767" s="158"/>
      <c r="AJ767" s="158"/>
      <c r="AK767" s="158"/>
      <c r="AL767" s="158"/>
      <c r="AM767" s="158"/>
      <c r="AN767" s="158"/>
      <c r="AO767" s="158"/>
      <c r="AP767" s="23"/>
      <c r="AQ767" s="23"/>
      <c r="AR767" s="23"/>
      <c r="AS767" s="23"/>
      <c r="AT767" s="2"/>
      <c r="AU767" s="58"/>
      <c r="AV767" s="112"/>
      <c r="AW767" s="23">
        <v>1</v>
      </c>
      <c r="AX767" s="23"/>
      <c r="AY767" s="23"/>
      <c r="AZ767" s="23"/>
      <c r="BA767" s="23"/>
      <c r="BB767" s="23"/>
      <c r="BC767" s="223"/>
      <c r="BD767" s="223"/>
      <c r="BE767" s="223"/>
      <c r="BF767" s="270">
        <v>2016</v>
      </c>
      <c r="BG767" s="270"/>
      <c r="BH767" s="448"/>
      <c r="BI767" s="682" t="s">
        <v>2376</v>
      </c>
    </row>
    <row r="768" spans="1:61" ht="15" customHeight="1">
      <c r="A768" s="160" t="s">
        <v>1</v>
      </c>
      <c r="B768" s="58" t="s">
        <v>320</v>
      </c>
      <c r="C768" s="63" t="s">
        <v>328</v>
      </c>
      <c r="D768" s="33" t="s">
        <v>319</v>
      </c>
      <c r="E768" s="33"/>
      <c r="F768" s="33"/>
      <c r="G768" s="33"/>
      <c r="H768" s="30"/>
      <c r="I768" s="30"/>
      <c r="J768" s="212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25"/>
      <c r="V768" s="23"/>
      <c r="W768" s="311"/>
      <c r="X768" s="311"/>
      <c r="Y768" s="311"/>
      <c r="Z768" s="94"/>
      <c r="AA768" s="23"/>
      <c r="AB768" s="23"/>
      <c r="AC768" s="23"/>
      <c r="AD768" s="23"/>
      <c r="AE768" s="158"/>
      <c r="AF768" s="158"/>
      <c r="AG768" s="158"/>
      <c r="AH768" s="158"/>
      <c r="AI768" s="158"/>
      <c r="AJ768" s="158"/>
      <c r="AK768" s="158"/>
      <c r="AL768" s="158"/>
      <c r="AM768" s="158"/>
      <c r="AN768" s="158"/>
      <c r="AO768" s="158"/>
      <c r="AP768" s="23"/>
      <c r="AQ768" s="23"/>
      <c r="AR768" s="23"/>
      <c r="AS768" s="23"/>
      <c r="AT768" s="2"/>
      <c r="AU768" s="58"/>
      <c r="AV768" s="112"/>
      <c r="AW768" s="23">
        <v>1</v>
      </c>
      <c r="AX768" s="23"/>
      <c r="AY768" s="23"/>
      <c r="AZ768" s="23"/>
      <c r="BA768" s="23"/>
      <c r="BB768" s="23"/>
      <c r="BC768" s="223"/>
      <c r="BD768" s="223"/>
      <c r="BE768" s="223"/>
      <c r="BF768" s="270">
        <v>2016</v>
      </c>
      <c r="BG768" s="270"/>
      <c r="BH768" s="448"/>
      <c r="BI768" s="682" t="s">
        <v>2376</v>
      </c>
    </row>
    <row r="769" spans="1:61" ht="15" customHeight="1">
      <c r="A769" s="160" t="s">
        <v>1</v>
      </c>
      <c r="B769" s="58" t="s">
        <v>320</v>
      </c>
      <c r="C769" s="63" t="s">
        <v>329</v>
      </c>
      <c r="D769" s="33" t="s">
        <v>319</v>
      </c>
      <c r="E769" s="33"/>
      <c r="F769" s="33"/>
      <c r="G769" s="33"/>
      <c r="H769" s="30"/>
      <c r="I769" s="30"/>
      <c r="J769" s="212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25"/>
      <c r="V769" s="23"/>
      <c r="W769" s="311"/>
      <c r="X769" s="311"/>
      <c r="Y769" s="311"/>
      <c r="Z769" s="94"/>
      <c r="AA769" s="23"/>
      <c r="AB769" s="23"/>
      <c r="AC769" s="23"/>
      <c r="AD769" s="23"/>
      <c r="AE769" s="158"/>
      <c r="AF769" s="158"/>
      <c r="AG769" s="158"/>
      <c r="AH769" s="158"/>
      <c r="AI769" s="158"/>
      <c r="AJ769" s="158"/>
      <c r="AK769" s="158"/>
      <c r="AL769" s="158"/>
      <c r="AM769" s="158"/>
      <c r="AN769" s="158"/>
      <c r="AO769" s="158"/>
      <c r="AP769" s="23"/>
      <c r="AQ769" s="23"/>
      <c r="AR769" s="23"/>
      <c r="AS769" s="23"/>
      <c r="AT769" s="2"/>
      <c r="AU769" s="58"/>
      <c r="AV769" s="112"/>
      <c r="AW769" s="23">
        <v>1</v>
      </c>
      <c r="AX769" s="23"/>
      <c r="AY769" s="23"/>
      <c r="AZ769" s="23"/>
      <c r="BA769" s="23"/>
      <c r="BB769" s="23"/>
      <c r="BC769" s="223"/>
      <c r="BD769" s="223"/>
      <c r="BE769" s="223"/>
      <c r="BF769" s="270">
        <v>2016</v>
      </c>
      <c r="BG769" s="270"/>
      <c r="BH769" s="448"/>
      <c r="BI769" s="682" t="s">
        <v>2376</v>
      </c>
    </row>
    <row r="770" spans="1:61" ht="15" customHeight="1">
      <c r="A770" s="160" t="s">
        <v>1</v>
      </c>
      <c r="B770" s="58" t="s">
        <v>320</v>
      </c>
      <c r="C770" s="63" t="s">
        <v>330</v>
      </c>
      <c r="D770" s="33" t="s">
        <v>319</v>
      </c>
      <c r="E770" s="33"/>
      <c r="F770" s="33"/>
      <c r="G770" s="33"/>
      <c r="H770" s="30"/>
      <c r="I770" s="30"/>
      <c r="J770" s="212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25"/>
      <c r="V770" s="23"/>
      <c r="W770" s="311"/>
      <c r="X770" s="311"/>
      <c r="Y770" s="311"/>
      <c r="Z770" s="94"/>
      <c r="AA770" s="23"/>
      <c r="AB770" s="23"/>
      <c r="AC770" s="23"/>
      <c r="AD770" s="23"/>
      <c r="AE770" s="158"/>
      <c r="AF770" s="158"/>
      <c r="AG770" s="158"/>
      <c r="AH770" s="158"/>
      <c r="AI770" s="158"/>
      <c r="AJ770" s="158"/>
      <c r="AK770" s="158"/>
      <c r="AL770" s="158"/>
      <c r="AM770" s="158"/>
      <c r="AN770" s="158"/>
      <c r="AO770" s="158"/>
      <c r="AP770" s="23"/>
      <c r="AQ770" s="23"/>
      <c r="AR770" s="23"/>
      <c r="AS770" s="23"/>
      <c r="AT770" s="2"/>
      <c r="AU770" s="58"/>
      <c r="AV770" s="112"/>
      <c r="AW770" s="23">
        <v>1</v>
      </c>
      <c r="AX770" s="23"/>
      <c r="AY770" s="23"/>
      <c r="AZ770" s="23"/>
      <c r="BA770" s="23"/>
      <c r="BB770" s="23"/>
      <c r="BC770" s="223"/>
      <c r="BD770" s="223"/>
      <c r="BE770" s="223"/>
      <c r="BF770" s="270">
        <v>2016</v>
      </c>
      <c r="BG770" s="270"/>
      <c r="BH770" s="448"/>
      <c r="BI770" s="682" t="s">
        <v>2376</v>
      </c>
    </row>
    <row r="771" spans="1:61" ht="15" customHeight="1">
      <c r="A771" s="160" t="s">
        <v>1</v>
      </c>
      <c r="B771" s="58" t="s">
        <v>320</v>
      </c>
      <c r="C771" s="63" t="s">
        <v>331</v>
      </c>
      <c r="D771" s="33" t="s">
        <v>319</v>
      </c>
      <c r="E771" s="33"/>
      <c r="F771" s="33"/>
      <c r="G771" s="33"/>
      <c r="H771" s="30"/>
      <c r="I771" s="30"/>
      <c r="J771" s="212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25"/>
      <c r="V771" s="23"/>
      <c r="W771" s="311"/>
      <c r="X771" s="311"/>
      <c r="Y771" s="311"/>
      <c r="Z771" s="94"/>
      <c r="AA771" s="23"/>
      <c r="AB771" s="23"/>
      <c r="AC771" s="23"/>
      <c r="AD771" s="23"/>
      <c r="AE771" s="158"/>
      <c r="AF771" s="158"/>
      <c r="AG771" s="158"/>
      <c r="AH771" s="158"/>
      <c r="AI771" s="158"/>
      <c r="AJ771" s="158"/>
      <c r="AK771" s="158"/>
      <c r="AL771" s="158"/>
      <c r="AM771" s="158"/>
      <c r="AN771" s="158"/>
      <c r="AO771" s="158"/>
      <c r="AP771" s="23"/>
      <c r="AQ771" s="23"/>
      <c r="AR771" s="23"/>
      <c r="AS771" s="23"/>
      <c r="AT771" s="2"/>
      <c r="AU771" s="58"/>
      <c r="AV771" s="112"/>
      <c r="AW771" s="23">
        <v>1</v>
      </c>
      <c r="AX771" s="23"/>
      <c r="AY771" s="23"/>
      <c r="AZ771" s="23"/>
      <c r="BA771" s="23"/>
      <c r="BB771" s="23"/>
      <c r="BC771" s="223"/>
      <c r="BD771" s="223"/>
      <c r="BE771" s="223"/>
      <c r="BF771" s="270">
        <v>2016</v>
      </c>
      <c r="BG771" s="270"/>
      <c r="BH771" s="448"/>
      <c r="BI771" s="682" t="s">
        <v>2376</v>
      </c>
    </row>
    <row r="772" spans="1:61" ht="15" customHeight="1">
      <c r="A772" s="160" t="s">
        <v>1</v>
      </c>
      <c r="B772" s="58" t="s">
        <v>320</v>
      </c>
      <c r="C772" s="63" t="s">
        <v>332</v>
      </c>
      <c r="D772" s="33" t="s">
        <v>319</v>
      </c>
      <c r="E772" s="33"/>
      <c r="F772" s="33"/>
      <c r="G772" s="33"/>
      <c r="H772" s="30"/>
      <c r="I772" s="30"/>
      <c r="J772" s="212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25"/>
      <c r="V772" s="23"/>
      <c r="W772" s="311"/>
      <c r="X772" s="311"/>
      <c r="Y772" s="311"/>
      <c r="Z772" s="94"/>
      <c r="AA772" s="23"/>
      <c r="AB772" s="23"/>
      <c r="AC772" s="23"/>
      <c r="AD772" s="23"/>
      <c r="AE772" s="158"/>
      <c r="AF772" s="158"/>
      <c r="AG772" s="158"/>
      <c r="AH772" s="158"/>
      <c r="AI772" s="158"/>
      <c r="AJ772" s="158"/>
      <c r="AK772" s="158"/>
      <c r="AL772" s="158"/>
      <c r="AM772" s="158"/>
      <c r="AN772" s="158"/>
      <c r="AO772" s="158"/>
      <c r="AP772" s="23"/>
      <c r="AQ772" s="23"/>
      <c r="AR772" s="23"/>
      <c r="AS772" s="23"/>
      <c r="AT772" s="2"/>
      <c r="AU772" s="58"/>
      <c r="AV772" s="112"/>
      <c r="AW772" s="23">
        <v>1</v>
      </c>
      <c r="AX772" s="23"/>
      <c r="AY772" s="23"/>
      <c r="AZ772" s="23"/>
      <c r="BA772" s="23"/>
      <c r="BB772" s="23"/>
      <c r="BC772" s="223"/>
      <c r="BD772" s="223"/>
      <c r="BE772" s="223"/>
      <c r="BF772" s="270">
        <v>2016</v>
      </c>
      <c r="BG772" s="270"/>
      <c r="BH772" s="448"/>
      <c r="BI772" s="682" t="s">
        <v>2376</v>
      </c>
    </row>
    <row r="773" spans="1:61" ht="15" customHeight="1">
      <c r="A773" s="160" t="s">
        <v>1</v>
      </c>
      <c r="B773" s="58" t="s">
        <v>320</v>
      </c>
      <c r="C773" s="63" t="s">
        <v>333</v>
      </c>
      <c r="D773" s="33" t="s">
        <v>319</v>
      </c>
      <c r="E773" s="33"/>
      <c r="F773" s="33"/>
      <c r="G773" s="33"/>
      <c r="H773" s="30"/>
      <c r="I773" s="30"/>
      <c r="J773" s="212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25"/>
      <c r="V773" s="23"/>
      <c r="W773" s="311"/>
      <c r="X773" s="311"/>
      <c r="Y773" s="311"/>
      <c r="Z773" s="94"/>
      <c r="AA773" s="23"/>
      <c r="AB773" s="23"/>
      <c r="AC773" s="23"/>
      <c r="AD773" s="23"/>
      <c r="AE773" s="158"/>
      <c r="AF773" s="158"/>
      <c r="AG773" s="158"/>
      <c r="AH773" s="158"/>
      <c r="AI773" s="158"/>
      <c r="AJ773" s="158"/>
      <c r="AK773" s="158"/>
      <c r="AL773" s="158"/>
      <c r="AM773" s="158"/>
      <c r="AN773" s="158"/>
      <c r="AO773" s="158"/>
      <c r="AP773" s="23"/>
      <c r="AQ773" s="23"/>
      <c r="AR773" s="23"/>
      <c r="AS773" s="23"/>
      <c r="AT773" s="2"/>
      <c r="AU773" s="58"/>
      <c r="AV773" s="112"/>
      <c r="AW773" s="23">
        <v>1</v>
      </c>
      <c r="AX773" s="23"/>
      <c r="AY773" s="23"/>
      <c r="AZ773" s="23"/>
      <c r="BA773" s="23"/>
      <c r="BB773" s="23"/>
      <c r="BC773" s="223"/>
      <c r="BD773" s="223"/>
      <c r="BE773" s="223"/>
      <c r="BF773" s="270">
        <v>2016</v>
      </c>
      <c r="BG773" s="270"/>
      <c r="BH773" s="448"/>
      <c r="BI773" s="682" t="s">
        <v>2376</v>
      </c>
    </row>
    <row r="774" spans="1:61" ht="15" customHeight="1">
      <c r="A774" s="160" t="s">
        <v>1</v>
      </c>
      <c r="B774" s="58" t="s">
        <v>320</v>
      </c>
      <c r="C774" s="63" t="s">
        <v>334</v>
      </c>
      <c r="D774" s="33" t="s">
        <v>319</v>
      </c>
      <c r="E774" s="33"/>
      <c r="F774" s="33"/>
      <c r="G774" s="33"/>
      <c r="H774" s="30"/>
      <c r="I774" s="30"/>
      <c r="J774" s="212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25"/>
      <c r="V774" s="23"/>
      <c r="W774" s="311"/>
      <c r="X774" s="311"/>
      <c r="Y774" s="311"/>
      <c r="Z774" s="94"/>
      <c r="AA774" s="23"/>
      <c r="AB774" s="23"/>
      <c r="AC774" s="23"/>
      <c r="AD774" s="23"/>
      <c r="AE774" s="158"/>
      <c r="AF774" s="158"/>
      <c r="AG774" s="158"/>
      <c r="AH774" s="158"/>
      <c r="AI774" s="158"/>
      <c r="AJ774" s="158"/>
      <c r="AK774" s="158"/>
      <c r="AL774" s="158"/>
      <c r="AM774" s="158"/>
      <c r="AN774" s="158"/>
      <c r="AO774" s="158"/>
      <c r="AP774" s="23"/>
      <c r="AQ774" s="23"/>
      <c r="AR774" s="23"/>
      <c r="AS774" s="23"/>
      <c r="AT774" s="2"/>
      <c r="AU774" s="58"/>
      <c r="AV774" s="112"/>
      <c r="AW774" s="23">
        <v>1</v>
      </c>
      <c r="AX774" s="23"/>
      <c r="AY774" s="23"/>
      <c r="AZ774" s="23"/>
      <c r="BA774" s="23"/>
      <c r="BB774" s="23"/>
      <c r="BC774" s="223"/>
      <c r="BD774" s="223"/>
      <c r="BE774" s="223"/>
      <c r="BF774" s="270">
        <v>2016</v>
      </c>
      <c r="BG774" s="270"/>
      <c r="BH774" s="448"/>
      <c r="BI774" s="682" t="s">
        <v>2376</v>
      </c>
    </row>
    <row r="775" spans="1:61" ht="15" customHeight="1">
      <c r="A775" s="160" t="s">
        <v>1</v>
      </c>
      <c r="B775" s="58" t="s">
        <v>320</v>
      </c>
      <c r="C775" s="63" t="s">
        <v>335</v>
      </c>
      <c r="D775" s="33" t="s">
        <v>319</v>
      </c>
      <c r="E775" s="33"/>
      <c r="F775" s="33"/>
      <c r="G775" s="33"/>
      <c r="H775" s="30"/>
      <c r="I775" s="30"/>
      <c r="J775" s="212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25"/>
      <c r="V775" s="23"/>
      <c r="W775" s="311"/>
      <c r="X775" s="311"/>
      <c r="Y775" s="311"/>
      <c r="Z775" s="94"/>
      <c r="AA775" s="23"/>
      <c r="AB775" s="23"/>
      <c r="AC775" s="23"/>
      <c r="AD775" s="23"/>
      <c r="AE775" s="158"/>
      <c r="AF775" s="158"/>
      <c r="AG775" s="158"/>
      <c r="AH775" s="158"/>
      <c r="AI775" s="158"/>
      <c r="AJ775" s="158"/>
      <c r="AK775" s="158"/>
      <c r="AL775" s="158"/>
      <c r="AM775" s="158"/>
      <c r="AN775" s="158"/>
      <c r="AO775" s="158"/>
      <c r="AP775" s="23"/>
      <c r="AQ775" s="23"/>
      <c r="AR775" s="23"/>
      <c r="AS775" s="23"/>
      <c r="AT775" s="2"/>
      <c r="AU775" s="58"/>
      <c r="AV775" s="112"/>
      <c r="AW775" s="23">
        <v>1</v>
      </c>
      <c r="AX775" s="23"/>
      <c r="AY775" s="23"/>
      <c r="AZ775" s="23"/>
      <c r="BA775" s="23"/>
      <c r="BB775" s="23"/>
      <c r="BC775" s="223"/>
      <c r="BD775" s="223"/>
      <c r="BE775" s="223"/>
      <c r="BF775" s="270">
        <v>2016</v>
      </c>
      <c r="BG775" s="270"/>
      <c r="BH775" s="448"/>
      <c r="BI775" s="682" t="s">
        <v>2376</v>
      </c>
    </row>
    <row r="776" spans="1:61" ht="15" customHeight="1">
      <c r="A776" s="160" t="s">
        <v>1</v>
      </c>
      <c r="B776" s="58" t="s">
        <v>320</v>
      </c>
      <c r="C776" s="63" t="s">
        <v>336</v>
      </c>
      <c r="D776" s="33" t="s">
        <v>319</v>
      </c>
      <c r="E776" s="33"/>
      <c r="F776" s="33"/>
      <c r="G776" s="33"/>
      <c r="H776" s="30"/>
      <c r="I776" s="30"/>
      <c r="J776" s="212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25"/>
      <c r="V776" s="23"/>
      <c r="W776" s="311"/>
      <c r="X776" s="311"/>
      <c r="Y776" s="311"/>
      <c r="Z776" s="94"/>
      <c r="AA776" s="23"/>
      <c r="AB776" s="23"/>
      <c r="AC776" s="23"/>
      <c r="AD776" s="23"/>
      <c r="AE776" s="158"/>
      <c r="AF776" s="158"/>
      <c r="AG776" s="158"/>
      <c r="AH776" s="158"/>
      <c r="AI776" s="158"/>
      <c r="AJ776" s="158"/>
      <c r="AK776" s="158"/>
      <c r="AL776" s="158"/>
      <c r="AM776" s="158"/>
      <c r="AN776" s="158"/>
      <c r="AO776" s="158"/>
      <c r="AP776" s="23"/>
      <c r="AQ776" s="23"/>
      <c r="AR776" s="23"/>
      <c r="AS776" s="23"/>
      <c r="AT776" s="2"/>
      <c r="AU776" s="58"/>
      <c r="AV776" s="112"/>
      <c r="AW776" s="23">
        <v>1</v>
      </c>
      <c r="AX776" s="23"/>
      <c r="AY776" s="23"/>
      <c r="AZ776" s="23"/>
      <c r="BA776" s="23"/>
      <c r="BB776" s="23"/>
      <c r="BC776" s="223"/>
      <c r="BD776" s="223"/>
      <c r="BE776" s="223"/>
      <c r="BF776" s="270">
        <v>2016</v>
      </c>
      <c r="BG776" s="270"/>
      <c r="BH776" s="448"/>
      <c r="BI776" s="682" t="s">
        <v>2376</v>
      </c>
    </row>
    <row r="777" spans="1:61" ht="15" customHeight="1">
      <c r="A777" s="160" t="s">
        <v>1</v>
      </c>
      <c r="B777" s="58" t="s">
        <v>320</v>
      </c>
      <c r="C777" s="63" t="s">
        <v>337</v>
      </c>
      <c r="D777" s="33" t="s">
        <v>319</v>
      </c>
      <c r="E777" s="33"/>
      <c r="F777" s="33"/>
      <c r="G777" s="33"/>
      <c r="H777" s="30"/>
      <c r="I777" s="30"/>
      <c r="J777" s="212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25"/>
      <c r="V777" s="23"/>
      <c r="W777" s="311"/>
      <c r="X777" s="311"/>
      <c r="Y777" s="311"/>
      <c r="Z777" s="94"/>
      <c r="AA777" s="23"/>
      <c r="AB777" s="23"/>
      <c r="AC777" s="23"/>
      <c r="AD777" s="23"/>
      <c r="AE777" s="158"/>
      <c r="AF777" s="158"/>
      <c r="AG777" s="158"/>
      <c r="AH777" s="158"/>
      <c r="AI777" s="158"/>
      <c r="AJ777" s="158"/>
      <c r="AK777" s="158"/>
      <c r="AL777" s="158"/>
      <c r="AM777" s="158"/>
      <c r="AN777" s="158"/>
      <c r="AO777" s="158"/>
      <c r="AP777" s="23"/>
      <c r="AQ777" s="23"/>
      <c r="AR777" s="23"/>
      <c r="AS777" s="23"/>
      <c r="AT777" s="2"/>
      <c r="AU777" s="58"/>
      <c r="AV777" s="112"/>
      <c r="AW777" s="23">
        <v>1</v>
      </c>
      <c r="AX777" s="23"/>
      <c r="AY777" s="23"/>
      <c r="AZ777" s="23"/>
      <c r="BA777" s="23"/>
      <c r="BB777" s="23"/>
      <c r="BC777" s="223"/>
      <c r="BD777" s="223"/>
      <c r="BE777" s="223"/>
      <c r="BF777" s="270">
        <v>2016</v>
      </c>
      <c r="BG777" s="270"/>
      <c r="BH777" s="448"/>
      <c r="BI777" s="682" t="s">
        <v>2376</v>
      </c>
    </row>
    <row r="778" spans="1:61" ht="15" customHeight="1">
      <c r="A778" s="160" t="s">
        <v>1</v>
      </c>
      <c r="B778" s="58" t="s">
        <v>320</v>
      </c>
      <c r="C778" s="63" t="s">
        <v>338</v>
      </c>
      <c r="D778" s="33" t="s">
        <v>319</v>
      </c>
      <c r="E778" s="33"/>
      <c r="F778" s="33"/>
      <c r="G778" s="33"/>
      <c r="H778" s="30"/>
      <c r="I778" s="30"/>
      <c r="J778" s="212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25"/>
      <c r="V778" s="23"/>
      <c r="W778" s="311"/>
      <c r="X778" s="311"/>
      <c r="Y778" s="311"/>
      <c r="Z778" s="94"/>
      <c r="AA778" s="23"/>
      <c r="AB778" s="23"/>
      <c r="AC778" s="23"/>
      <c r="AD778" s="23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23"/>
      <c r="AQ778" s="23"/>
      <c r="AR778" s="23"/>
      <c r="AS778" s="23"/>
      <c r="AT778" s="2"/>
      <c r="AU778" s="58"/>
      <c r="AV778" s="112"/>
      <c r="AW778" s="23">
        <v>1</v>
      </c>
      <c r="AX778" s="23"/>
      <c r="AY778" s="23"/>
      <c r="AZ778" s="23"/>
      <c r="BA778" s="23"/>
      <c r="BB778" s="23"/>
      <c r="BC778" s="223"/>
      <c r="BD778" s="223"/>
      <c r="BE778" s="223"/>
      <c r="BF778" s="270">
        <v>2016</v>
      </c>
      <c r="BG778" s="270"/>
      <c r="BH778" s="448"/>
      <c r="BI778" s="682" t="s">
        <v>2376</v>
      </c>
    </row>
    <row r="779" spans="1:61" ht="15" customHeight="1">
      <c r="A779" s="160" t="s">
        <v>1</v>
      </c>
      <c r="B779" s="58" t="s">
        <v>320</v>
      </c>
      <c r="C779" s="63" t="s">
        <v>339</v>
      </c>
      <c r="D779" s="33" t="s">
        <v>319</v>
      </c>
      <c r="E779" s="33"/>
      <c r="F779" s="33"/>
      <c r="G779" s="33"/>
      <c r="H779" s="30"/>
      <c r="I779" s="30"/>
      <c r="J779" s="212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25"/>
      <c r="V779" s="23"/>
      <c r="W779" s="311"/>
      <c r="X779" s="311"/>
      <c r="Y779" s="311"/>
      <c r="Z779" s="94"/>
      <c r="AA779" s="23"/>
      <c r="AB779" s="23"/>
      <c r="AC779" s="23"/>
      <c r="AD779" s="23"/>
      <c r="AE779" s="158"/>
      <c r="AF779" s="158"/>
      <c r="AG779" s="158"/>
      <c r="AH779" s="158"/>
      <c r="AI779" s="158"/>
      <c r="AJ779" s="158"/>
      <c r="AK779" s="158"/>
      <c r="AL779" s="158"/>
      <c r="AM779" s="158"/>
      <c r="AN779" s="158"/>
      <c r="AO779" s="158"/>
      <c r="AP779" s="23"/>
      <c r="AQ779" s="23"/>
      <c r="AR779" s="23"/>
      <c r="AS779" s="23"/>
      <c r="AT779" s="2"/>
      <c r="AU779" s="58"/>
      <c r="AV779" s="112"/>
      <c r="AW779" s="23">
        <v>1</v>
      </c>
      <c r="AX779" s="23"/>
      <c r="AY779" s="23"/>
      <c r="AZ779" s="23"/>
      <c r="BA779" s="23"/>
      <c r="BB779" s="23"/>
      <c r="BC779" s="223"/>
      <c r="BD779" s="223"/>
      <c r="BE779" s="223"/>
      <c r="BF779" s="270">
        <v>2016</v>
      </c>
      <c r="BG779" s="270"/>
      <c r="BH779" s="448"/>
      <c r="BI779" s="682" t="s">
        <v>2376</v>
      </c>
    </row>
    <row r="780" spans="1:61" ht="15" customHeight="1">
      <c r="A780" s="160" t="s">
        <v>1</v>
      </c>
      <c r="B780" s="58" t="s">
        <v>320</v>
      </c>
      <c r="C780" s="63" t="s">
        <v>340</v>
      </c>
      <c r="D780" s="33" t="s">
        <v>319</v>
      </c>
      <c r="E780" s="33"/>
      <c r="F780" s="33"/>
      <c r="G780" s="33"/>
      <c r="H780" s="30"/>
      <c r="I780" s="30"/>
      <c r="J780" s="212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25"/>
      <c r="V780" s="23"/>
      <c r="W780" s="311"/>
      <c r="X780" s="311"/>
      <c r="Y780" s="311"/>
      <c r="Z780" s="94"/>
      <c r="AA780" s="23"/>
      <c r="AB780" s="23"/>
      <c r="AC780" s="23"/>
      <c r="AD780" s="23"/>
      <c r="AE780" s="158"/>
      <c r="AF780" s="158"/>
      <c r="AG780" s="158"/>
      <c r="AH780" s="158"/>
      <c r="AI780" s="158"/>
      <c r="AJ780" s="158"/>
      <c r="AK780" s="158"/>
      <c r="AL780" s="158"/>
      <c r="AM780" s="158"/>
      <c r="AN780" s="158"/>
      <c r="AO780" s="158"/>
      <c r="AP780" s="23"/>
      <c r="AQ780" s="23"/>
      <c r="AR780" s="23"/>
      <c r="AS780" s="23"/>
      <c r="AT780" s="2"/>
      <c r="AU780" s="58"/>
      <c r="AV780" s="112"/>
      <c r="AW780" s="23">
        <v>1</v>
      </c>
      <c r="AX780" s="23"/>
      <c r="AY780" s="23"/>
      <c r="AZ780" s="23"/>
      <c r="BA780" s="23"/>
      <c r="BB780" s="23"/>
      <c r="BC780" s="223"/>
      <c r="BD780" s="223"/>
      <c r="BE780" s="223"/>
      <c r="BF780" s="270">
        <v>2016</v>
      </c>
      <c r="BG780" s="270"/>
      <c r="BH780" s="448"/>
      <c r="BI780" s="682" t="s">
        <v>2376</v>
      </c>
    </row>
    <row r="781" spans="1:61" ht="15" customHeight="1">
      <c r="A781" s="160" t="s">
        <v>1</v>
      </c>
      <c r="B781" s="58" t="s">
        <v>320</v>
      </c>
      <c r="C781" s="63" t="s">
        <v>341</v>
      </c>
      <c r="D781" s="33" t="s">
        <v>319</v>
      </c>
      <c r="E781" s="33"/>
      <c r="F781" s="33"/>
      <c r="G781" s="33"/>
      <c r="H781" s="30"/>
      <c r="I781" s="30"/>
      <c r="J781" s="212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25"/>
      <c r="V781" s="23"/>
      <c r="W781" s="311"/>
      <c r="X781" s="311"/>
      <c r="Y781" s="311"/>
      <c r="Z781" s="94"/>
      <c r="AA781" s="23"/>
      <c r="AB781" s="23"/>
      <c r="AC781" s="23"/>
      <c r="AD781" s="23"/>
      <c r="AE781" s="158"/>
      <c r="AF781" s="158"/>
      <c r="AG781" s="158"/>
      <c r="AH781" s="158"/>
      <c r="AI781" s="158"/>
      <c r="AJ781" s="158"/>
      <c r="AK781" s="158"/>
      <c r="AL781" s="158"/>
      <c r="AM781" s="158"/>
      <c r="AN781" s="158"/>
      <c r="AO781" s="158"/>
      <c r="AP781" s="23"/>
      <c r="AQ781" s="23"/>
      <c r="AR781" s="23"/>
      <c r="AS781" s="23"/>
      <c r="AT781" s="2"/>
      <c r="AU781" s="58"/>
      <c r="AV781" s="112"/>
      <c r="AW781" s="23">
        <v>1</v>
      </c>
      <c r="AX781" s="23"/>
      <c r="AY781" s="23"/>
      <c r="AZ781" s="23"/>
      <c r="BA781" s="23"/>
      <c r="BB781" s="23"/>
      <c r="BC781" s="223"/>
      <c r="BD781" s="223"/>
      <c r="BE781" s="223"/>
      <c r="BF781" s="270">
        <v>2016</v>
      </c>
      <c r="BG781" s="270"/>
      <c r="BH781" s="448"/>
      <c r="BI781" s="682" t="s">
        <v>2376</v>
      </c>
    </row>
    <row r="782" spans="1:61" ht="15" customHeight="1">
      <c r="A782" s="160" t="s">
        <v>1</v>
      </c>
      <c r="B782" s="58" t="s">
        <v>320</v>
      </c>
      <c r="C782" s="63" t="s">
        <v>342</v>
      </c>
      <c r="D782" s="33" t="s">
        <v>319</v>
      </c>
      <c r="E782" s="33"/>
      <c r="F782" s="33"/>
      <c r="G782" s="33"/>
      <c r="H782" s="30"/>
      <c r="I782" s="30"/>
      <c r="J782" s="212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25"/>
      <c r="V782" s="23"/>
      <c r="W782" s="311"/>
      <c r="X782" s="311"/>
      <c r="Y782" s="311"/>
      <c r="Z782" s="94"/>
      <c r="AA782" s="23"/>
      <c r="AB782" s="23"/>
      <c r="AC782" s="23"/>
      <c r="AD782" s="23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23"/>
      <c r="AQ782" s="23"/>
      <c r="AR782" s="23"/>
      <c r="AS782" s="23"/>
      <c r="AT782" s="2"/>
      <c r="AU782" s="58"/>
      <c r="AV782" s="112"/>
      <c r="AW782" s="23">
        <v>1</v>
      </c>
      <c r="AX782" s="23"/>
      <c r="AY782" s="23"/>
      <c r="AZ782" s="23"/>
      <c r="BA782" s="23"/>
      <c r="BB782" s="23"/>
      <c r="BC782" s="223"/>
      <c r="BD782" s="223"/>
      <c r="BE782" s="223"/>
      <c r="BF782" s="270">
        <v>2016</v>
      </c>
      <c r="BG782" s="270"/>
      <c r="BH782" s="448"/>
      <c r="BI782" s="682" t="s">
        <v>2376</v>
      </c>
    </row>
    <row r="783" spans="1:61" ht="15" customHeight="1">
      <c r="A783" s="160" t="s">
        <v>1</v>
      </c>
      <c r="B783" s="58" t="s">
        <v>320</v>
      </c>
      <c r="C783" s="63" t="s">
        <v>343</v>
      </c>
      <c r="D783" s="33" t="s">
        <v>319</v>
      </c>
      <c r="E783" s="33"/>
      <c r="F783" s="33"/>
      <c r="G783" s="33"/>
      <c r="H783" s="30"/>
      <c r="I783" s="30"/>
      <c r="J783" s="212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25"/>
      <c r="V783" s="23"/>
      <c r="W783" s="311"/>
      <c r="X783" s="311"/>
      <c r="Y783" s="311"/>
      <c r="Z783" s="94"/>
      <c r="AA783" s="23"/>
      <c r="AB783" s="23"/>
      <c r="AC783" s="23"/>
      <c r="AD783" s="23"/>
      <c r="AE783" s="158"/>
      <c r="AF783" s="158"/>
      <c r="AG783" s="158"/>
      <c r="AH783" s="158"/>
      <c r="AI783" s="158"/>
      <c r="AJ783" s="158"/>
      <c r="AK783" s="158"/>
      <c r="AL783" s="158"/>
      <c r="AM783" s="158"/>
      <c r="AN783" s="158"/>
      <c r="AO783" s="158"/>
      <c r="AP783" s="23"/>
      <c r="AQ783" s="23"/>
      <c r="AR783" s="23"/>
      <c r="AS783" s="23"/>
      <c r="AT783" s="2"/>
      <c r="AU783" s="58"/>
      <c r="AV783" s="112"/>
      <c r="AW783" s="23">
        <v>1</v>
      </c>
      <c r="AX783" s="23"/>
      <c r="AY783" s="23"/>
      <c r="AZ783" s="23"/>
      <c r="BA783" s="23"/>
      <c r="BB783" s="23"/>
      <c r="BC783" s="223"/>
      <c r="BD783" s="223"/>
      <c r="BE783" s="223"/>
      <c r="BF783" s="270">
        <v>2016</v>
      </c>
      <c r="BG783" s="270"/>
      <c r="BH783" s="448"/>
      <c r="BI783" s="682" t="s">
        <v>2376</v>
      </c>
    </row>
    <row r="784" spans="1:61" ht="15" customHeight="1">
      <c r="A784" s="160" t="s">
        <v>1</v>
      </c>
      <c r="B784" s="58" t="s">
        <v>320</v>
      </c>
      <c r="C784" s="63" t="s">
        <v>344</v>
      </c>
      <c r="D784" s="33" t="s">
        <v>319</v>
      </c>
      <c r="E784" s="33"/>
      <c r="F784" s="33"/>
      <c r="G784" s="33"/>
      <c r="H784" s="30"/>
      <c r="I784" s="30"/>
      <c r="J784" s="212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25"/>
      <c r="V784" s="23"/>
      <c r="W784" s="311"/>
      <c r="X784" s="311"/>
      <c r="Y784" s="311"/>
      <c r="Z784" s="94"/>
      <c r="AA784" s="23"/>
      <c r="AB784" s="23"/>
      <c r="AC784" s="23"/>
      <c r="AD784" s="23"/>
      <c r="AE784" s="158"/>
      <c r="AF784" s="158"/>
      <c r="AG784" s="158"/>
      <c r="AH784" s="158"/>
      <c r="AI784" s="158"/>
      <c r="AJ784" s="158"/>
      <c r="AK784" s="158"/>
      <c r="AL784" s="158"/>
      <c r="AM784" s="158"/>
      <c r="AN784" s="158"/>
      <c r="AO784" s="158"/>
      <c r="AP784" s="23"/>
      <c r="AQ784" s="23"/>
      <c r="AR784" s="23"/>
      <c r="AS784" s="23"/>
      <c r="AT784" s="2"/>
      <c r="AU784" s="58"/>
      <c r="AV784" s="112"/>
      <c r="AW784" s="23">
        <v>1</v>
      </c>
      <c r="AX784" s="23"/>
      <c r="AY784" s="23"/>
      <c r="AZ784" s="23"/>
      <c r="BA784" s="23"/>
      <c r="BB784" s="23"/>
      <c r="BC784" s="223"/>
      <c r="BD784" s="223"/>
      <c r="BE784" s="223"/>
      <c r="BF784" s="270">
        <v>2016</v>
      </c>
      <c r="BG784" s="270"/>
      <c r="BH784" s="448"/>
      <c r="BI784" s="682" t="s">
        <v>2376</v>
      </c>
    </row>
    <row r="785" spans="1:61" ht="15" customHeight="1">
      <c r="A785" s="160" t="s">
        <v>1</v>
      </c>
      <c r="B785" s="58" t="s">
        <v>320</v>
      </c>
      <c r="C785" s="63" t="s">
        <v>345</v>
      </c>
      <c r="D785" s="33" t="s">
        <v>319</v>
      </c>
      <c r="E785" s="33"/>
      <c r="F785" s="33"/>
      <c r="G785" s="33"/>
      <c r="H785" s="30"/>
      <c r="I785" s="30"/>
      <c r="J785" s="212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25"/>
      <c r="V785" s="23"/>
      <c r="W785" s="311"/>
      <c r="X785" s="311"/>
      <c r="Y785" s="311"/>
      <c r="Z785" s="94"/>
      <c r="AA785" s="23"/>
      <c r="AB785" s="23"/>
      <c r="AC785" s="23"/>
      <c r="AD785" s="23"/>
      <c r="AE785" s="158"/>
      <c r="AF785" s="158"/>
      <c r="AG785" s="158"/>
      <c r="AH785" s="158"/>
      <c r="AI785" s="158"/>
      <c r="AJ785" s="158"/>
      <c r="AK785" s="158"/>
      <c r="AL785" s="158"/>
      <c r="AM785" s="158"/>
      <c r="AN785" s="158"/>
      <c r="AO785" s="158"/>
      <c r="AP785" s="23"/>
      <c r="AQ785" s="23"/>
      <c r="AR785" s="23"/>
      <c r="AS785" s="23"/>
      <c r="AT785" s="2"/>
      <c r="AU785" s="58"/>
      <c r="AV785" s="112"/>
      <c r="AW785" s="23">
        <v>1</v>
      </c>
      <c r="AX785" s="23"/>
      <c r="AY785" s="23"/>
      <c r="AZ785" s="23"/>
      <c r="BA785" s="23"/>
      <c r="BB785" s="23"/>
      <c r="BC785" s="223"/>
      <c r="BD785" s="223"/>
      <c r="BE785" s="223"/>
      <c r="BF785" s="270">
        <v>2016</v>
      </c>
      <c r="BG785" s="270"/>
      <c r="BH785" s="448"/>
      <c r="BI785" s="682" t="s">
        <v>2376</v>
      </c>
    </row>
    <row r="786" spans="1:61" ht="15" customHeight="1">
      <c r="A786" s="160" t="s">
        <v>1</v>
      </c>
      <c r="B786" s="58" t="s">
        <v>320</v>
      </c>
      <c r="C786" s="63" t="s">
        <v>346</v>
      </c>
      <c r="D786" s="33" t="s">
        <v>319</v>
      </c>
      <c r="E786" s="33"/>
      <c r="F786" s="33"/>
      <c r="G786" s="33"/>
      <c r="H786" s="30"/>
      <c r="I786" s="30"/>
      <c r="J786" s="212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25"/>
      <c r="V786" s="23"/>
      <c r="W786" s="311"/>
      <c r="X786" s="311"/>
      <c r="Y786" s="311"/>
      <c r="Z786" s="94"/>
      <c r="AA786" s="23"/>
      <c r="AB786" s="23"/>
      <c r="AC786" s="23"/>
      <c r="AD786" s="23"/>
      <c r="AE786" s="158"/>
      <c r="AF786" s="158"/>
      <c r="AG786" s="158"/>
      <c r="AH786" s="158"/>
      <c r="AI786" s="158"/>
      <c r="AJ786" s="158"/>
      <c r="AK786" s="158"/>
      <c r="AL786" s="158"/>
      <c r="AM786" s="158"/>
      <c r="AN786" s="158"/>
      <c r="AO786" s="158"/>
      <c r="AP786" s="23"/>
      <c r="AQ786" s="23"/>
      <c r="AR786" s="23"/>
      <c r="AS786" s="23"/>
      <c r="AT786" s="2"/>
      <c r="AU786" s="58"/>
      <c r="AV786" s="112"/>
      <c r="AW786" s="23">
        <v>1</v>
      </c>
      <c r="AX786" s="23"/>
      <c r="AY786" s="23"/>
      <c r="AZ786" s="23"/>
      <c r="BA786" s="23"/>
      <c r="BB786" s="23"/>
      <c r="BC786" s="223"/>
      <c r="BD786" s="223"/>
      <c r="BE786" s="223"/>
      <c r="BF786" s="270">
        <v>2016</v>
      </c>
      <c r="BG786" s="270"/>
      <c r="BH786" s="448"/>
      <c r="BI786" s="682" t="s">
        <v>2376</v>
      </c>
    </row>
    <row r="787" spans="1:61" ht="15" customHeight="1">
      <c r="A787" s="160" t="s">
        <v>1</v>
      </c>
      <c r="B787" s="58" t="s">
        <v>320</v>
      </c>
      <c r="C787" s="63" t="s">
        <v>347</v>
      </c>
      <c r="D787" s="33" t="s">
        <v>319</v>
      </c>
      <c r="E787" s="33"/>
      <c r="F787" s="33"/>
      <c r="G787" s="33"/>
      <c r="H787" s="30"/>
      <c r="I787" s="30"/>
      <c r="J787" s="212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25"/>
      <c r="V787" s="23"/>
      <c r="W787" s="311"/>
      <c r="X787" s="311"/>
      <c r="Y787" s="311"/>
      <c r="Z787" s="94"/>
      <c r="AA787" s="23"/>
      <c r="AB787" s="23"/>
      <c r="AC787" s="23"/>
      <c r="AD787" s="23"/>
      <c r="AE787" s="158"/>
      <c r="AF787" s="158"/>
      <c r="AG787" s="158"/>
      <c r="AH787" s="158"/>
      <c r="AI787" s="158"/>
      <c r="AJ787" s="158"/>
      <c r="AK787" s="158"/>
      <c r="AL787" s="158"/>
      <c r="AM787" s="158"/>
      <c r="AN787" s="158"/>
      <c r="AO787" s="158"/>
      <c r="AP787" s="23"/>
      <c r="AQ787" s="23"/>
      <c r="AR787" s="23"/>
      <c r="AS787" s="23"/>
      <c r="AT787" s="2"/>
      <c r="AU787" s="58"/>
      <c r="AV787" s="112"/>
      <c r="AW787" s="23">
        <v>1</v>
      </c>
      <c r="AX787" s="23"/>
      <c r="AY787" s="23"/>
      <c r="AZ787" s="23"/>
      <c r="BA787" s="23"/>
      <c r="BB787" s="23"/>
      <c r="BC787" s="223"/>
      <c r="BD787" s="223"/>
      <c r="BE787" s="223"/>
      <c r="BF787" s="270">
        <v>2016</v>
      </c>
      <c r="BG787" s="270"/>
      <c r="BH787" s="448"/>
      <c r="BI787" s="682" t="s">
        <v>2376</v>
      </c>
    </row>
    <row r="788" spans="1:61" ht="15" customHeight="1">
      <c r="A788" s="160" t="s">
        <v>1</v>
      </c>
      <c r="B788" s="58" t="s">
        <v>320</v>
      </c>
      <c r="C788" s="63" t="s">
        <v>348</v>
      </c>
      <c r="D788" s="33" t="s">
        <v>319</v>
      </c>
      <c r="E788" s="33"/>
      <c r="F788" s="33"/>
      <c r="G788" s="33"/>
      <c r="H788" s="30"/>
      <c r="I788" s="30"/>
      <c r="J788" s="212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25"/>
      <c r="V788" s="23"/>
      <c r="W788" s="311"/>
      <c r="X788" s="311"/>
      <c r="Y788" s="311"/>
      <c r="Z788" s="94"/>
      <c r="AA788" s="23"/>
      <c r="AB788" s="23"/>
      <c r="AC788" s="23"/>
      <c r="AD788" s="23"/>
      <c r="AE788" s="158"/>
      <c r="AF788" s="158"/>
      <c r="AG788" s="158"/>
      <c r="AH788" s="158"/>
      <c r="AI788" s="158"/>
      <c r="AJ788" s="158"/>
      <c r="AK788" s="158"/>
      <c r="AL788" s="158"/>
      <c r="AM788" s="158"/>
      <c r="AN788" s="158"/>
      <c r="AO788" s="158"/>
      <c r="AP788" s="23"/>
      <c r="AQ788" s="23"/>
      <c r="AR788" s="23"/>
      <c r="AS788" s="23"/>
      <c r="AT788" s="2"/>
      <c r="AU788" s="58"/>
      <c r="AV788" s="112"/>
      <c r="AW788" s="23">
        <v>1</v>
      </c>
      <c r="AX788" s="23"/>
      <c r="AY788" s="23"/>
      <c r="AZ788" s="23"/>
      <c r="BA788" s="23"/>
      <c r="BB788" s="23"/>
      <c r="BC788" s="223"/>
      <c r="BD788" s="223"/>
      <c r="BE788" s="223"/>
      <c r="BF788" s="270">
        <v>2016</v>
      </c>
      <c r="BG788" s="270"/>
      <c r="BH788" s="448"/>
      <c r="BI788" s="682" t="s">
        <v>2376</v>
      </c>
    </row>
    <row r="789" spans="1:61" ht="15" customHeight="1">
      <c r="A789" s="160" t="s">
        <v>1</v>
      </c>
      <c r="B789" s="58" t="s">
        <v>320</v>
      </c>
      <c r="C789" s="63" t="s">
        <v>349</v>
      </c>
      <c r="D789" s="33" t="s">
        <v>319</v>
      </c>
      <c r="E789" s="33"/>
      <c r="F789" s="33"/>
      <c r="G789" s="33"/>
      <c r="H789" s="30"/>
      <c r="I789" s="30"/>
      <c r="J789" s="212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25"/>
      <c r="V789" s="23"/>
      <c r="W789" s="311"/>
      <c r="X789" s="311"/>
      <c r="Y789" s="311"/>
      <c r="Z789" s="94"/>
      <c r="AA789" s="23"/>
      <c r="AB789" s="23"/>
      <c r="AC789" s="23"/>
      <c r="AD789" s="23"/>
      <c r="AE789" s="158"/>
      <c r="AF789" s="158"/>
      <c r="AG789" s="158"/>
      <c r="AH789" s="158"/>
      <c r="AI789" s="158"/>
      <c r="AJ789" s="158"/>
      <c r="AK789" s="158"/>
      <c r="AL789" s="158"/>
      <c r="AM789" s="158"/>
      <c r="AN789" s="158"/>
      <c r="AO789" s="158"/>
      <c r="AP789" s="23"/>
      <c r="AQ789" s="23"/>
      <c r="AR789" s="23"/>
      <c r="AS789" s="23"/>
      <c r="AT789" s="2"/>
      <c r="AU789" s="58"/>
      <c r="AV789" s="112"/>
      <c r="AW789" s="23">
        <v>1</v>
      </c>
      <c r="AX789" s="23"/>
      <c r="AY789" s="23"/>
      <c r="AZ789" s="23"/>
      <c r="BA789" s="23"/>
      <c r="BB789" s="23"/>
      <c r="BC789" s="223"/>
      <c r="BD789" s="223"/>
      <c r="BE789" s="223"/>
      <c r="BF789" s="270">
        <v>2016</v>
      </c>
      <c r="BG789" s="270"/>
      <c r="BH789" s="448"/>
      <c r="BI789" s="682" t="s">
        <v>2376</v>
      </c>
    </row>
    <row r="790" spans="1:61" ht="15" customHeight="1">
      <c r="A790" s="160" t="s">
        <v>1</v>
      </c>
      <c r="B790" s="58" t="s">
        <v>320</v>
      </c>
      <c r="C790" s="63" t="s">
        <v>350</v>
      </c>
      <c r="D790" s="33" t="s">
        <v>319</v>
      </c>
      <c r="E790" s="33"/>
      <c r="F790" s="33"/>
      <c r="G790" s="33"/>
      <c r="H790" s="30"/>
      <c r="I790" s="30"/>
      <c r="J790" s="212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25"/>
      <c r="V790" s="23"/>
      <c r="W790" s="311"/>
      <c r="X790" s="311"/>
      <c r="Y790" s="311"/>
      <c r="Z790" s="94"/>
      <c r="AA790" s="23"/>
      <c r="AB790" s="23"/>
      <c r="AC790" s="23"/>
      <c r="AD790" s="23"/>
      <c r="AE790" s="158"/>
      <c r="AF790" s="158"/>
      <c r="AG790" s="158"/>
      <c r="AH790" s="158"/>
      <c r="AI790" s="158"/>
      <c r="AJ790" s="158"/>
      <c r="AK790" s="158"/>
      <c r="AL790" s="158"/>
      <c r="AM790" s="158"/>
      <c r="AN790" s="158"/>
      <c r="AO790" s="158"/>
      <c r="AP790" s="23"/>
      <c r="AQ790" s="23"/>
      <c r="AR790" s="23"/>
      <c r="AS790" s="23"/>
      <c r="AT790" s="2"/>
      <c r="AU790" s="58"/>
      <c r="AV790" s="112"/>
      <c r="AW790" s="23">
        <v>1</v>
      </c>
      <c r="AX790" s="23"/>
      <c r="AY790" s="23"/>
      <c r="AZ790" s="23"/>
      <c r="BA790" s="23"/>
      <c r="BB790" s="23"/>
      <c r="BC790" s="223"/>
      <c r="BD790" s="223"/>
      <c r="BE790" s="223"/>
      <c r="BF790" s="270">
        <v>2016</v>
      </c>
      <c r="BG790" s="270"/>
      <c r="BH790" s="448"/>
      <c r="BI790" s="682" t="s">
        <v>2376</v>
      </c>
    </row>
    <row r="791" spans="1:61" ht="15" customHeight="1">
      <c r="A791" s="160" t="s">
        <v>1</v>
      </c>
      <c r="B791" s="58" t="s">
        <v>320</v>
      </c>
      <c r="C791" s="63" t="s">
        <v>351</v>
      </c>
      <c r="D791" s="33" t="s">
        <v>319</v>
      </c>
      <c r="E791" s="33"/>
      <c r="F791" s="33"/>
      <c r="G791" s="33"/>
      <c r="H791" s="30"/>
      <c r="I791" s="30"/>
      <c r="J791" s="212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25"/>
      <c r="V791" s="23"/>
      <c r="W791" s="311"/>
      <c r="X791" s="311"/>
      <c r="Y791" s="311"/>
      <c r="Z791" s="94"/>
      <c r="AA791" s="23"/>
      <c r="AB791" s="23"/>
      <c r="AC791" s="23"/>
      <c r="AD791" s="23"/>
      <c r="AE791" s="158"/>
      <c r="AF791" s="158"/>
      <c r="AG791" s="158"/>
      <c r="AH791" s="158"/>
      <c r="AI791" s="158"/>
      <c r="AJ791" s="158"/>
      <c r="AK791" s="158"/>
      <c r="AL791" s="158"/>
      <c r="AM791" s="158"/>
      <c r="AN791" s="158"/>
      <c r="AO791" s="158"/>
      <c r="AP791" s="23"/>
      <c r="AQ791" s="23"/>
      <c r="AR791" s="23"/>
      <c r="AS791" s="23"/>
      <c r="AT791" s="2"/>
      <c r="AU791" s="58"/>
      <c r="AV791" s="112"/>
      <c r="AW791" s="23">
        <v>1</v>
      </c>
      <c r="AX791" s="23"/>
      <c r="AY791" s="23"/>
      <c r="AZ791" s="23"/>
      <c r="BA791" s="23"/>
      <c r="BB791" s="23"/>
      <c r="BC791" s="223"/>
      <c r="BD791" s="223"/>
      <c r="BE791" s="223"/>
      <c r="BF791" s="270">
        <v>2016</v>
      </c>
      <c r="BG791" s="270"/>
      <c r="BH791" s="448"/>
      <c r="BI791" s="682" t="s">
        <v>2376</v>
      </c>
    </row>
    <row r="792" spans="1:61" ht="15" customHeight="1">
      <c r="A792" s="160" t="s">
        <v>1</v>
      </c>
      <c r="B792" s="58" t="s">
        <v>320</v>
      </c>
      <c r="C792" s="63" t="s">
        <v>352</v>
      </c>
      <c r="D792" s="33" t="s">
        <v>319</v>
      </c>
      <c r="E792" s="33"/>
      <c r="F792" s="33"/>
      <c r="G792" s="33"/>
      <c r="H792" s="30"/>
      <c r="I792" s="30"/>
      <c r="J792" s="212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25"/>
      <c r="V792" s="23"/>
      <c r="W792" s="311"/>
      <c r="X792" s="311"/>
      <c r="Y792" s="311"/>
      <c r="Z792" s="94"/>
      <c r="AA792" s="23"/>
      <c r="AB792" s="23"/>
      <c r="AC792" s="23"/>
      <c r="AD792" s="23"/>
      <c r="AE792" s="158"/>
      <c r="AF792" s="158"/>
      <c r="AG792" s="158"/>
      <c r="AH792" s="158"/>
      <c r="AI792" s="158"/>
      <c r="AJ792" s="158"/>
      <c r="AK792" s="158"/>
      <c r="AL792" s="158"/>
      <c r="AM792" s="158"/>
      <c r="AN792" s="158"/>
      <c r="AO792" s="158"/>
      <c r="AP792" s="23"/>
      <c r="AQ792" s="23"/>
      <c r="AR792" s="23"/>
      <c r="AS792" s="23"/>
      <c r="AT792" s="2"/>
      <c r="AU792" s="58"/>
      <c r="AV792" s="112"/>
      <c r="AW792" s="23">
        <v>1</v>
      </c>
      <c r="AX792" s="23"/>
      <c r="AY792" s="23"/>
      <c r="AZ792" s="23"/>
      <c r="BA792" s="23"/>
      <c r="BB792" s="23"/>
      <c r="BC792" s="223"/>
      <c r="BD792" s="223"/>
      <c r="BE792" s="223"/>
      <c r="BF792" s="270">
        <v>2016</v>
      </c>
      <c r="BG792" s="270"/>
      <c r="BH792" s="448"/>
      <c r="BI792" s="682" t="s">
        <v>2376</v>
      </c>
    </row>
    <row r="793" spans="1:61" ht="15" customHeight="1">
      <c r="A793" s="160" t="s">
        <v>1</v>
      </c>
      <c r="B793" s="58" t="s">
        <v>320</v>
      </c>
      <c r="C793" s="63" t="s">
        <v>353</v>
      </c>
      <c r="D793" s="33" t="s">
        <v>319</v>
      </c>
      <c r="E793" s="33"/>
      <c r="F793" s="33"/>
      <c r="G793" s="33"/>
      <c r="H793" s="30"/>
      <c r="I793" s="30"/>
      <c r="J793" s="212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25"/>
      <c r="V793" s="23"/>
      <c r="W793" s="311"/>
      <c r="X793" s="311"/>
      <c r="Y793" s="311"/>
      <c r="Z793" s="94"/>
      <c r="AA793" s="23"/>
      <c r="AB793" s="23"/>
      <c r="AC793" s="23"/>
      <c r="AD793" s="23"/>
      <c r="AE793" s="158"/>
      <c r="AF793" s="158"/>
      <c r="AG793" s="158"/>
      <c r="AH793" s="158"/>
      <c r="AI793" s="158"/>
      <c r="AJ793" s="158"/>
      <c r="AK793" s="158"/>
      <c r="AL793" s="158"/>
      <c r="AM793" s="158"/>
      <c r="AN793" s="158"/>
      <c r="AO793" s="158"/>
      <c r="AP793" s="23"/>
      <c r="AQ793" s="23"/>
      <c r="AR793" s="23"/>
      <c r="AS793" s="23"/>
      <c r="AT793" s="2"/>
      <c r="AU793" s="58"/>
      <c r="AV793" s="112"/>
      <c r="AW793" s="23">
        <v>1</v>
      </c>
      <c r="AX793" s="23"/>
      <c r="AY793" s="23"/>
      <c r="AZ793" s="23"/>
      <c r="BA793" s="23"/>
      <c r="BB793" s="23"/>
      <c r="BC793" s="223"/>
      <c r="BD793" s="223"/>
      <c r="BE793" s="223"/>
      <c r="BF793" s="270">
        <v>2016</v>
      </c>
      <c r="BG793" s="270"/>
      <c r="BH793" s="448"/>
      <c r="BI793" s="682" t="s">
        <v>2376</v>
      </c>
    </row>
    <row r="794" spans="1:61" ht="15" customHeight="1">
      <c r="A794" s="160" t="s">
        <v>1</v>
      </c>
      <c r="B794" s="58" t="s">
        <v>320</v>
      </c>
      <c r="C794" s="63" t="s">
        <v>354</v>
      </c>
      <c r="D794" s="33" t="s">
        <v>319</v>
      </c>
      <c r="E794" s="33"/>
      <c r="F794" s="33"/>
      <c r="G794" s="33"/>
      <c r="H794" s="30"/>
      <c r="I794" s="30"/>
      <c r="J794" s="212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25"/>
      <c r="V794" s="23"/>
      <c r="W794" s="311"/>
      <c r="X794" s="311"/>
      <c r="Y794" s="311"/>
      <c r="Z794" s="94"/>
      <c r="AA794" s="23"/>
      <c r="AB794" s="23"/>
      <c r="AC794" s="23"/>
      <c r="AD794" s="23"/>
      <c r="AE794" s="158"/>
      <c r="AF794" s="158"/>
      <c r="AG794" s="158"/>
      <c r="AH794" s="158"/>
      <c r="AI794" s="158"/>
      <c r="AJ794" s="158"/>
      <c r="AK794" s="158"/>
      <c r="AL794" s="158"/>
      <c r="AM794" s="158"/>
      <c r="AN794" s="158"/>
      <c r="AO794" s="158"/>
      <c r="AP794" s="23"/>
      <c r="AQ794" s="23"/>
      <c r="AR794" s="23"/>
      <c r="AS794" s="23"/>
      <c r="AT794" s="2"/>
      <c r="AU794" s="58"/>
      <c r="AV794" s="112"/>
      <c r="AW794" s="23">
        <v>1</v>
      </c>
      <c r="AX794" s="23"/>
      <c r="AY794" s="23"/>
      <c r="AZ794" s="23"/>
      <c r="BA794" s="23"/>
      <c r="BB794" s="23"/>
      <c r="BC794" s="223"/>
      <c r="BD794" s="223"/>
      <c r="BE794" s="223"/>
      <c r="BF794" s="270">
        <v>2016</v>
      </c>
      <c r="BG794" s="270"/>
      <c r="BH794" s="448"/>
      <c r="BI794" s="682" t="s">
        <v>2376</v>
      </c>
    </row>
    <row r="795" spans="1:61" ht="15" customHeight="1">
      <c r="A795" s="160" t="s">
        <v>1</v>
      </c>
      <c r="B795" s="58" t="s">
        <v>320</v>
      </c>
      <c r="C795" s="63" t="s">
        <v>355</v>
      </c>
      <c r="D795" s="33" t="s">
        <v>319</v>
      </c>
      <c r="E795" s="33"/>
      <c r="F795" s="33"/>
      <c r="G795" s="33"/>
      <c r="H795" s="30"/>
      <c r="I795" s="30"/>
      <c r="J795" s="212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25"/>
      <c r="V795" s="23"/>
      <c r="W795" s="311"/>
      <c r="X795" s="311"/>
      <c r="Y795" s="311"/>
      <c r="Z795" s="94"/>
      <c r="AA795" s="23"/>
      <c r="AB795" s="23"/>
      <c r="AC795" s="23"/>
      <c r="AD795" s="23"/>
      <c r="AE795" s="158"/>
      <c r="AF795" s="158"/>
      <c r="AG795" s="158"/>
      <c r="AH795" s="158"/>
      <c r="AI795" s="158"/>
      <c r="AJ795" s="158"/>
      <c r="AK795" s="158"/>
      <c r="AL795" s="158"/>
      <c r="AM795" s="158"/>
      <c r="AN795" s="158"/>
      <c r="AO795" s="158"/>
      <c r="AP795" s="23"/>
      <c r="AQ795" s="23"/>
      <c r="AR795" s="23"/>
      <c r="AS795" s="23"/>
      <c r="AT795" s="2"/>
      <c r="AU795" s="58"/>
      <c r="AV795" s="112"/>
      <c r="AW795" s="23">
        <v>1</v>
      </c>
      <c r="AX795" s="23"/>
      <c r="AY795" s="23"/>
      <c r="AZ795" s="23"/>
      <c r="BA795" s="23"/>
      <c r="BB795" s="23"/>
      <c r="BC795" s="223"/>
      <c r="BD795" s="223"/>
      <c r="BE795" s="223"/>
      <c r="BF795" s="270">
        <v>2016</v>
      </c>
      <c r="BG795" s="270"/>
      <c r="BH795" s="448"/>
      <c r="BI795" s="682" t="s">
        <v>2376</v>
      </c>
    </row>
    <row r="796" spans="1:61" ht="15" customHeight="1">
      <c r="A796" s="160" t="s">
        <v>1</v>
      </c>
      <c r="B796" s="58" t="s">
        <v>320</v>
      </c>
      <c r="C796" s="63" t="s">
        <v>356</v>
      </c>
      <c r="D796" s="33" t="s">
        <v>319</v>
      </c>
      <c r="E796" s="33"/>
      <c r="F796" s="33"/>
      <c r="G796" s="33"/>
      <c r="H796" s="30"/>
      <c r="I796" s="30"/>
      <c r="J796" s="212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25"/>
      <c r="V796" s="23"/>
      <c r="W796" s="311"/>
      <c r="X796" s="311"/>
      <c r="Y796" s="311"/>
      <c r="Z796" s="94"/>
      <c r="AA796" s="23"/>
      <c r="AB796" s="23"/>
      <c r="AC796" s="23"/>
      <c r="AD796" s="23"/>
      <c r="AE796" s="158"/>
      <c r="AF796" s="158"/>
      <c r="AG796" s="158"/>
      <c r="AH796" s="158"/>
      <c r="AI796" s="158"/>
      <c r="AJ796" s="158"/>
      <c r="AK796" s="158"/>
      <c r="AL796" s="158"/>
      <c r="AM796" s="158"/>
      <c r="AN796" s="158"/>
      <c r="AO796" s="158"/>
      <c r="AP796" s="23"/>
      <c r="AQ796" s="23"/>
      <c r="AR796" s="23"/>
      <c r="AS796" s="23"/>
      <c r="AT796" s="2"/>
      <c r="AU796" s="58"/>
      <c r="AV796" s="112"/>
      <c r="AW796" s="23">
        <v>1</v>
      </c>
      <c r="AX796" s="23"/>
      <c r="AY796" s="23"/>
      <c r="AZ796" s="23"/>
      <c r="BA796" s="23"/>
      <c r="BB796" s="23"/>
      <c r="BC796" s="223"/>
      <c r="BD796" s="223"/>
      <c r="BE796" s="223"/>
      <c r="BF796" s="270">
        <v>2016</v>
      </c>
      <c r="BG796" s="270"/>
      <c r="BH796" s="448"/>
      <c r="BI796" s="682" t="s">
        <v>2376</v>
      </c>
    </row>
    <row r="797" spans="1:61" ht="15" customHeight="1">
      <c r="A797" s="160" t="s">
        <v>1</v>
      </c>
      <c r="B797" s="58" t="s">
        <v>320</v>
      </c>
      <c r="C797" s="63" t="s">
        <v>357</v>
      </c>
      <c r="D797" s="33" t="s">
        <v>319</v>
      </c>
      <c r="E797" s="33"/>
      <c r="F797" s="33"/>
      <c r="G797" s="33"/>
      <c r="H797" s="30"/>
      <c r="I797" s="30"/>
      <c r="J797" s="212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25"/>
      <c r="V797" s="23"/>
      <c r="W797" s="311"/>
      <c r="X797" s="311"/>
      <c r="Y797" s="311"/>
      <c r="Z797" s="94"/>
      <c r="AA797" s="23"/>
      <c r="AB797" s="23"/>
      <c r="AC797" s="23"/>
      <c r="AD797" s="23"/>
      <c r="AE797" s="158"/>
      <c r="AF797" s="158"/>
      <c r="AG797" s="158"/>
      <c r="AH797" s="158"/>
      <c r="AI797" s="158"/>
      <c r="AJ797" s="158"/>
      <c r="AK797" s="158"/>
      <c r="AL797" s="158"/>
      <c r="AM797" s="158"/>
      <c r="AN797" s="158"/>
      <c r="AO797" s="158"/>
      <c r="AP797" s="23"/>
      <c r="AQ797" s="23"/>
      <c r="AR797" s="23"/>
      <c r="AS797" s="23"/>
      <c r="AT797" s="2"/>
      <c r="AU797" s="58"/>
      <c r="AV797" s="112"/>
      <c r="AW797" s="23">
        <v>1</v>
      </c>
      <c r="AX797" s="23"/>
      <c r="AY797" s="23"/>
      <c r="AZ797" s="23"/>
      <c r="BA797" s="23"/>
      <c r="BB797" s="23"/>
      <c r="BC797" s="223"/>
      <c r="BD797" s="223"/>
      <c r="BE797" s="223"/>
      <c r="BF797" s="270">
        <v>2016</v>
      </c>
      <c r="BG797" s="270"/>
      <c r="BH797" s="448"/>
      <c r="BI797" s="682" t="s">
        <v>2376</v>
      </c>
    </row>
    <row r="798" spans="1:61" ht="15" customHeight="1">
      <c r="A798" s="160" t="s">
        <v>1</v>
      </c>
      <c r="B798" s="58" t="s">
        <v>320</v>
      </c>
      <c r="C798" s="63" t="s">
        <v>358</v>
      </c>
      <c r="D798" s="33" t="s">
        <v>319</v>
      </c>
      <c r="E798" s="33"/>
      <c r="F798" s="33"/>
      <c r="G798" s="33"/>
      <c r="H798" s="30"/>
      <c r="I798" s="30"/>
      <c r="J798" s="212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25"/>
      <c r="V798" s="23"/>
      <c r="W798" s="311"/>
      <c r="X798" s="311"/>
      <c r="Y798" s="311"/>
      <c r="Z798" s="94"/>
      <c r="AA798" s="23"/>
      <c r="AB798" s="23"/>
      <c r="AC798" s="23"/>
      <c r="AD798" s="23"/>
      <c r="AE798" s="158"/>
      <c r="AF798" s="158"/>
      <c r="AG798" s="158"/>
      <c r="AH798" s="158"/>
      <c r="AI798" s="158"/>
      <c r="AJ798" s="158"/>
      <c r="AK798" s="158"/>
      <c r="AL798" s="158"/>
      <c r="AM798" s="158"/>
      <c r="AN798" s="158"/>
      <c r="AO798" s="158"/>
      <c r="AP798" s="23"/>
      <c r="AQ798" s="23"/>
      <c r="AR798" s="23"/>
      <c r="AS798" s="23"/>
      <c r="AT798" s="2"/>
      <c r="AU798" s="58"/>
      <c r="AV798" s="112"/>
      <c r="AW798" s="23">
        <v>1</v>
      </c>
      <c r="AX798" s="23"/>
      <c r="AY798" s="23"/>
      <c r="AZ798" s="23"/>
      <c r="BA798" s="23"/>
      <c r="BB798" s="23"/>
      <c r="BC798" s="223"/>
      <c r="BD798" s="223"/>
      <c r="BE798" s="223"/>
      <c r="BF798" s="270">
        <v>2016</v>
      </c>
      <c r="BG798" s="270"/>
      <c r="BH798" s="448"/>
      <c r="BI798" s="682" t="s">
        <v>2376</v>
      </c>
    </row>
    <row r="799" spans="1:61" ht="15" customHeight="1">
      <c r="A799" s="160" t="s">
        <v>1</v>
      </c>
      <c r="B799" s="58" t="s">
        <v>320</v>
      </c>
      <c r="C799" s="63" t="s">
        <v>359</v>
      </c>
      <c r="D799" s="33" t="s">
        <v>319</v>
      </c>
      <c r="E799" s="33"/>
      <c r="F799" s="33"/>
      <c r="G799" s="33"/>
      <c r="H799" s="30"/>
      <c r="I799" s="30"/>
      <c r="J799" s="212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25"/>
      <c r="V799" s="23"/>
      <c r="W799" s="311"/>
      <c r="X799" s="311"/>
      <c r="Y799" s="311"/>
      <c r="Z799" s="94"/>
      <c r="AA799" s="23"/>
      <c r="AB799" s="23"/>
      <c r="AC799" s="23"/>
      <c r="AD799" s="23"/>
      <c r="AE799" s="158"/>
      <c r="AF799" s="158"/>
      <c r="AG799" s="158"/>
      <c r="AH799" s="158"/>
      <c r="AI799" s="158"/>
      <c r="AJ799" s="158"/>
      <c r="AK799" s="158"/>
      <c r="AL799" s="158"/>
      <c r="AM799" s="158"/>
      <c r="AN799" s="158"/>
      <c r="AO799" s="158"/>
      <c r="AP799" s="23"/>
      <c r="AQ799" s="23"/>
      <c r="AR799" s="23"/>
      <c r="AS799" s="23"/>
      <c r="AT799" s="2"/>
      <c r="AU799" s="58"/>
      <c r="AV799" s="112"/>
      <c r="AW799" s="23">
        <v>1</v>
      </c>
      <c r="AX799" s="23"/>
      <c r="AY799" s="23"/>
      <c r="AZ799" s="23"/>
      <c r="BA799" s="23"/>
      <c r="BB799" s="23"/>
      <c r="BC799" s="223"/>
      <c r="BD799" s="223"/>
      <c r="BE799" s="223"/>
      <c r="BF799" s="270">
        <v>2016</v>
      </c>
      <c r="BG799" s="270"/>
      <c r="BH799" s="448"/>
      <c r="BI799" s="682" t="s">
        <v>2376</v>
      </c>
    </row>
    <row r="800" spans="1:61" ht="15" customHeight="1">
      <c r="A800" s="160" t="s">
        <v>1</v>
      </c>
      <c r="B800" s="58" t="s">
        <v>320</v>
      </c>
      <c r="C800" s="63" t="s">
        <v>360</v>
      </c>
      <c r="D800" s="33" t="s">
        <v>319</v>
      </c>
      <c r="E800" s="33"/>
      <c r="F800" s="33"/>
      <c r="G800" s="33"/>
      <c r="H800" s="30"/>
      <c r="I800" s="30"/>
      <c r="J800" s="212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25"/>
      <c r="V800" s="23"/>
      <c r="W800" s="311"/>
      <c r="X800" s="311"/>
      <c r="Y800" s="311"/>
      <c r="Z800" s="94"/>
      <c r="AA800" s="23"/>
      <c r="AB800" s="23"/>
      <c r="AC800" s="23"/>
      <c r="AD800" s="23"/>
      <c r="AE800" s="158"/>
      <c r="AF800" s="158"/>
      <c r="AG800" s="158"/>
      <c r="AH800" s="158"/>
      <c r="AI800" s="158"/>
      <c r="AJ800" s="158"/>
      <c r="AK800" s="158"/>
      <c r="AL800" s="158"/>
      <c r="AM800" s="158"/>
      <c r="AN800" s="158"/>
      <c r="AO800" s="158"/>
      <c r="AP800" s="23"/>
      <c r="AQ800" s="23"/>
      <c r="AR800" s="23"/>
      <c r="AS800" s="23"/>
      <c r="AT800" s="2"/>
      <c r="AU800" s="58"/>
      <c r="AV800" s="112"/>
      <c r="AW800" s="23">
        <v>1</v>
      </c>
      <c r="AX800" s="23"/>
      <c r="AY800" s="23"/>
      <c r="AZ800" s="23"/>
      <c r="BA800" s="23"/>
      <c r="BB800" s="23"/>
      <c r="BC800" s="223"/>
      <c r="BD800" s="223"/>
      <c r="BE800" s="223"/>
      <c r="BF800" s="270">
        <v>2016</v>
      </c>
      <c r="BG800" s="270"/>
      <c r="BH800" s="448"/>
      <c r="BI800" s="682" t="s">
        <v>2376</v>
      </c>
    </row>
    <row r="801" spans="1:61" ht="15" customHeight="1">
      <c r="A801" s="160" t="s">
        <v>1</v>
      </c>
      <c r="B801" s="58" t="s">
        <v>320</v>
      </c>
      <c r="C801" s="63" t="s">
        <v>361</v>
      </c>
      <c r="D801" s="33" t="s">
        <v>319</v>
      </c>
      <c r="E801" s="33"/>
      <c r="F801" s="33"/>
      <c r="G801" s="33"/>
      <c r="H801" s="30"/>
      <c r="I801" s="30"/>
      <c r="J801" s="212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25"/>
      <c r="V801" s="23"/>
      <c r="W801" s="311"/>
      <c r="X801" s="311"/>
      <c r="Y801" s="311"/>
      <c r="Z801" s="94"/>
      <c r="AA801" s="23"/>
      <c r="AB801" s="23"/>
      <c r="AC801" s="23"/>
      <c r="AD801" s="23"/>
      <c r="AE801" s="158"/>
      <c r="AF801" s="158"/>
      <c r="AG801" s="158"/>
      <c r="AH801" s="158"/>
      <c r="AI801" s="158"/>
      <c r="AJ801" s="158"/>
      <c r="AK801" s="158"/>
      <c r="AL801" s="158"/>
      <c r="AM801" s="158"/>
      <c r="AN801" s="158"/>
      <c r="AO801" s="158"/>
      <c r="AP801" s="23"/>
      <c r="AQ801" s="23"/>
      <c r="AR801" s="23"/>
      <c r="AS801" s="23"/>
      <c r="AT801" s="2"/>
      <c r="AU801" s="58"/>
      <c r="AV801" s="112"/>
      <c r="AW801" s="23">
        <v>1</v>
      </c>
      <c r="AX801" s="23"/>
      <c r="AY801" s="23"/>
      <c r="AZ801" s="23"/>
      <c r="BA801" s="23"/>
      <c r="BB801" s="23"/>
      <c r="BC801" s="223"/>
      <c r="BD801" s="223"/>
      <c r="BE801" s="223"/>
      <c r="BF801" s="270">
        <v>2016</v>
      </c>
      <c r="BG801" s="270"/>
      <c r="BH801" s="448"/>
      <c r="BI801" s="682" t="s">
        <v>2376</v>
      </c>
    </row>
    <row r="802" spans="1:61" ht="15" customHeight="1">
      <c r="A802" s="160" t="s">
        <v>1</v>
      </c>
      <c r="B802" s="58" t="s">
        <v>320</v>
      </c>
      <c r="C802" s="63" t="s">
        <v>362</v>
      </c>
      <c r="D802" s="33" t="s">
        <v>319</v>
      </c>
      <c r="E802" s="33"/>
      <c r="F802" s="33"/>
      <c r="G802" s="33"/>
      <c r="H802" s="30"/>
      <c r="I802" s="30"/>
      <c r="J802" s="212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25"/>
      <c r="V802" s="23"/>
      <c r="W802" s="311"/>
      <c r="X802" s="311"/>
      <c r="Y802" s="311"/>
      <c r="Z802" s="94"/>
      <c r="AA802" s="23"/>
      <c r="AB802" s="23"/>
      <c r="AC802" s="23"/>
      <c r="AD802" s="23"/>
      <c r="AE802" s="158"/>
      <c r="AF802" s="158"/>
      <c r="AG802" s="158"/>
      <c r="AH802" s="158"/>
      <c r="AI802" s="158"/>
      <c r="AJ802" s="158"/>
      <c r="AK802" s="158"/>
      <c r="AL802" s="158"/>
      <c r="AM802" s="158"/>
      <c r="AN802" s="158"/>
      <c r="AO802" s="158"/>
      <c r="AP802" s="23"/>
      <c r="AQ802" s="23"/>
      <c r="AR802" s="23"/>
      <c r="AS802" s="23"/>
      <c r="AT802" s="2"/>
      <c r="AU802" s="58"/>
      <c r="AV802" s="112"/>
      <c r="AW802" s="23">
        <v>1</v>
      </c>
      <c r="AX802" s="23"/>
      <c r="AY802" s="23"/>
      <c r="AZ802" s="23"/>
      <c r="BA802" s="23"/>
      <c r="BB802" s="23"/>
      <c r="BC802" s="223"/>
      <c r="BD802" s="223"/>
      <c r="BE802" s="223"/>
      <c r="BF802" s="270">
        <v>2016</v>
      </c>
      <c r="BG802" s="270"/>
      <c r="BH802" s="448"/>
      <c r="BI802" s="682" t="s">
        <v>2376</v>
      </c>
    </row>
    <row r="803" spans="1:61" ht="15" customHeight="1">
      <c r="A803" s="160" t="s">
        <v>1</v>
      </c>
      <c r="B803" s="58" t="s">
        <v>320</v>
      </c>
      <c r="C803" s="63" t="s">
        <v>363</v>
      </c>
      <c r="D803" s="33" t="s">
        <v>319</v>
      </c>
      <c r="E803" s="33"/>
      <c r="F803" s="33"/>
      <c r="G803" s="33"/>
      <c r="H803" s="30"/>
      <c r="I803" s="30"/>
      <c r="J803" s="212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25"/>
      <c r="V803" s="23"/>
      <c r="W803" s="311"/>
      <c r="X803" s="311"/>
      <c r="Y803" s="311"/>
      <c r="Z803" s="94"/>
      <c r="AA803" s="23"/>
      <c r="AB803" s="23"/>
      <c r="AC803" s="23"/>
      <c r="AD803" s="23"/>
      <c r="AE803" s="158"/>
      <c r="AF803" s="158"/>
      <c r="AG803" s="158"/>
      <c r="AH803" s="158"/>
      <c r="AI803" s="158"/>
      <c r="AJ803" s="158"/>
      <c r="AK803" s="158"/>
      <c r="AL803" s="158"/>
      <c r="AM803" s="158"/>
      <c r="AN803" s="158"/>
      <c r="AO803" s="158"/>
      <c r="AP803" s="23"/>
      <c r="AQ803" s="23"/>
      <c r="AR803" s="23"/>
      <c r="AS803" s="23"/>
      <c r="AT803" s="2"/>
      <c r="AU803" s="58"/>
      <c r="AV803" s="112"/>
      <c r="AW803" s="23">
        <v>1</v>
      </c>
      <c r="AX803" s="23"/>
      <c r="AY803" s="23"/>
      <c r="AZ803" s="23"/>
      <c r="BA803" s="23"/>
      <c r="BB803" s="23"/>
      <c r="BC803" s="223"/>
      <c r="BD803" s="223"/>
      <c r="BE803" s="223"/>
      <c r="BF803" s="270">
        <v>2016</v>
      </c>
      <c r="BG803" s="270"/>
      <c r="BH803" s="448"/>
      <c r="BI803" s="682" t="s">
        <v>2376</v>
      </c>
    </row>
    <row r="804" spans="1:61" ht="15" customHeight="1">
      <c r="A804" s="160" t="s">
        <v>1</v>
      </c>
      <c r="B804" s="58" t="s">
        <v>320</v>
      </c>
      <c r="C804" s="63" t="s">
        <v>364</v>
      </c>
      <c r="D804" s="33" t="s">
        <v>319</v>
      </c>
      <c r="E804" s="33"/>
      <c r="F804" s="33"/>
      <c r="G804" s="33"/>
      <c r="H804" s="30"/>
      <c r="I804" s="30"/>
      <c r="J804" s="212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25"/>
      <c r="V804" s="23"/>
      <c r="W804" s="311"/>
      <c r="X804" s="311"/>
      <c r="Y804" s="311"/>
      <c r="Z804" s="94"/>
      <c r="AA804" s="23"/>
      <c r="AB804" s="23"/>
      <c r="AC804" s="23"/>
      <c r="AD804" s="23"/>
      <c r="AE804" s="158"/>
      <c r="AF804" s="158"/>
      <c r="AG804" s="158"/>
      <c r="AH804" s="158"/>
      <c r="AI804" s="158"/>
      <c r="AJ804" s="158"/>
      <c r="AK804" s="158"/>
      <c r="AL804" s="158"/>
      <c r="AM804" s="158"/>
      <c r="AN804" s="158"/>
      <c r="AO804" s="158"/>
      <c r="AP804" s="23"/>
      <c r="AQ804" s="23"/>
      <c r="AR804" s="23"/>
      <c r="AS804" s="23"/>
      <c r="AT804" s="2"/>
      <c r="AU804" s="58"/>
      <c r="AV804" s="112"/>
      <c r="AW804" s="23">
        <v>1</v>
      </c>
      <c r="AX804" s="23"/>
      <c r="AY804" s="23"/>
      <c r="AZ804" s="23"/>
      <c r="BA804" s="23"/>
      <c r="BB804" s="23"/>
      <c r="BC804" s="223"/>
      <c r="BD804" s="223"/>
      <c r="BE804" s="223"/>
      <c r="BF804" s="270">
        <v>2016</v>
      </c>
      <c r="BG804" s="270"/>
      <c r="BH804" s="448"/>
      <c r="BI804" s="682" t="s">
        <v>2376</v>
      </c>
    </row>
    <row r="805" spans="1:61" ht="15" customHeight="1">
      <c r="A805" s="160" t="s">
        <v>1</v>
      </c>
      <c r="B805" s="58" t="s">
        <v>320</v>
      </c>
      <c r="C805" s="63" t="s">
        <v>365</v>
      </c>
      <c r="D805" s="33" t="s">
        <v>319</v>
      </c>
      <c r="E805" s="33"/>
      <c r="F805" s="33"/>
      <c r="G805" s="33"/>
      <c r="H805" s="30"/>
      <c r="I805" s="30"/>
      <c r="J805" s="212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25"/>
      <c r="V805" s="23"/>
      <c r="W805" s="311"/>
      <c r="X805" s="311"/>
      <c r="Y805" s="311"/>
      <c r="Z805" s="94"/>
      <c r="AA805" s="23"/>
      <c r="AB805" s="23"/>
      <c r="AC805" s="23"/>
      <c r="AD805" s="23"/>
      <c r="AE805" s="158"/>
      <c r="AF805" s="158"/>
      <c r="AG805" s="158"/>
      <c r="AH805" s="158"/>
      <c r="AI805" s="158"/>
      <c r="AJ805" s="158"/>
      <c r="AK805" s="158"/>
      <c r="AL805" s="158"/>
      <c r="AM805" s="158"/>
      <c r="AN805" s="158"/>
      <c r="AO805" s="158"/>
      <c r="AP805" s="23"/>
      <c r="AQ805" s="23"/>
      <c r="AR805" s="23"/>
      <c r="AS805" s="23"/>
      <c r="AT805" s="2"/>
      <c r="AU805" s="58"/>
      <c r="AV805" s="112"/>
      <c r="AW805" s="23">
        <v>1</v>
      </c>
      <c r="AX805" s="23"/>
      <c r="AY805" s="23"/>
      <c r="AZ805" s="23"/>
      <c r="BA805" s="23"/>
      <c r="BB805" s="23"/>
      <c r="BC805" s="223"/>
      <c r="BD805" s="223"/>
      <c r="BE805" s="223"/>
      <c r="BF805" s="270">
        <v>2016</v>
      </c>
      <c r="BG805" s="270"/>
      <c r="BH805" s="448"/>
      <c r="BI805" s="682" t="s">
        <v>2376</v>
      </c>
    </row>
    <row r="806" spans="1:61" ht="15" customHeight="1">
      <c r="A806" s="160" t="s">
        <v>1</v>
      </c>
      <c r="B806" s="58" t="s">
        <v>320</v>
      </c>
      <c r="C806" s="63" t="s">
        <v>366</v>
      </c>
      <c r="D806" s="33" t="s">
        <v>319</v>
      </c>
      <c r="E806" s="33"/>
      <c r="F806" s="33"/>
      <c r="G806" s="33"/>
      <c r="H806" s="30"/>
      <c r="I806" s="30"/>
      <c r="J806" s="212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25"/>
      <c r="V806" s="23"/>
      <c r="W806" s="311"/>
      <c r="X806" s="311"/>
      <c r="Y806" s="311"/>
      <c r="Z806" s="94"/>
      <c r="AA806" s="23"/>
      <c r="AB806" s="23"/>
      <c r="AC806" s="23"/>
      <c r="AD806" s="23"/>
      <c r="AE806" s="158"/>
      <c r="AF806" s="158"/>
      <c r="AG806" s="158"/>
      <c r="AH806" s="158"/>
      <c r="AI806" s="158"/>
      <c r="AJ806" s="158"/>
      <c r="AK806" s="158"/>
      <c r="AL806" s="158"/>
      <c r="AM806" s="158"/>
      <c r="AN806" s="158"/>
      <c r="AO806" s="158"/>
      <c r="AP806" s="23"/>
      <c r="AQ806" s="23"/>
      <c r="AR806" s="23"/>
      <c r="AS806" s="23"/>
      <c r="AT806" s="2"/>
      <c r="AU806" s="58"/>
      <c r="AV806" s="112"/>
      <c r="AW806" s="23">
        <v>1</v>
      </c>
      <c r="AX806" s="23"/>
      <c r="AY806" s="23"/>
      <c r="AZ806" s="23"/>
      <c r="BA806" s="23"/>
      <c r="BB806" s="23"/>
      <c r="BC806" s="223"/>
      <c r="BD806" s="223"/>
      <c r="BE806" s="223"/>
      <c r="BF806" s="270">
        <v>2016</v>
      </c>
      <c r="BG806" s="270"/>
      <c r="BH806" s="448"/>
      <c r="BI806" s="682" t="s">
        <v>2376</v>
      </c>
    </row>
    <row r="807" spans="1:61" ht="15" customHeight="1">
      <c r="A807" s="160" t="s">
        <v>1</v>
      </c>
      <c r="B807" s="58" t="s">
        <v>320</v>
      </c>
      <c r="C807" s="63" t="s">
        <v>367</v>
      </c>
      <c r="D807" s="33" t="s">
        <v>319</v>
      </c>
      <c r="E807" s="33"/>
      <c r="F807" s="33"/>
      <c r="G807" s="33"/>
      <c r="H807" s="30"/>
      <c r="I807" s="30"/>
      <c r="J807" s="212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25"/>
      <c r="V807" s="23"/>
      <c r="W807" s="311"/>
      <c r="X807" s="311"/>
      <c r="Y807" s="311"/>
      <c r="Z807" s="94"/>
      <c r="AA807" s="23"/>
      <c r="AB807" s="23"/>
      <c r="AC807" s="23"/>
      <c r="AD807" s="23"/>
      <c r="AE807" s="158"/>
      <c r="AF807" s="158"/>
      <c r="AG807" s="158"/>
      <c r="AH807" s="158"/>
      <c r="AI807" s="158"/>
      <c r="AJ807" s="158"/>
      <c r="AK807" s="158"/>
      <c r="AL807" s="158"/>
      <c r="AM807" s="158"/>
      <c r="AN807" s="158"/>
      <c r="AO807" s="158"/>
      <c r="AP807" s="23"/>
      <c r="AQ807" s="23"/>
      <c r="AR807" s="23"/>
      <c r="AS807" s="23"/>
      <c r="AT807" s="2"/>
      <c r="AU807" s="58"/>
      <c r="AV807" s="112"/>
      <c r="AW807" s="23">
        <v>1</v>
      </c>
      <c r="AX807" s="23"/>
      <c r="AY807" s="23"/>
      <c r="AZ807" s="23"/>
      <c r="BA807" s="23"/>
      <c r="BB807" s="23"/>
      <c r="BC807" s="223"/>
      <c r="BD807" s="223"/>
      <c r="BE807" s="223"/>
      <c r="BF807" s="270">
        <v>2016</v>
      </c>
      <c r="BG807" s="270"/>
      <c r="BH807" s="448"/>
      <c r="BI807" s="682" t="s">
        <v>2376</v>
      </c>
    </row>
    <row r="808" spans="1:61" ht="15" customHeight="1">
      <c r="A808" s="160" t="s">
        <v>1</v>
      </c>
      <c r="B808" s="58" t="s">
        <v>320</v>
      </c>
      <c r="C808" s="63" t="s">
        <v>368</v>
      </c>
      <c r="D808" s="33" t="s">
        <v>319</v>
      </c>
      <c r="E808" s="33"/>
      <c r="F808" s="33"/>
      <c r="G808" s="33"/>
      <c r="H808" s="30"/>
      <c r="I808" s="30"/>
      <c r="J808" s="212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25"/>
      <c r="V808" s="23"/>
      <c r="W808" s="311"/>
      <c r="X808" s="311"/>
      <c r="Y808" s="311"/>
      <c r="Z808" s="94"/>
      <c r="AA808" s="23"/>
      <c r="AB808" s="23"/>
      <c r="AC808" s="23"/>
      <c r="AD808" s="23"/>
      <c r="AE808" s="158"/>
      <c r="AF808" s="158"/>
      <c r="AG808" s="158"/>
      <c r="AH808" s="158"/>
      <c r="AI808" s="158"/>
      <c r="AJ808" s="158"/>
      <c r="AK808" s="158"/>
      <c r="AL808" s="158"/>
      <c r="AM808" s="158"/>
      <c r="AN808" s="158"/>
      <c r="AO808" s="158"/>
      <c r="AP808" s="23"/>
      <c r="AQ808" s="23"/>
      <c r="AR808" s="23"/>
      <c r="AS808" s="23"/>
      <c r="AT808" s="2"/>
      <c r="AU808" s="58"/>
      <c r="AV808" s="112"/>
      <c r="AW808" s="23">
        <v>1</v>
      </c>
      <c r="AX808" s="23"/>
      <c r="AY808" s="23"/>
      <c r="AZ808" s="23"/>
      <c r="BA808" s="23"/>
      <c r="BB808" s="23"/>
      <c r="BC808" s="223"/>
      <c r="BD808" s="223"/>
      <c r="BE808" s="223"/>
      <c r="BF808" s="270">
        <v>2016</v>
      </c>
      <c r="BG808" s="270"/>
      <c r="BH808" s="448"/>
      <c r="BI808" s="682" t="s">
        <v>2376</v>
      </c>
    </row>
    <row r="809" spans="1:61" ht="15" customHeight="1">
      <c r="A809" s="160" t="s">
        <v>1</v>
      </c>
      <c r="B809" s="58" t="s">
        <v>320</v>
      </c>
      <c r="C809" s="63" t="s">
        <v>369</v>
      </c>
      <c r="D809" s="33" t="s">
        <v>319</v>
      </c>
      <c r="E809" s="33"/>
      <c r="F809" s="33"/>
      <c r="G809" s="33"/>
      <c r="H809" s="30"/>
      <c r="I809" s="30"/>
      <c r="J809" s="212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25"/>
      <c r="V809" s="23"/>
      <c r="W809" s="311"/>
      <c r="X809" s="311"/>
      <c r="Y809" s="311"/>
      <c r="Z809" s="94"/>
      <c r="AA809" s="23"/>
      <c r="AB809" s="23"/>
      <c r="AC809" s="23"/>
      <c r="AD809" s="23"/>
      <c r="AE809" s="158"/>
      <c r="AF809" s="158"/>
      <c r="AG809" s="158"/>
      <c r="AH809" s="158"/>
      <c r="AI809" s="158"/>
      <c r="AJ809" s="158"/>
      <c r="AK809" s="158"/>
      <c r="AL809" s="158"/>
      <c r="AM809" s="158"/>
      <c r="AN809" s="158"/>
      <c r="AO809" s="158"/>
      <c r="AP809" s="23"/>
      <c r="AQ809" s="23"/>
      <c r="AR809" s="23"/>
      <c r="AS809" s="23"/>
      <c r="AT809" s="2"/>
      <c r="AU809" s="58"/>
      <c r="AV809" s="112"/>
      <c r="AW809" s="23">
        <v>1</v>
      </c>
      <c r="AX809" s="23"/>
      <c r="AY809" s="23"/>
      <c r="AZ809" s="23"/>
      <c r="BA809" s="23"/>
      <c r="BB809" s="23"/>
      <c r="BC809" s="223"/>
      <c r="BD809" s="223"/>
      <c r="BE809" s="223"/>
      <c r="BF809" s="270">
        <v>2016</v>
      </c>
      <c r="BG809" s="270"/>
      <c r="BH809" s="448"/>
      <c r="BI809" s="682" t="s">
        <v>2376</v>
      </c>
    </row>
    <row r="810" spans="1:61" ht="15" customHeight="1">
      <c r="A810" s="160" t="s">
        <v>1</v>
      </c>
      <c r="B810" s="58" t="s">
        <v>320</v>
      </c>
      <c r="C810" s="63" t="s">
        <v>370</v>
      </c>
      <c r="D810" s="33" t="s">
        <v>319</v>
      </c>
      <c r="E810" s="33"/>
      <c r="F810" s="33"/>
      <c r="G810" s="33"/>
      <c r="H810" s="30"/>
      <c r="I810" s="30"/>
      <c r="J810" s="212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25"/>
      <c r="V810" s="23"/>
      <c r="W810" s="311"/>
      <c r="X810" s="311"/>
      <c r="Y810" s="311"/>
      <c r="Z810" s="94"/>
      <c r="AA810" s="23"/>
      <c r="AB810" s="23"/>
      <c r="AC810" s="23"/>
      <c r="AD810" s="23"/>
      <c r="AE810" s="158"/>
      <c r="AF810" s="158"/>
      <c r="AG810" s="158"/>
      <c r="AH810" s="158"/>
      <c r="AI810" s="158"/>
      <c r="AJ810" s="158"/>
      <c r="AK810" s="158"/>
      <c r="AL810" s="158"/>
      <c r="AM810" s="158"/>
      <c r="AN810" s="158"/>
      <c r="AO810" s="158"/>
      <c r="AP810" s="23"/>
      <c r="AQ810" s="23"/>
      <c r="AR810" s="23"/>
      <c r="AS810" s="23"/>
      <c r="AT810" s="2"/>
      <c r="AU810" s="58"/>
      <c r="AV810" s="112"/>
      <c r="AW810" s="23">
        <v>1</v>
      </c>
      <c r="AX810" s="23"/>
      <c r="AY810" s="23"/>
      <c r="AZ810" s="23"/>
      <c r="BA810" s="23"/>
      <c r="BB810" s="23"/>
      <c r="BC810" s="223"/>
      <c r="BD810" s="223"/>
      <c r="BE810" s="223"/>
      <c r="BF810" s="270">
        <v>2016</v>
      </c>
      <c r="BG810" s="270"/>
      <c r="BH810" s="448"/>
      <c r="BI810" s="682" t="s">
        <v>2376</v>
      </c>
    </row>
    <row r="811" spans="1:61" ht="15" customHeight="1">
      <c r="A811" s="160" t="s">
        <v>1</v>
      </c>
      <c r="B811" s="58" t="s">
        <v>320</v>
      </c>
      <c r="C811" s="63" t="s">
        <v>371</v>
      </c>
      <c r="D811" s="33" t="s">
        <v>319</v>
      </c>
      <c r="E811" s="33"/>
      <c r="F811" s="33"/>
      <c r="G811" s="33"/>
      <c r="H811" s="30"/>
      <c r="I811" s="30"/>
      <c r="J811" s="212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25"/>
      <c r="V811" s="23"/>
      <c r="W811" s="311"/>
      <c r="X811" s="311"/>
      <c r="Y811" s="311"/>
      <c r="Z811" s="94"/>
      <c r="AA811" s="23"/>
      <c r="AB811" s="23"/>
      <c r="AC811" s="23"/>
      <c r="AD811" s="23"/>
      <c r="AE811" s="158"/>
      <c r="AF811" s="158"/>
      <c r="AG811" s="158"/>
      <c r="AH811" s="158"/>
      <c r="AI811" s="158"/>
      <c r="AJ811" s="158"/>
      <c r="AK811" s="158"/>
      <c r="AL811" s="158"/>
      <c r="AM811" s="158"/>
      <c r="AN811" s="158"/>
      <c r="AO811" s="158"/>
      <c r="AP811" s="23"/>
      <c r="AQ811" s="23"/>
      <c r="AR811" s="23"/>
      <c r="AS811" s="23"/>
      <c r="AT811" s="2"/>
      <c r="AU811" s="58"/>
      <c r="AV811" s="112"/>
      <c r="AW811" s="23">
        <v>1</v>
      </c>
      <c r="AX811" s="23"/>
      <c r="AY811" s="23"/>
      <c r="AZ811" s="23"/>
      <c r="BA811" s="23"/>
      <c r="BB811" s="23"/>
      <c r="BC811" s="223"/>
      <c r="BD811" s="223"/>
      <c r="BE811" s="223"/>
      <c r="BF811" s="270">
        <v>2016</v>
      </c>
      <c r="BG811" s="270"/>
      <c r="BH811" s="448"/>
      <c r="BI811" s="682" t="s">
        <v>2376</v>
      </c>
    </row>
    <row r="812" spans="1:61" ht="15" customHeight="1">
      <c r="A812" s="160" t="s">
        <v>1</v>
      </c>
      <c r="B812" s="58" t="s">
        <v>320</v>
      </c>
      <c r="C812" s="63" t="s">
        <v>372</v>
      </c>
      <c r="D812" s="33" t="s">
        <v>319</v>
      </c>
      <c r="E812" s="33"/>
      <c r="F812" s="33"/>
      <c r="G812" s="33"/>
      <c r="H812" s="30"/>
      <c r="I812" s="30"/>
      <c r="J812" s="212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25"/>
      <c r="V812" s="23"/>
      <c r="W812" s="311"/>
      <c r="X812" s="311"/>
      <c r="Y812" s="311"/>
      <c r="Z812" s="94"/>
      <c r="AA812" s="23"/>
      <c r="AB812" s="23"/>
      <c r="AC812" s="23"/>
      <c r="AD812" s="23"/>
      <c r="AE812" s="158"/>
      <c r="AF812" s="158"/>
      <c r="AG812" s="158"/>
      <c r="AH812" s="158"/>
      <c r="AI812" s="158"/>
      <c r="AJ812" s="158"/>
      <c r="AK812" s="158"/>
      <c r="AL812" s="158"/>
      <c r="AM812" s="158"/>
      <c r="AN812" s="158"/>
      <c r="AO812" s="158"/>
      <c r="AP812" s="23"/>
      <c r="AQ812" s="23"/>
      <c r="AR812" s="23"/>
      <c r="AS812" s="23"/>
      <c r="AT812" s="2"/>
      <c r="AU812" s="58"/>
      <c r="AV812" s="112"/>
      <c r="AW812" s="23">
        <v>1</v>
      </c>
      <c r="AX812" s="23"/>
      <c r="AY812" s="23"/>
      <c r="AZ812" s="23"/>
      <c r="BA812" s="23"/>
      <c r="BB812" s="23"/>
      <c r="BC812" s="223"/>
      <c r="BD812" s="223"/>
      <c r="BE812" s="223"/>
      <c r="BF812" s="270">
        <v>2016</v>
      </c>
      <c r="BG812" s="270"/>
      <c r="BH812" s="448"/>
      <c r="BI812" s="682" t="s">
        <v>2376</v>
      </c>
    </row>
    <row r="813" spans="1:61" ht="15" customHeight="1">
      <c r="A813" s="160" t="s">
        <v>1</v>
      </c>
      <c r="B813" s="58" t="s">
        <v>320</v>
      </c>
      <c r="C813" s="63" t="s">
        <v>373</v>
      </c>
      <c r="D813" s="33" t="s">
        <v>319</v>
      </c>
      <c r="E813" s="33"/>
      <c r="F813" s="33"/>
      <c r="G813" s="33"/>
      <c r="H813" s="30"/>
      <c r="I813" s="30"/>
      <c r="J813" s="212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25"/>
      <c r="V813" s="23"/>
      <c r="W813" s="311"/>
      <c r="X813" s="311"/>
      <c r="Y813" s="311"/>
      <c r="Z813" s="94"/>
      <c r="AA813" s="23"/>
      <c r="AB813" s="23"/>
      <c r="AC813" s="23"/>
      <c r="AD813" s="23"/>
      <c r="AE813" s="158"/>
      <c r="AF813" s="158"/>
      <c r="AG813" s="158"/>
      <c r="AH813" s="158"/>
      <c r="AI813" s="158"/>
      <c r="AJ813" s="158"/>
      <c r="AK813" s="158"/>
      <c r="AL813" s="158"/>
      <c r="AM813" s="158"/>
      <c r="AN813" s="158"/>
      <c r="AO813" s="158"/>
      <c r="AP813" s="23"/>
      <c r="AQ813" s="23"/>
      <c r="AR813" s="23"/>
      <c r="AS813" s="23"/>
      <c r="AT813" s="2"/>
      <c r="AU813" s="58"/>
      <c r="AV813" s="112"/>
      <c r="AW813" s="23">
        <v>1</v>
      </c>
      <c r="AX813" s="23"/>
      <c r="AY813" s="23"/>
      <c r="AZ813" s="23"/>
      <c r="BA813" s="23"/>
      <c r="BB813" s="23"/>
      <c r="BC813" s="223"/>
      <c r="BD813" s="223"/>
      <c r="BE813" s="223"/>
      <c r="BF813" s="270">
        <v>2016</v>
      </c>
      <c r="BG813" s="270"/>
      <c r="BH813" s="448"/>
      <c r="BI813" s="682" t="s">
        <v>2376</v>
      </c>
    </row>
    <row r="814" spans="1:61" ht="15" customHeight="1">
      <c r="A814" s="160" t="s">
        <v>1</v>
      </c>
      <c r="B814" s="58" t="s">
        <v>320</v>
      </c>
      <c r="C814" s="63" t="s">
        <v>374</v>
      </c>
      <c r="D814" s="33" t="s">
        <v>319</v>
      </c>
      <c r="E814" s="33"/>
      <c r="F814" s="33"/>
      <c r="G814" s="33"/>
      <c r="H814" s="30"/>
      <c r="I814" s="30"/>
      <c r="J814" s="212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25"/>
      <c r="V814" s="23"/>
      <c r="W814" s="311"/>
      <c r="X814" s="311"/>
      <c r="Y814" s="311"/>
      <c r="Z814" s="94"/>
      <c r="AA814" s="23"/>
      <c r="AB814" s="23"/>
      <c r="AC814" s="23"/>
      <c r="AD814" s="23"/>
      <c r="AE814" s="158"/>
      <c r="AF814" s="158"/>
      <c r="AG814" s="158"/>
      <c r="AH814" s="158"/>
      <c r="AI814" s="158"/>
      <c r="AJ814" s="158"/>
      <c r="AK814" s="158"/>
      <c r="AL814" s="158"/>
      <c r="AM814" s="158"/>
      <c r="AN814" s="158"/>
      <c r="AO814" s="158"/>
      <c r="AP814" s="23"/>
      <c r="AQ814" s="23"/>
      <c r="AR814" s="23"/>
      <c r="AS814" s="23"/>
      <c r="AT814" s="2"/>
      <c r="AU814" s="58"/>
      <c r="AV814" s="112"/>
      <c r="AW814" s="23">
        <v>1</v>
      </c>
      <c r="AX814" s="23"/>
      <c r="AY814" s="23"/>
      <c r="AZ814" s="23"/>
      <c r="BA814" s="23"/>
      <c r="BB814" s="23"/>
      <c r="BC814" s="223"/>
      <c r="BD814" s="223"/>
      <c r="BE814" s="223"/>
      <c r="BF814" s="270">
        <v>2016</v>
      </c>
      <c r="BG814" s="270"/>
      <c r="BH814" s="449"/>
      <c r="BI814" s="682" t="s">
        <v>2376</v>
      </c>
    </row>
    <row r="815" spans="1:61" ht="15" customHeight="1">
      <c r="A815" s="160" t="s">
        <v>1</v>
      </c>
      <c r="B815" s="58" t="s">
        <v>320</v>
      </c>
      <c r="C815" s="63" t="s">
        <v>375</v>
      </c>
      <c r="D815" s="33" t="s">
        <v>319</v>
      </c>
      <c r="E815" s="33"/>
      <c r="F815" s="33"/>
      <c r="G815" s="33"/>
      <c r="H815" s="30"/>
      <c r="I815" s="30"/>
      <c r="J815" s="212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25"/>
      <c r="V815" s="23"/>
      <c r="W815" s="311"/>
      <c r="X815" s="311"/>
      <c r="Y815" s="311"/>
      <c r="Z815" s="94"/>
      <c r="AA815" s="23"/>
      <c r="AB815" s="23"/>
      <c r="AC815" s="23"/>
      <c r="AD815" s="23"/>
      <c r="AE815" s="158"/>
      <c r="AF815" s="158"/>
      <c r="AG815" s="158"/>
      <c r="AH815" s="158"/>
      <c r="AI815" s="158"/>
      <c r="AJ815" s="158"/>
      <c r="AK815" s="158"/>
      <c r="AL815" s="158"/>
      <c r="AM815" s="158"/>
      <c r="AN815" s="158"/>
      <c r="AO815" s="158"/>
      <c r="AP815" s="23"/>
      <c r="AQ815" s="23"/>
      <c r="AR815" s="23"/>
      <c r="AS815" s="23"/>
      <c r="AT815" s="2"/>
      <c r="AU815" s="58"/>
      <c r="AV815" s="112"/>
      <c r="AW815" s="23">
        <v>1</v>
      </c>
      <c r="AX815" s="23"/>
      <c r="AY815" s="23"/>
      <c r="AZ815" s="23"/>
      <c r="BA815" s="23"/>
      <c r="BB815" s="23"/>
      <c r="BC815" s="223"/>
      <c r="BD815" s="223"/>
      <c r="BE815" s="223"/>
      <c r="BF815" s="270">
        <v>2016</v>
      </c>
      <c r="BG815" s="270"/>
      <c r="BH815" s="449"/>
      <c r="BI815" s="682" t="s">
        <v>2376</v>
      </c>
    </row>
    <row r="816" spans="1:61" ht="15" customHeight="1">
      <c r="A816" s="160" t="s">
        <v>1</v>
      </c>
      <c r="B816" s="58" t="s">
        <v>320</v>
      </c>
      <c r="C816" s="64" t="s">
        <v>376</v>
      </c>
      <c r="D816" s="33" t="s">
        <v>387</v>
      </c>
      <c r="E816" s="33"/>
      <c r="F816" s="33"/>
      <c r="G816" s="33"/>
      <c r="H816" s="30"/>
      <c r="I816" s="30"/>
      <c r="J816" s="212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25"/>
      <c r="V816" s="23"/>
      <c r="W816" s="311"/>
      <c r="X816" s="311"/>
      <c r="Y816" s="311"/>
      <c r="Z816" s="94"/>
      <c r="AA816" s="23"/>
      <c r="AB816" s="23"/>
      <c r="AC816" s="23"/>
      <c r="AD816" s="23"/>
      <c r="AE816" s="158"/>
      <c r="AF816" s="158"/>
      <c r="AG816" s="158"/>
      <c r="AH816" s="158"/>
      <c r="AI816" s="158"/>
      <c r="AJ816" s="158"/>
      <c r="AK816" s="158"/>
      <c r="AL816" s="158"/>
      <c r="AM816" s="158"/>
      <c r="AN816" s="158"/>
      <c r="AO816" s="158"/>
      <c r="AP816" s="23"/>
      <c r="AQ816" s="23"/>
      <c r="AR816" s="23"/>
      <c r="AS816" s="23"/>
      <c r="AT816" s="2"/>
      <c r="AU816" s="58"/>
      <c r="AV816" s="112"/>
      <c r="AW816" s="23">
        <v>1</v>
      </c>
      <c r="AX816" s="23"/>
      <c r="AY816" s="23"/>
      <c r="AZ816" s="23"/>
      <c r="BA816" s="23"/>
      <c r="BB816" s="23"/>
      <c r="BC816" s="223"/>
      <c r="BD816" s="223"/>
      <c r="BE816" s="223"/>
      <c r="BF816" s="270">
        <v>2016</v>
      </c>
      <c r="BG816" s="270"/>
      <c r="BH816" s="449"/>
      <c r="BI816" s="682" t="s">
        <v>2376</v>
      </c>
    </row>
    <row r="817" spans="1:61" ht="15" customHeight="1">
      <c r="A817" s="160" t="s">
        <v>1</v>
      </c>
      <c r="B817" s="58" t="s">
        <v>320</v>
      </c>
      <c r="C817" s="64" t="s">
        <v>520</v>
      </c>
      <c r="D817" s="33" t="s">
        <v>387</v>
      </c>
      <c r="E817" s="33"/>
      <c r="F817" s="33"/>
      <c r="G817" s="33"/>
      <c r="H817" s="30"/>
      <c r="I817" s="30"/>
      <c r="J817" s="212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25"/>
      <c r="V817" s="23"/>
      <c r="W817" s="311"/>
      <c r="X817" s="311"/>
      <c r="Y817" s="311"/>
      <c r="Z817" s="94"/>
      <c r="AA817" s="23"/>
      <c r="AB817" s="23"/>
      <c r="AC817" s="23"/>
      <c r="AD817" s="23"/>
      <c r="AE817" s="158"/>
      <c r="AF817" s="158"/>
      <c r="AG817" s="158"/>
      <c r="AH817" s="158"/>
      <c r="AI817" s="158"/>
      <c r="AJ817" s="158"/>
      <c r="AK817" s="158"/>
      <c r="AL817" s="158"/>
      <c r="AM817" s="158"/>
      <c r="AN817" s="158"/>
      <c r="AO817" s="158"/>
      <c r="AP817" s="23"/>
      <c r="AQ817" s="23"/>
      <c r="AR817" s="23"/>
      <c r="AS817" s="23"/>
      <c r="AT817" s="2"/>
      <c r="AU817" s="58"/>
      <c r="AV817" s="112"/>
      <c r="AW817" s="23">
        <v>1</v>
      </c>
      <c r="AX817" s="23"/>
      <c r="AY817" s="23"/>
      <c r="AZ817" s="23"/>
      <c r="BA817" s="23"/>
      <c r="BB817" s="23"/>
      <c r="BC817" s="223"/>
      <c r="BD817" s="223"/>
      <c r="BE817" s="223"/>
      <c r="BF817" s="270">
        <v>2016</v>
      </c>
      <c r="BG817" s="270"/>
      <c r="BH817" s="449"/>
      <c r="BI817" s="682" t="s">
        <v>2376</v>
      </c>
    </row>
    <row r="818" spans="1:61" ht="15" customHeight="1">
      <c r="A818" s="160" t="s">
        <v>1</v>
      </c>
      <c r="B818" s="58" t="s">
        <v>320</v>
      </c>
      <c r="C818" s="64" t="s">
        <v>377</v>
      </c>
      <c r="D818" s="33" t="s">
        <v>387</v>
      </c>
      <c r="E818" s="33"/>
      <c r="F818" s="33"/>
      <c r="G818" s="33"/>
      <c r="H818" s="30"/>
      <c r="I818" s="30"/>
      <c r="J818" s="212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25"/>
      <c r="V818" s="23"/>
      <c r="W818" s="311"/>
      <c r="X818" s="311"/>
      <c r="Y818" s="311"/>
      <c r="Z818" s="94"/>
      <c r="AA818" s="23"/>
      <c r="AB818" s="23"/>
      <c r="AC818" s="23"/>
      <c r="AD818" s="23"/>
      <c r="AE818" s="158"/>
      <c r="AF818" s="158"/>
      <c r="AG818" s="158"/>
      <c r="AH818" s="158"/>
      <c r="AI818" s="158"/>
      <c r="AJ818" s="158"/>
      <c r="AK818" s="158"/>
      <c r="AL818" s="158"/>
      <c r="AM818" s="158"/>
      <c r="AN818" s="158"/>
      <c r="AO818" s="158"/>
      <c r="AP818" s="23"/>
      <c r="AQ818" s="23"/>
      <c r="AR818" s="23"/>
      <c r="AS818" s="23"/>
      <c r="AT818" s="2"/>
      <c r="AU818" s="58"/>
      <c r="AV818" s="112"/>
      <c r="AW818" s="23">
        <v>1</v>
      </c>
      <c r="AX818" s="23"/>
      <c r="AY818" s="23"/>
      <c r="AZ818" s="23"/>
      <c r="BA818" s="23"/>
      <c r="BB818" s="23"/>
      <c r="BC818" s="223"/>
      <c r="BD818" s="223"/>
      <c r="BE818" s="223"/>
      <c r="BF818" s="270">
        <v>2016</v>
      </c>
      <c r="BG818" s="270"/>
      <c r="BH818" s="449"/>
      <c r="BI818" s="682" t="s">
        <v>2376</v>
      </c>
    </row>
    <row r="819" spans="1:61" ht="15" customHeight="1">
      <c r="A819" s="160" t="s">
        <v>1</v>
      </c>
      <c r="B819" s="58" t="s">
        <v>320</v>
      </c>
      <c r="C819" s="64" t="s">
        <v>378</v>
      </c>
      <c r="D819" s="33" t="s">
        <v>387</v>
      </c>
      <c r="E819" s="33"/>
      <c r="F819" s="33"/>
      <c r="G819" s="33"/>
      <c r="H819" s="30"/>
      <c r="I819" s="30"/>
      <c r="J819" s="212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25"/>
      <c r="V819" s="23"/>
      <c r="W819" s="311"/>
      <c r="X819" s="311"/>
      <c r="Y819" s="311"/>
      <c r="Z819" s="94"/>
      <c r="AA819" s="23"/>
      <c r="AB819" s="23"/>
      <c r="AC819" s="23"/>
      <c r="AD819" s="23"/>
      <c r="AE819" s="158"/>
      <c r="AF819" s="158"/>
      <c r="AG819" s="158"/>
      <c r="AH819" s="158"/>
      <c r="AI819" s="158"/>
      <c r="AJ819" s="158"/>
      <c r="AK819" s="158"/>
      <c r="AL819" s="158"/>
      <c r="AM819" s="158"/>
      <c r="AN819" s="158"/>
      <c r="AO819" s="158"/>
      <c r="AP819" s="23"/>
      <c r="AQ819" s="23"/>
      <c r="AR819" s="23"/>
      <c r="AS819" s="23"/>
      <c r="AT819" s="2"/>
      <c r="AU819" s="58"/>
      <c r="AV819" s="112"/>
      <c r="AW819" s="23">
        <v>1</v>
      </c>
      <c r="AX819" s="23"/>
      <c r="AY819" s="23"/>
      <c r="AZ819" s="23"/>
      <c r="BA819" s="23"/>
      <c r="BB819" s="23"/>
      <c r="BC819" s="223"/>
      <c r="BD819" s="223"/>
      <c r="BE819" s="223"/>
      <c r="BF819" s="270">
        <v>2016</v>
      </c>
      <c r="BG819" s="270"/>
      <c r="BH819" s="449"/>
      <c r="BI819" s="682" t="s">
        <v>2376</v>
      </c>
    </row>
    <row r="820" spans="1:61" ht="15" customHeight="1">
      <c r="A820" s="160" t="s">
        <v>1</v>
      </c>
      <c r="B820" s="58" t="s">
        <v>320</v>
      </c>
      <c r="C820" s="64" t="s">
        <v>379</v>
      </c>
      <c r="D820" s="33" t="s">
        <v>387</v>
      </c>
      <c r="E820" s="33"/>
      <c r="F820" s="33"/>
      <c r="G820" s="33"/>
      <c r="H820" s="30" t="s">
        <v>659</v>
      </c>
      <c r="I820" s="30"/>
      <c r="J820" s="212"/>
      <c r="K820" s="23"/>
      <c r="L820" s="23"/>
      <c r="M820" s="23"/>
      <c r="N820" s="23"/>
      <c r="O820" s="23"/>
      <c r="P820" s="23">
        <v>49086983</v>
      </c>
      <c r="Q820" s="23"/>
      <c r="R820" s="23"/>
      <c r="S820" s="23"/>
      <c r="T820" s="23"/>
      <c r="U820" s="225"/>
      <c r="V820" s="23"/>
      <c r="W820" s="311"/>
      <c r="X820" s="311"/>
      <c r="Y820" s="311"/>
      <c r="Z820" s="94"/>
      <c r="AA820" s="23"/>
      <c r="AB820" s="23"/>
      <c r="AC820" s="23"/>
      <c r="AD820" s="23"/>
      <c r="AE820" s="158"/>
      <c r="AF820" s="158"/>
      <c r="AG820" s="158"/>
      <c r="AH820" s="158"/>
      <c r="AI820" s="158"/>
      <c r="AJ820" s="158"/>
      <c r="AK820" s="158"/>
      <c r="AL820" s="158"/>
      <c r="AM820" s="158"/>
      <c r="AN820" s="158"/>
      <c r="AO820" s="158"/>
      <c r="AP820" s="23"/>
      <c r="AQ820" s="23"/>
      <c r="AR820" s="23"/>
      <c r="AS820" s="23"/>
      <c r="AT820" s="2"/>
      <c r="AU820" s="58"/>
      <c r="AV820" s="326" t="s">
        <v>1849</v>
      </c>
      <c r="AW820" s="23">
        <v>1</v>
      </c>
      <c r="AX820" s="23"/>
      <c r="AY820" s="23"/>
      <c r="AZ820" s="23"/>
      <c r="BA820" s="23"/>
      <c r="BB820" s="23"/>
      <c r="BC820" s="223"/>
      <c r="BD820" s="223"/>
      <c r="BE820" s="223"/>
      <c r="BF820" s="270">
        <v>2016</v>
      </c>
      <c r="BG820" s="270"/>
      <c r="BH820" s="449"/>
      <c r="BI820" s="682" t="s">
        <v>2376</v>
      </c>
    </row>
    <row r="821" spans="1:61" ht="15" customHeight="1">
      <c r="A821" s="160" t="s">
        <v>1</v>
      </c>
      <c r="B821" s="58" t="s">
        <v>320</v>
      </c>
      <c r="C821" s="64" t="s">
        <v>380</v>
      </c>
      <c r="D821" s="33" t="s">
        <v>387</v>
      </c>
      <c r="E821" s="33"/>
      <c r="F821" s="33"/>
      <c r="G821" s="33"/>
      <c r="H821" s="30"/>
      <c r="I821" s="30"/>
      <c r="J821" s="212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25"/>
      <c r="V821" s="23"/>
      <c r="W821" s="311"/>
      <c r="X821" s="311"/>
      <c r="Y821" s="311"/>
      <c r="Z821" s="94"/>
      <c r="AA821" s="23"/>
      <c r="AB821" s="23"/>
      <c r="AC821" s="23"/>
      <c r="AD821" s="23"/>
      <c r="AE821" s="158"/>
      <c r="AF821" s="158"/>
      <c r="AG821" s="158"/>
      <c r="AH821" s="158"/>
      <c r="AI821" s="158"/>
      <c r="AJ821" s="158"/>
      <c r="AK821" s="158"/>
      <c r="AL821" s="158"/>
      <c r="AM821" s="158"/>
      <c r="AN821" s="158"/>
      <c r="AO821" s="158"/>
      <c r="AP821" s="23"/>
      <c r="AQ821" s="23"/>
      <c r="AR821" s="23"/>
      <c r="AS821" s="23"/>
      <c r="AT821" s="2"/>
      <c r="AU821" s="58"/>
      <c r="AV821" s="112"/>
      <c r="AW821" s="23">
        <v>1</v>
      </c>
      <c r="AX821" s="23"/>
      <c r="AY821" s="23"/>
      <c r="AZ821" s="23"/>
      <c r="BA821" s="23"/>
      <c r="BB821" s="23"/>
      <c r="BC821" s="223"/>
      <c r="BD821" s="223"/>
      <c r="BE821" s="223"/>
      <c r="BF821" s="270">
        <v>2016</v>
      </c>
      <c r="BG821" s="270"/>
      <c r="BH821" s="449"/>
      <c r="BI821" s="682" t="s">
        <v>2376</v>
      </c>
    </row>
    <row r="822" spans="1:61" ht="15" customHeight="1">
      <c r="A822" s="160" t="s">
        <v>1</v>
      </c>
      <c r="B822" s="58" t="s">
        <v>320</v>
      </c>
      <c r="C822" s="64" t="s">
        <v>381</v>
      </c>
      <c r="D822" s="33" t="s">
        <v>387</v>
      </c>
      <c r="E822" s="33"/>
      <c r="F822" s="33"/>
      <c r="G822" s="33"/>
      <c r="H822" s="30"/>
      <c r="I822" s="30"/>
      <c r="J822" s="212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25"/>
      <c r="V822" s="23"/>
      <c r="W822" s="311"/>
      <c r="X822" s="311"/>
      <c r="Y822" s="311"/>
      <c r="Z822" s="94"/>
      <c r="AA822" s="23"/>
      <c r="AB822" s="23"/>
      <c r="AC822" s="23"/>
      <c r="AD822" s="23"/>
      <c r="AE822" s="158"/>
      <c r="AF822" s="158"/>
      <c r="AG822" s="158"/>
      <c r="AH822" s="158"/>
      <c r="AI822" s="158"/>
      <c r="AJ822" s="158"/>
      <c r="AK822" s="158"/>
      <c r="AL822" s="158"/>
      <c r="AM822" s="158"/>
      <c r="AN822" s="158"/>
      <c r="AO822" s="158"/>
      <c r="AP822" s="23"/>
      <c r="AQ822" s="23"/>
      <c r="AR822" s="23"/>
      <c r="AS822" s="23"/>
      <c r="AT822" s="2"/>
      <c r="AU822" s="58"/>
      <c r="AV822" s="112"/>
      <c r="AW822" s="23">
        <v>1</v>
      </c>
      <c r="AX822" s="23"/>
      <c r="AY822" s="23"/>
      <c r="AZ822" s="23"/>
      <c r="BA822" s="23"/>
      <c r="BB822" s="23"/>
      <c r="BC822" s="223"/>
      <c r="BD822" s="223"/>
      <c r="BE822" s="223"/>
      <c r="BF822" s="270">
        <v>2016</v>
      </c>
      <c r="BG822" s="270"/>
      <c r="BH822" s="448"/>
      <c r="BI822" s="682" t="s">
        <v>2376</v>
      </c>
    </row>
    <row r="823" spans="1:61" ht="15" customHeight="1">
      <c r="A823" s="160" t="s">
        <v>1</v>
      </c>
      <c r="B823" s="58" t="s">
        <v>320</v>
      </c>
      <c r="C823" s="64" t="s">
        <v>382</v>
      </c>
      <c r="D823" s="33" t="s">
        <v>387</v>
      </c>
      <c r="E823" s="33"/>
      <c r="F823" s="33"/>
      <c r="G823" s="33"/>
      <c r="H823" s="30"/>
      <c r="I823" s="30"/>
      <c r="J823" s="212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25"/>
      <c r="V823" s="23"/>
      <c r="W823" s="311"/>
      <c r="X823" s="311"/>
      <c r="Y823" s="311"/>
      <c r="Z823" s="94"/>
      <c r="AA823" s="23"/>
      <c r="AB823" s="23"/>
      <c r="AC823" s="23"/>
      <c r="AD823" s="23"/>
      <c r="AE823" s="158"/>
      <c r="AF823" s="158"/>
      <c r="AG823" s="158"/>
      <c r="AH823" s="158"/>
      <c r="AI823" s="158"/>
      <c r="AJ823" s="158"/>
      <c r="AK823" s="158"/>
      <c r="AL823" s="158"/>
      <c r="AM823" s="158"/>
      <c r="AN823" s="158"/>
      <c r="AO823" s="158"/>
      <c r="AP823" s="23"/>
      <c r="AQ823" s="23"/>
      <c r="AR823" s="23"/>
      <c r="AS823" s="23"/>
      <c r="AT823" s="2"/>
      <c r="AU823" s="58"/>
      <c r="AV823" s="112"/>
      <c r="AW823" s="23">
        <v>1</v>
      </c>
      <c r="AX823" s="23"/>
      <c r="AY823" s="23"/>
      <c r="AZ823" s="23"/>
      <c r="BA823" s="23"/>
      <c r="BB823" s="23"/>
      <c r="BC823" s="223"/>
      <c r="BD823" s="223"/>
      <c r="BE823" s="223"/>
      <c r="BF823" s="270">
        <v>2016</v>
      </c>
      <c r="BG823" s="270"/>
      <c r="BH823" s="449"/>
      <c r="BI823" s="682" t="s">
        <v>2376</v>
      </c>
    </row>
    <row r="824" spans="1:61" ht="15" customHeight="1">
      <c r="A824" s="160" t="s">
        <v>1</v>
      </c>
      <c r="B824" s="58" t="s">
        <v>320</v>
      </c>
      <c r="C824" s="63" t="s">
        <v>383</v>
      </c>
      <c r="D824" s="33" t="s">
        <v>387</v>
      </c>
      <c r="E824" s="33"/>
      <c r="F824" s="33"/>
      <c r="G824" s="33"/>
      <c r="H824" s="30"/>
      <c r="I824" s="30"/>
      <c r="J824" s="212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25"/>
      <c r="V824" s="23"/>
      <c r="W824" s="311"/>
      <c r="X824" s="311"/>
      <c r="Y824" s="311"/>
      <c r="Z824" s="94"/>
      <c r="AA824" s="23"/>
      <c r="AB824" s="23"/>
      <c r="AC824" s="23"/>
      <c r="AD824" s="23"/>
      <c r="AE824" s="158"/>
      <c r="AF824" s="158"/>
      <c r="AG824" s="158"/>
      <c r="AH824" s="158"/>
      <c r="AI824" s="158"/>
      <c r="AJ824" s="158"/>
      <c r="AK824" s="158"/>
      <c r="AL824" s="158"/>
      <c r="AM824" s="158"/>
      <c r="AN824" s="158"/>
      <c r="AO824" s="158"/>
      <c r="AP824" s="23"/>
      <c r="AQ824" s="23"/>
      <c r="AR824" s="23"/>
      <c r="AS824" s="23"/>
      <c r="AT824" s="2"/>
      <c r="AU824" s="58"/>
      <c r="AV824" s="112"/>
      <c r="AW824" s="23">
        <v>1</v>
      </c>
      <c r="AX824" s="23"/>
      <c r="AY824" s="23"/>
      <c r="AZ824" s="23"/>
      <c r="BA824" s="23"/>
      <c r="BB824" s="23"/>
      <c r="BC824" s="223"/>
      <c r="BD824" s="223"/>
      <c r="BE824" s="223"/>
      <c r="BF824" s="270">
        <v>2016</v>
      </c>
      <c r="BG824" s="270"/>
      <c r="BH824" s="449"/>
      <c r="BI824" s="682" t="s">
        <v>2376</v>
      </c>
    </row>
    <row r="825" spans="1:61" ht="15" customHeight="1">
      <c r="A825" s="160" t="s">
        <v>1</v>
      </c>
      <c r="B825" s="58" t="s">
        <v>320</v>
      </c>
      <c r="C825" s="64" t="s">
        <v>384</v>
      </c>
      <c r="D825" s="33" t="s">
        <v>387</v>
      </c>
      <c r="E825" s="33"/>
      <c r="F825" s="33"/>
      <c r="G825" s="33"/>
      <c r="H825" s="30"/>
      <c r="I825" s="30"/>
      <c r="J825" s="212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25"/>
      <c r="V825" s="23"/>
      <c r="W825" s="311"/>
      <c r="X825" s="311"/>
      <c r="Y825" s="311"/>
      <c r="Z825" s="94"/>
      <c r="AA825" s="23"/>
      <c r="AB825" s="23"/>
      <c r="AC825" s="23"/>
      <c r="AD825" s="23"/>
      <c r="AE825" s="158"/>
      <c r="AF825" s="158"/>
      <c r="AG825" s="158"/>
      <c r="AH825" s="158"/>
      <c r="AI825" s="158"/>
      <c r="AJ825" s="158"/>
      <c r="AK825" s="158"/>
      <c r="AL825" s="158"/>
      <c r="AM825" s="158"/>
      <c r="AN825" s="158"/>
      <c r="AO825" s="158"/>
      <c r="AP825" s="23"/>
      <c r="AQ825" s="23"/>
      <c r="AR825" s="23"/>
      <c r="AS825" s="23"/>
      <c r="AT825" s="2"/>
      <c r="AU825" s="58"/>
      <c r="AV825" s="112"/>
      <c r="AW825" s="23">
        <v>1</v>
      </c>
      <c r="AX825" s="23"/>
      <c r="AY825" s="23"/>
      <c r="AZ825" s="23"/>
      <c r="BA825" s="23"/>
      <c r="BB825" s="23"/>
      <c r="BC825" s="223"/>
      <c r="BD825" s="223"/>
      <c r="BE825" s="223"/>
      <c r="BF825" s="270">
        <v>2016</v>
      </c>
      <c r="BG825" s="270"/>
      <c r="BH825" s="418"/>
      <c r="BI825" s="682" t="s">
        <v>2376</v>
      </c>
    </row>
    <row r="826" spans="1:61" ht="15" customHeight="1">
      <c r="A826" s="160" t="s">
        <v>1</v>
      </c>
      <c r="B826" s="58" t="s">
        <v>320</v>
      </c>
      <c r="C826" s="64" t="s">
        <v>385</v>
      </c>
      <c r="D826" s="33" t="s">
        <v>387</v>
      </c>
      <c r="E826" s="33"/>
      <c r="F826" s="33"/>
      <c r="G826" s="33"/>
      <c r="H826" s="30"/>
      <c r="I826" s="30"/>
      <c r="J826" s="212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25"/>
      <c r="V826" s="23"/>
      <c r="W826" s="311"/>
      <c r="X826" s="311"/>
      <c r="Y826" s="311"/>
      <c r="Z826" s="94"/>
      <c r="AA826" s="23"/>
      <c r="AB826" s="23"/>
      <c r="AC826" s="23"/>
      <c r="AD826" s="23"/>
      <c r="AE826" s="158"/>
      <c r="AF826" s="158"/>
      <c r="AG826" s="158"/>
      <c r="AH826" s="158"/>
      <c r="AI826" s="158"/>
      <c r="AJ826" s="158"/>
      <c r="AK826" s="158"/>
      <c r="AL826" s="158"/>
      <c r="AM826" s="158"/>
      <c r="AN826" s="158"/>
      <c r="AO826" s="158"/>
      <c r="AP826" s="23"/>
      <c r="AQ826" s="23"/>
      <c r="AR826" s="23"/>
      <c r="AS826" s="23"/>
      <c r="AT826" s="2"/>
      <c r="AU826" s="58"/>
      <c r="AV826" s="105"/>
      <c r="AW826" s="23">
        <v>1</v>
      </c>
      <c r="AX826" s="23"/>
      <c r="AY826" s="23"/>
      <c r="AZ826" s="23"/>
      <c r="BA826" s="23"/>
      <c r="BB826" s="23"/>
      <c r="BC826" s="223"/>
      <c r="BD826" s="223"/>
      <c r="BE826" s="223"/>
      <c r="BF826" s="270">
        <v>2016</v>
      </c>
      <c r="BG826" s="270"/>
      <c r="BH826" s="418"/>
      <c r="BI826" s="682" t="s">
        <v>2376</v>
      </c>
    </row>
    <row r="827" spans="1:61" s="204" customFormat="1" ht="18" customHeight="1">
      <c r="A827" s="160" t="s">
        <v>1</v>
      </c>
      <c r="B827" s="58" t="s">
        <v>320</v>
      </c>
      <c r="C827" s="65" t="s">
        <v>386</v>
      </c>
      <c r="D827" s="33" t="s">
        <v>319</v>
      </c>
      <c r="E827" s="33"/>
      <c r="F827" s="33"/>
      <c r="G827" s="33"/>
      <c r="H827" s="30" t="s">
        <v>647</v>
      </c>
      <c r="I827" s="30">
        <v>2807</v>
      </c>
      <c r="J827" s="212">
        <v>2015</v>
      </c>
      <c r="K827" s="23"/>
      <c r="L827" s="23"/>
      <c r="M827" s="23">
        <v>1</v>
      </c>
      <c r="N827" s="23"/>
      <c r="O827" s="23">
        <v>1</v>
      </c>
      <c r="P827" s="23">
        <v>52853500</v>
      </c>
      <c r="Q827" s="23"/>
      <c r="R827" s="23"/>
      <c r="S827" s="23"/>
      <c r="T827" s="23"/>
      <c r="U827" s="225"/>
      <c r="V827" s="23"/>
      <c r="W827" s="311"/>
      <c r="X827" s="311"/>
      <c r="Y827" s="311"/>
      <c r="Z827" s="94"/>
      <c r="AA827" s="23"/>
      <c r="AB827" s="23"/>
      <c r="AC827" s="23"/>
      <c r="AD827" s="23"/>
      <c r="AE827" s="158"/>
      <c r="AF827" s="158">
        <f>P827-U827-Z827</f>
        <v>52853500</v>
      </c>
      <c r="AG827" s="158"/>
      <c r="AH827" s="94">
        <v>0</v>
      </c>
      <c r="AI827" s="94">
        <v>52853500</v>
      </c>
      <c r="AJ827" s="94"/>
      <c r="AK827" s="176">
        <f>P827-R827-U827-Z827</f>
        <v>52853500</v>
      </c>
      <c r="AL827" s="158"/>
      <c r="AM827" s="158"/>
      <c r="AN827" s="158">
        <v>1</v>
      </c>
      <c r="AO827" s="158"/>
      <c r="AP827" s="23"/>
      <c r="AQ827" s="23"/>
      <c r="AR827" s="23"/>
      <c r="AS827" s="23"/>
      <c r="AT827" s="24">
        <v>0</v>
      </c>
      <c r="AU827" s="58" t="s">
        <v>521</v>
      </c>
      <c r="AV827" s="386" t="s">
        <v>634</v>
      </c>
      <c r="AW827" s="23"/>
      <c r="AX827" s="23"/>
      <c r="AY827" s="23"/>
      <c r="AZ827" s="23"/>
      <c r="BA827" s="23"/>
      <c r="BB827" s="23"/>
      <c r="BC827" s="223"/>
      <c r="BD827" s="223"/>
      <c r="BE827" s="223"/>
      <c r="BF827" s="271"/>
      <c r="BG827" s="271">
        <v>2019</v>
      </c>
      <c r="BH827" s="271">
        <v>2020</v>
      </c>
      <c r="BI827" s="271" t="s">
        <v>2375</v>
      </c>
    </row>
    <row r="828" spans="1:61" ht="18" customHeight="1">
      <c r="A828" s="230" t="s">
        <v>1</v>
      </c>
      <c r="B828" s="58" t="s">
        <v>320</v>
      </c>
      <c r="C828" s="240" t="s">
        <v>591</v>
      </c>
      <c r="D828" s="33" t="s">
        <v>387</v>
      </c>
      <c r="E828" s="33"/>
      <c r="F828" s="33"/>
      <c r="G828" s="33"/>
      <c r="H828" s="30" t="s">
        <v>635</v>
      </c>
      <c r="I828" s="228" t="s">
        <v>1511</v>
      </c>
      <c r="J828" s="215" t="s">
        <v>1510</v>
      </c>
      <c r="K828" s="23"/>
      <c r="L828" s="23">
        <v>1</v>
      </c>
      <c r="M828" s="23"/>
      <c r="N828" s="23"/>
      <c r="O828" s="23"/>
      <c r="P828" s="23">
        <v>56837554</v>
      </c>
      <c r="Q828" s="23"/>
      <c r="R828" s="23"/>
      <c r="S828" s="23"/>
      <c r="T828" s="23"/>
      <c r="U828" s="225">
        <v>25576899</v>
      </c>
      <c r="V828" s="23"/>
      <c r="W828" s="311"/>
      <c r="X828" s="311"/>
      <c r="Y828" s="311"/>
      <c r="Z828" s="94">
        <v>31260655</v>
      </c>
      <c r="AA828" s="23"/>
      <c r="AB828" s="57"/>
      <c r="AC828" s="57"/>
      <c r="AD828" s="57"/>
      <c r="AE828" s="158"/>
      <c r="AF828" s="158">
        <f>P828-U828-Z828</f>
        <v>0</v>
      </c>
      <c r="AG828" s="158"/>
      <c r="AH828" s="94">
        <v>0</v>
      </c>
      <c r="AI828" s="94">
        <v>0</v>
      </c>
      <c r="AJ828" s="94"/>
      <c r="AK828" s="158">
        <f t="shared" ref="AK828" si="219">AF828+AH828</f>
        <v>0</v>
      </c>
      <c r="AL828" s="158"/>
      <c r="AM828" s="158"/>
      <c r="AN828" s="158"/>
      <c r="AO828" s="158"/>
      <c r="AP828" s="23"/>
      <c r="AQ828" s="23"/>
      <c r="AR828" s="23"/>
      <c r="AS828" s="23"/>
      <c r="AT828" s="24">
        <v>1</v>
      </c>
      <c r="AU828" s="58" t="s">
        <v>646</v>
      </c>
      <c r="AV828" s="390" t="s">
        <v>1863</v>
      </c>
      <c r="AW828" s="23"/>
      <c r="AX828" s="23"/>
      <c r="AY828" s="23"/>
      <c r="AZ828" s="23">
        <v>1</v>
      </c>
      <c r="BA828" s="23"/>
      <c r="BB828" s="23"/>
      <c r="BC828" s="223"/>
      <c r="BD828" s="223">
        <v>1</v>
      </c>
      <c r="BE828" s="223"/>
      <c r="BF828" s="270">
        <v>2019</v>
      </c>
      <c r="BG828" s="270">
        <v>2019</v>
      </c>
      <c r="BH828" s="271"/>
      <c r="BI828" s="271" t="s">
        <v>2375</v>
      </c>
    </row>
    <row r="829" spans="1:61" s="204" customFormat="1" ht="18" customHeight="1">
      <c r="A829" s="160" t="s">
        <v>1</v>
      </c>
      <c r="B829" s="58" t="s">
        <v>320</v>
      </c>
      <c r="C829" s="65" t="s">
        <v>1204</v>
      </c>
      <c r="D829" s="33" t="s">
        <v>387</v>
      </c>
      <c r="E829" s="33"/>
      <c r="F829" s="33"/>
      <c r="G829" s="33"/>
      <c r="H829" s="30" t="s">
        <v>635</v>
      </c>
      <c r="I829" s="228" t="s">
        <v>1511</v>
      </c>
      <c r="J829" s="215" t="s">
        <v>1510</v>
      </c>
      <c r="K829" s="23"/>
      <c r="L829" s="23"/>
      <c r="M829" s="23">
        <v>1</v>
      </c>
      <c r="N829" s="23">
        <v>1</v>
      </c>
      <c r="O829" s="23"/>
      <c r="P829" s="23">
        <v>56837554</v>
      </c>
      <c r="Q829" s="23"/>
      <c r="R829" s="23"/>
      <c r="S829" s="23"/>
      <c r="T829" s="23"/>
      <c r="U829" s="225">
        <v>25576899</v>
      </c>
      <c r="V829" s="23">
        <v>10</v>
      </c>
      <c r="W829" s="311"/>
      <c r="X829" s="311"/>
      <c r="Y829" s="311"/>
      <c r="Z829" s="94">
        <v>31260655</v>
      </c>
      <c r="AA829" s="223">
        <v>20</v>
      </c>
      <c r="AB829" s="311">
        <v>43980</v>
      </c>
      <c r="AC829" s="577"/>
      <c r="AD829" s="223"/>
      <c r="AE829" s="158"/>
      <c r="AF829" s="158">
        <f t="shared" ref="AF829" si="220">P829-R829-U829</f>
        <v>31260655</v>
      </c>
      <c r="AG829" s="158"/>
      <c r="AH829" s="94">
        <v>0</v>
      </c>
      <c r="AI829" s="94">
        <v>31260655</v>
      </c>
      <c r="AJ829" s="94"/>
      <c r="AK829" s="666">
        <f t="shared" ref="AK829:AK830" si="221">P829-R829-U829-Z829</f>
        <v>0</v>
      </c>
      <c r="AL829" s="666">
        <v>877</v>
      </c>
      <c r="AM829" s="666">
        <v>20</v>
      </c>
      <c r="AN829" s="158"/>
      <c r="AO829" s="158">
        <v>1</v>
      </c>
      <c r="AP829" s="229"/>
      <c r="AQ829" s="23"/>
      <c r="AR829" s="23"/>
      <c r="AS829" s="23"/>
      <c r="AT829" s="24">
        <v>0</v>
      </c>
      <c r="AU829" s="58" t="s">
        <v>38</v>
      </c>
      <c r="AV829" s="721" t="s">
        <v>2299</v>
      </c>
      <c r="AW829" s="23"/>
      <c r="AX829" s="23"/>
      <c r="AY829" s="23"/>
      <c r="AZ829" s="23"/>
      <c r="BA829" s="23"/>
      <c r="BB829" s="23"/>
      <c r="BC829" s="223"/>
      <c r="BD829" s="223"/>
      <c r="BE829" s="223"/>
      <c r="BF829" s="271"/>
      <c r="BG829" s="271">
        <v>2019</v>
      </c>
      <c r="BH829" s="430">
        <v>2020</v>
      </c>
      <c r="BI829" s="271" t="s">
        <v>2375</v>
      </c>
    </row>
    <row r="830" spans="1:61" s="204" customFormat="1" ht="18" customHeight="1">
      <c r="A830" s="160" t="s">
        <v>1</v>
      </c>
      <c r="B830" s="58" t="s">
        <v>320</v>
      </c>
      <c r="C830" s="65" t="s">
        <v>2346</v>
      </c>
      <c r="D830" s="33" t="s">
        <v>387</v>
      </c>
      <c r="E830" s="33"/>
      <c r="F830" s="33"/>
      <c r="G830" s="33"/>
      <c r="H830" s="30" t="s">
        <v>635</v>
      </c>
      <c r="I830" s="78">
        <v>1893</v>
      </c>
      <c r="J830" s="212">
        <v>42614</v>
      </c>
      <c r="K830" s="23"/>
      <c r="L830" s="23"/>
      <c r="M830" s="23">
        <v>1</v>
      </c>
      <c r="N830" s="23">
        <v>1</v>
      </c>
      <c r="O830" s="23"/>
      <c r="P830" s="23">
        <v>55798250</v>
      </c>
      <c r="Q830" s="23"/>
      <c r="R830" s="23"/>
      <c r="S830" s="23"/>
      <c r="T830" s="23"/>
      <c r="U830" s="225"/>
      <c r="V830" s="23"/>
      <c r="W830" s="311"/>
      <c r="X830" s="311"/>
      <c r="Y830" s="311"/>
      <c r="Z830" s="94"/>
      <c r="AA830" s="223"/>
      <c r="AB830" s="223"/>
      <c r="AC830" s="223"/>
      <c r="AD830" s="223"/>
      <c r="AE830" s="158"/>
      <c r="AF830" s="158">
        <f>P830-U830-Z830</f>
        <v>55798250</v>
      </c>
      <c r="AG830" s="158"/>
      <c r="AH830" s="94">
        <v>0</v>
      </c>
      <c r="AI830" s="94">
        <v>55798250</v>
      </c>
      <c r="AJ830" s="94"/>
      <c r="AK830" s="602">
        <f t="shared" si="221"/>
        <v>55798250</v>
      </c>
      <c r="AL830" s="72">
        <v>877</v>
      </c>
      <c r="AM830" s="72">
        <v>10</v>
      </c>
      <c r="AN830" s="158">
        <v>1</v>
      </c>
      <c r="AO830" s="158"/>
      <c r="AP830" s="23"/>
      <c r="AQ830" s="23"/>
      <c r="AR830" s="23"/>
      <c r="AS830" s="23"/>
      <c r="AT830" s="24">
        <v>0</v>
      </c>
      <c r="AU830" s="58" t="s">
        <v>521</v>
      </c>
      <c r="AV830" s="386"/>
      <c r="AW830" s="23"/>
      <c r="AX830" s="23"/>
      <c r="AY830" s="23"/>
      <c r="AZ830" s="23"/>
      <c r="BA830" s="23"/>
      <c r="BB830" s="23"/>
      <c r="BC830" s="223"/>
      <c r="BD830" s="223"/>
      <c r="BE830" s="223"/>
      <c r="BF830" s="271"/>
      <c r="BG830" s="271">
        <v>2019</v>
      </c>
      <c r="BH830" s="271">
        <v>2020</v>
      </c>
      <c r="BI830" s="271" t="s">
        <v>2375</v>
      </c>
    </row>
    <row r="831" spans="1:61" ht="15" customHeight="1">
      <c r="A831" s="248" t="s">
        <v>1</v>
      </c>
      <c r="B831" s="58" t="s">
        <v>320</v>
      </c>
      <c r="C831" s="263" t="s">
        <v>1042</v>
      </c>
      <c r="D831" s="33" t="s">
        <v>387</v>
      </c>
      <c r="E831" s="33"/>
      <c r="F831" s="33"/>
      <c r="G831" s="33"/>
      <c r="H831" s="30" t="s">
        <v>635</v>
      </c>
      <c r="I831" s="78">
        <v>1893</v>
      </c>
      <c r="J831" s="212">
        <v>42614</v>
      </c>
      <c r="K831" s="23"/>
      <c r="L831" s="23"/>
      <c r="M831" s="23"/>
      <c r="N831" s="23"/>
      <c r="O831" s="23"/>
      <c r="P831" s="23">
        <v>56837554</v>
      </c>
      <c r="Q831" s="23"/>
      <c r="R831" s="23"/>
      <c r="S831" s="23"/>
      <c r="T831" s="23"/>
      <c r="U831" s="225">
        <v>56837554</v>
      </c>
      <c r="V831" s="23"/>
      <c r="W831" s="311"/>
      <c r="X831" s="311"/>
      <c r="Y831" s="311"/>
      <c r="Z831" s="94"/>
      <c r="AA831" s="23"/>
      <c r="AB831" s="265"/>
      <c r="AC831" s="265"/>
      <c r="AD831" s="265"/>
      <c r="AE831" s="158"/>
      <c r="AF831" s="158">
        <f>P831-U831-Z831</f>
        <v>0</v>
      </c>
      <c r="AG831" s="158"/>
      <c r="AH831" s="158"/>
      <c r="AI831" s="158"/>
      <c r="AJ831" s="158"/>
      <c r="AK831" s="158"/>
      <c r="AL831" s="158"/>
      <c r="AM831" s="158"/>
      <c r="AN831" s="158"/>
      <c r="AO831" s="158"/>
      <c r="AP831" s="23"/>
      <c r="AQ831" s="23"/>
      <c r="AR831" s="23"/>
      <c r="AS831" s="23"/>
      <c r="AT831" s="24">
        <v>1</v>
      </c>
      <c r="AU831" s="58" t="s">
        <v>646</v>
      </c>
      <c r="AV831" s="105"/>
      <c r="AW831" s="23"/>
      <c r="AX831" s="23"/>
      <c r="AY831" s="514">
        <v>1</v>
      </c>
      <c r="AZ831" s="23"/>
      <c r="BA831" s="23"/>
      <c r="BB831" s="23">
        <v>1</v>
      </c>
      <c r="BC831" s="223"/>
      <c r="BD831" s="223"/>
      <c r="BE831" s="223"/>
      <c r="BF831" s="270">
        <v>2018</v>
      </c>
      <c r="BG831" s="270"/>
      <c r="BH831" s="418"/>
      <c r="BI831" s="682" t="s">
        <v>2376</v>
      </c>
    </row>
    <row r="832" spans="1:61" s="204" customFormat="1" ht="32.25" customHeight="1">
      <c r="A832" s="160" t="s">
        <v>1</v>
      </c>
      <c r="B832" s="58" t="s">
        <v>320</v>
      </c>
      <c r="C832" s="65" t="s">
        <v>593</v>
      </c>
      <c r="D832" s="33" t="s">
        <v>387</v>
      </c>
      <c r="E832" s="33"/>
      <c r="F832" s="33"/>
      <c r="G832" s="33"/>
      <c r="H832" s="30" t="s">
        <v>635</v>
      </c>
      <c r="I832" s="228" t="s">
        <v>1512</v>
      </c>
      <c r="J832" s="215" t="s">
        <v>1513</v>
      </c>
      <c r="K832" s="23"/>
      <c r="L832" s="23">
        <v>1</v>
      </c>
      <c r="M832" s="23"/>
      <c r="N832" s="23"/>
      <c r="O832" s="23"/>
      <c r="P832" s="23">
        <v>56837553</v>
      </c>
      <c r="Q832" s="23"/>
      <c r="R832" s="23"/>
      <c r="S832" s="23"/>
      <c r="T832" s="23"/>
      <c r="U832" s="225">
        <v>25576899</v>
      </c>
      <c r="V832" s="23">
        <v>20</v>
      </c>
      <c r="W832" s="311"/>
      <c r="X832" s="311"/>
      <c r="Y832" s="311"/>
      <c r="Z832" s="23">
        <v>31260654</v>
      </c>
      <c r="AA832" s="23">
        <v>10</v>
      </c>
      <c r="AB832" s="23"/>
      <c r="AC832" s="23"/>
      <c r="AD832" s="309"/>
      <c r="AE832" s="158"/>
      <c r="AF832" s="158">
        <f t="shared" ref="AF832:AF837" si="222">P832-U832-Z832</f>
        <v>0</v>
      </c>
      <c r="AG832" s="158"/>
      <c r="AH832" s="94">
        <v>0</v>
      </c>
      <c r="AI832" s="94">
        <v>0</v>
      </c>
      <c r="AJ832" s="94"/>
      <c r="AK832" s="158">
        <f t="shared" ref="AK832:AK837" si="223">AF832+AH832</f>
        <v>0</v>
      </c>
      <c r="AL832" s="158"/>
      <c r="AM832" s="158"/>
      <c r="AN832" s="158"/>
      <c r="AO832" s="158"/>
      <c r="AP832" s="23"/>
      <c r="AQ832" s="23"/>
      <c r="AR832" s="23"/>
      <c r="AS832" s="23"/>
      <c r="AT832" s="24">
        <v>1</v>
      </c>
      <c r="AU832" s="58" t="s">
        <v>646</v>
      </c>
      <c r="AV832" s="386" t="s">
        <v>1413</v>
      </c>
      <c r="AW832" s="23"/>
      <c r="AX832" s="23"/>
      <c r="AY832" s="23"/>
      <c r="AZ832" s="23">
        <v>1</v>
      </c>
      <c r="BA832" s="23"/>
      <c r="BB832" s="23"/>
      <c r="BC832" s="223"/>
      <c r="BD832" s="223">
        <v>1</v>
      </c>
      <c r="BE832" s="223"/>
      <c r="BF832" s="271">
        <v>2019</v>
      </c>
      <c r="BG832" s="271">
        <v>2019</v>
      </c>
      <c r="BH832" s="271"/>
      <c r="BI832" s="271" t="s">
        <v>2375</v>
      </c>
    </row>
    <row r="833" spans="1:61" s="204" customFormat="1" ht="26.25" customHeight="1">
      <c r="A833" s="160" t="s">
        <v>1</v>
      </c>
      <c r="B833" s="58" t="s">
        <v>320</v>
      </c>
      <c r="C833" s="65" t="s">
        <v>594</v>
      </c>
      <c r="D833" s="33" t="s">
        <v>387</v>
      </c>
      <c r="E833" s="33"/>
      <c r="F833" s="33"/>
      <c r="G833" s="33"/>
      <c r="H833" s="30" t="s">
        <v>635</v>
      </c>
      <c r="I833" s="228" t="s">
        <v>1512</v>
      </c>
      <c r="J833" s="215" t="s">
        <v>1513</v>
      </c>
      <c r="K833" s="23"/>
      <c r="L833" s="23"/>
      <c r="M833" s="23">
        <v>1</v>
      </c>
      <c r="N833" s="23">
        <v>1</v>
      </c>
      <c r="O833" s="23"/>
      <c r="P833" s="23">
        <v>51820528</v>
      </c>
      <c r="Q833" s="23"/>
      <c r="R833" s="23"/>
      <c r="S833" s="23"/>
      <c r="U833" s="94">
        <v>23319238</v>
      </c>
      <c r="V833" s="23">
        <v>10</v>
      </c>
      <c r="W833" s="311">
        <v>43980</v>
      </c>
      <c r="X833" s="311"/>
      <c r="Y833" s="311"/>
      <c r="Z833" s="94"/>
      <c r="AA833" s="223"/>
      <c r="AB833" s="223"/>
      <c r="AC833" s="223"/>
      <c r="AD833" s="223"/>
      <c r="AE833" s="158"/>
      <c r="AF833" s="158">
        <f>P833</f>
        <v>51820528</v>
      </c>
      <c r="AG833" s="158"/>
      <c r="AH833" s="94">
        <v>0</v>
      </c>
      <c r="AI833" s="94">
        <v>51820528</v>
      </c>
      <c r="AJ833" s="94"/>
      <c r="AK833" s="691">
        <f t="shared" ref="AK833:AK834" si="224">P833-R833-U833-Z833</f>
        <v>28501290</v>
      </c>
      <c r="AL833" s="72">
        <v>877</v>
      </c>
      <c r="AM833" s="72">
        <v>10</v>
      </c>
      <c r="AN833" s="158"/>
      <c r="AO833" s="158">
        <v>1</v>
      </c>
      <c r="AP833" s="23"/>
      <c r="AQ833" s="23"/>
      <c r="AR833" s="23"/>
      <c r="AS833" s="23"/>
      <c r="AT833" s="24">
        <v>0</v>
      </c>
      <c r="AU833" s="58" t="s">
        <v>38</v>
      </c>
      <c r="AV833" s="386" t="s">
        <v>2190</v>
      </c>
      <c r="AW833" s="23"/>
      <c r="AX833" s="23"/>
      <c r="AY833" s="23"/>
      <c r="AZ833" s="23"/>
      <c r="BA833" s="23"/>
      <c r="BB833" s="23"/>
      <c r="BC833" s="223"/>
      <c r="BD833" s="223"/>
      <c r="BE833" s="223"/>
      <c r="BF833" s="271"/>
      <c r="BG833" s="271">
        <v>2019</v>
      </c>
      <c r="BH833" s="271">
        <v>2020</v>
      </c>
      <c r="BI833" s="271" t="s">
        <v>2375</v>
      </c>
    </row>
    <row r="834" spans="1:61" s="204" customFormat="1" ht="25.5" customHeight="1">
      <c r="A834" s="160" t="s">
        <v>1</v>
      </c>
      <c r="B834" s="58" t="s">
        <v>320</v>
      </c>
      <c r="C834" s="65" t="s">
        <v>595</v>
      </c>
      <c r="D834" s="33" t="s">
        <v>387</v>
      </c>
      <c r="E834" s="33"/>
      <c r="F834" s="33"/>
      <c r="G834" s="33"/>
      <c r="H834" s="30" t="s">
        <v>635</v>
      </c>
      <c r="I834" s="228" t="s">
        <v>1512</v>
      </c>
      <c r="J834" s="215" t="s">
        <v>1513</v>
      </c>
      <c r="K834" s="23"/>
      <c r="L834" s="23"/>
      <c r="M834" s="23">
        <v>1</v>
      </c>
      <c r="N834" s="23">
        <v>1</v>
      </c>
      <c r="O834" s="23"/>
      <c r="P834" s="23">
        <f>55607384+7994008</f>
        <v>63601392</v>
      </c>
      <c r="Q834" s="23"/>
      <c r="R834" s="23"/>
      <c r="S834" s="23"/>
      <c r="T834" s="23"/>
      <c r="U834" s="225">
        <v>28620626</v>
      </c>
      <c r="V834" s="23">
        <v>10</v>
      </c>
      <c r="W834" s="311">
        <v>43497</v>
      </c>
      <c r="X834" s="311"/>
      <c r="Y834" s="311"/>
      <c r="Z834" s="94">
        <v>34980766</v>
      </c>
      <c r="AA834" s="223">
        <v>20</v>
      </c>
      <c r="AB834" s="311">
        <v>43770</v>
      </c>
      <c r="AC834" s="577"/>
      <c r="AD834" s="223"/>
      <c r="AE834" s="158"/>
      <c r="AF834" s="158">
        <f t="shared" si="222"/>
        <v>0</v>
      </c>
      <c r="AG834" s="158"/>
      <c r="AH834" s="94">
        <v>0</v>
      </c>
      <c r="AI834" s="94">
        <v>0</v>
      </c>
      <c r="AJ834" s="94"/>
      <c r="AK834" s="158">
        <f t="shared" si="224"/>
        <v>0</v>
      </c>
      <c r="AL834" s="158">
        <v>877</v>
      </c>
      <c r="AM834" s="158">
        <v>20</v>
      </c>
      <c r="AN834" s="158"/>
      <c r="AO834" s="158">
        <v>1</v>
      </c>
      <c r="AP834" s="23"/>
      <c r="AQ834" s="23"/>
      <c r="AR834" s="23"/>
      <c r="AS834" s="23"/>
      <c r="AT834" s="24">
        <v>0.45</v>
      </c>
      <c r="AU834" s="58" t="s">
        <v>38</v>
      </c>
      <c r="AV834" s="386"/>
      <c r="AW834" s="23"/>
      <c r="AX834" s="23"/>
      <c r="AY834" s="23"/>
      <c r="AZ834" s="23"/>
      <c r="BA834" s="23"/>
      <c r="BB834" s="23"/>
      <c r="BC834" s="223"/>
      <c r="BD834" s="223"/>
      <c r="BE834" s="223"/>
      <c r="BF834" s="271"/>
      <c r="BG834" s="271">
        <v>2019</v>
      </c>
      <c r="BH834" s="430">
        <v>2020</v>
      </c>
      <c r="BI834" s="271" t="s">
        <v>2375</v>
      </c>
    </row>
    <row r="835" spans="1:61" s="204" customFormat="1" ht="29.25" customHeight="1">
      <c r="A835" s="243" t="s">
        <v>1</v>
      </c>
      <c r="B835" s="58" t="s">
        <v>320</v>
      </c>
      <c r="C835" s="266" t="s">
        <v>596</v>
      </c>
      <c r="D835" s="33" t="s">
        <v>387</v>
      </c>
      <c r="E835" s="33"/>
      <c r="F835" s="33"/>
      <c r="G835" s="33"/>
      <c r="H835" s="30" t="s">
        <v>635</v>
      </c>
      <c r="I835" s="228" t="s">
        <v>1512</v>
      </c>
      <c r="J835" s="215" t="s">
        <v>1513</v>
      </c>
      <c r="K835" s="23"/>
      <c r="L835" s="23"/>
      <c r="M835" s="23">
        <v>1</v>
      </c>
      <c r="N835" s="23"/>
      <c r="O835" s="23"/>
      <c r="P835" s="23">
        <v>25774340</v>
      </c>
      <c r="Q835" s="23"/>
      <c r="R835" s="23"/>
      <c r="S835" s="23"/>
      <c r="T835" s="23"/>
      <c r="U835" s="225">
        <v>25774340</v>
      </c>
      <c r="V835" s="23">
        <v>10</v>
      </c>
      <c r="W835" s="311">
        <v>43374</v>
      </c>
      <c r="X835" s="311"/>
      <c r="Y835" s="311"/>
      <c r="Z835" s="23"/>
      <c r="AA835" s="23"/>
      <c r="AB835" s="80"/>
      <c r="AC835" s="80"/>
      <c r="AD835" s="80"/>
      <c r="AE835" s="158"/>
      <c r="AF835" s="158">
        <f t="shared" si="222"/>
        <v>0</v>
      </c>
      <c r="AG835" s="158"/>
      <c r="AH835" s="94">
        <v>0</v>
      </c>
      <c r="AI835" s="94">
        <v>0</v>
      </c>
      <c r="AJ835" s="94"/>
      <c r="AK835" s="158">
        <f t="shared" si="223"/>
        <v>0</v>
      </c>
      <c r="AL835" s="158"/>
      <c r="AM835" s="158"/>
      <c r="AN835" s="158"/>
      <c r="AO835" s="158"/>
      <c r="AP835" s="158"/>
      <c r="AQ835" s="23"/>
      <c r="AR835" s="23"/>
      <c r="AS835" s="23"/>
      <c r="AT835" s="24">
        <v>1</v>
      </c>
      <c r="AU835" s="58" t="s">
        <v>646</v>
      </c>
      <c r="AV835" s="104" t="s">
        <v>1970</v>
      </c>
      <c r="AW835" s="23"/>
      <c r="AX835" s="23"/>
      <c r="AY835" s="23"/>
      <c r="AZ835" s="158">
        <v>1</v>
      </c>
      <c r="BA835" s="158"/>
      <c r="BB835" s="23"/>
      <c r="BC835" s="23"/>
      <c r="BD835" s="158">
        <v>1</v>
      </c>
      <c r="BE835" s="223"/>
      <c r="BF835" s="271">
        <v>2019</v>
      </c>
      <c r="BG835" s="271">
        <v>2019</v>
      </c>
      <c r="BH835" s="271"/>
      <c r="BI835" s="271" t="s">
        <v>2375</v>
      </c>
    </row>
    <row r="836" spans="1:61" s="204" customFormat="1" ht="18" customHeight="1">
      <c r="A836" s="160" t="s">
        <v>1</v>
      </c>
      <c r="B836" s="58" t="s">
        <v>320</v>
      </c>
      <c r="C836" s="65" t="s">
        <v>389</v>
      </c>
      <c r="D836" s="33" t="s">
        <v>387</v>
      </c>
      <c r="E836" s="33"/>
      <c r="F836" s="33"/>
      <c r="G836" s="33"/>
      <c r="H836" s="30" t="s">
        <v>636</v>
      </c>
      <c r="I836" s="228" t="s">
        <v>1514</v>
      </c>
      <c r="J836" s="215" t="s">
        <v>1515</v>
      </c>
      <c r="K836" s="23"/>
      <c r="L836" s="23"/>
      <c r="M836" s="23">
        <v>1</v>
      </c>
      <c r="N836" s="23">
        <v>1</v>
      </c>
      <c r="O836" s="23"/>
      <c r="P836" s="23">
        <v>41757702</v>
      </c>
      <c r="Q836" s="23"/>
      <c r="R836" s="23"/>
      <c r="S836" s="23"/>
      <c r="T836" s="23"/>
      <c r="U836" s="225"/>
      <c r="V836" s="23"/>
      <c r="W836" s="311"/>
      <c r="X836" s="311"/>
      <c r="Y836" s="311"/>
      <c r="Z836" s="94"/>
      <c r="AA836" s="223"/>
      <c r="AB836" s="223"/>
      <c r="AC836" s="223"/>
      <c r="AD836" s="223"/>
      <c r="AE836" s="158"/>
      <c r="AF836" s="158">
        <f t="shared" si="222"/>
        <v>41757702</v>
      </c>
      <c r="AG836" s="158"/>
      <c r="AH836" s="94">
        <v>0</v>
      </c>
      <c r="AI836" s="94">
        <v>41757702</v>
      </c>
      <c r="AJ836" s="94"/>
      <c r="AK836" s="602">
        <f>P836-R836-U836-Z836</f>
        <v>41757702</v>
      </c>
      <c r="AL836" s="72">
        <v>877</v>
      </c>
      <c r="AM836" s="72">
        <v>10</v>
      </c>
      <c r="AN836" s="158">
        <v>1</v>
      </c>
      <c r="AO836" s="158"/>
      <c r="AP836" s="23"/>
      <c r="AQ836" s="23"/>
      <c r="AR836" s="23"/>
      <c r="AS836" s="23"/>
      <c r="AT836" s="24">
        <v>0</v>
      </c>
      <c r="AU836" s="58" t="s">
        <v>521</v>
      </c>
      <c r="AV836" s="386"/>
      <c r="AW836" s="23"/>
      <c r="AX836" s="23"/>
      <c r="AY836" s="23"/>
      <c r="AZ836" s="23"/>
      <c r="BA836" s="23"/>
      <c r="BB836" s="23"/>
      <c r="BC836" s="223"/>
      <c r="BD836" s="223"/>
      <c r="BE836" s="223"/>
      <c r="BF836" s="271"/>
      <c r="BG836" s="271">
        <v>2019</v>
      </c>
      <c r="BH836" s="271">
        <v>2020</v>
      </c>
      <c r="BI836" s="271" t="s">
        <v>2375</v>
      </c>
    </row>
    <row r="837" spans="1:61" ht="18" customHeight="1">
      <c r="A837" s="160" t="s">
        <v>1</v>
      </c>
      <c r="B837" s="58" t="s">
        <v>320</v>
      </c>
      <c r="C837" s="65" t="s">
        <v>390</v>
      </c>
      <c r="D837" s="33" t="s">
        <v>387</v>
      </c>
      <c r="E837" s="33"/>
      <c r="F837" s="33"/>
      <c r="G837" s="33"/>
      <c r="H837" s="30" t="s">
        <v>636</v>
      </c>
      <c r="I837" s="228" t="s">
        <v>1514</v>
      </c>
      <c r="J837" s="215" t="s">
        <v>1515</v>
      </c>
      <c r="K837" s="23"/>
      <c r="L837" s="23">
        <v>1</v>
      </c>
      <c r="M837" s="23"/>
      <c r="N837" s="23"/>
      <c r="O837" s="23"/>
      <c r="P837" s="23">
        <v>46666623</v>
      </c>
      <c r="Q837" s="23"/>
      <c r="R837" s="23"/>
      <c r="S837" s="23"/>
      <c r="T837" s="23"/>
      <c r="U837" s="225">
        <v>20999980</v>
      </c>
      <c r="V837" s="23"/>
      <c r="W837" s="311"/>
      <c r="X837" s="311"/>
      <c r="Y837" s="311"/>
      <c r="Z837" s="94">
        <v>25666643</v>
      </c>
      <c r="AA837" s="23"/>
      <c r="AB837" s="265"/>
      <c r="AC837" s="265"/>
      <c r="AD837" s="265"/>
      <c r="AE837" s="158"/>
      <c r="AF837" s="158">
        <f t="shared" si="222"/>
        <v>0</v>
      </c>
      <c r="AG837" s="158"/>
      <c r="AH837" s="94">
        <v>0</v>
      </c>
      <c r="AI837" s="94">
        <v>0</v>
      </c>
      <c r="AJ837" s="94"/>
      <c r="AK837" s="158">
        <f t="shared" si="223"/>
        <v>0</v>
      </c>
      <c r="AL837" s="158"/>
      <c r="AM837" s="158"/>
      <c r="AN837" s="158"/>
      <c r="AO837" s="158"/>
      <c r="AP837" s="23"/>
      <c r="AQ837" s="23"/>
      <c r="AR837" s="23"/>
      <c r="AS837" s="23"/>
      <c r="AT837" s="24">
        <v>1</v>
      </c>
      <c r="AU837" s="58" t="s">
        <v>646</v>
      </c>
      <c r="AV837" s="388" t="s">
        <v>1859</v>
      </c>
      <c r="AW837" s="23"/>
      <c r="AX837" s="23"/>
      <c r="AY837" s="23"/>
      <c r="AZ837" s="23">
        <v>1</v>
      </c>
      <c r="BA837" s="23"/>
      <c r="BB837" s="23"/>
      <c r="BC837" s="223"/>
      <c r="BD837" s="223">
        <v>1</v>
      </c>
      <c r="BE837" s="223"/>
      <c r="BF837" s="270">
        <v>2019</v>
      </c>
      <c r="BG837" s="270">
        <v>2019</v>
      </c>
      <c r="BH837" s="271"/>
      <c r="BI837" s="271" t="s">
        <v>2375</v>
      </c>
    </row>
    <row r="838" spans="1:61" ht="15" customHeight="1">
      <c r="A838" s="160" t="s">
        <v>1</v>
      </c>
      <c r="B838" s="58" t="s">
        <v>320</v>
      </c>
      <c r="C838" s="65" t="s">
        <v>391</v>
      </c>
      <c r="D838" s="33" t="s">
        <v>387</v>
      </c>
      <c r="E838" s="33"/>
      <c r="F838" s="33"/>
      <c r="G838" s="33"/>
      <c r="H838" s="30" t="s">
        <v>636</v>
      </c>
      <c r="I838" s="30"/>
      <c r="J838" s="212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25">
        <v>52095011</v>
      </c>
      <c r="V838" s="23">
        <v>10</v>
      </c>
      <c r="W838" s="311">
        <v>43313</v>
      </c>
      <c r="X838" s="311"/>
      <c r="Y838" s="311"/>
      <c r="Z838" s="94"/>
      <c r="AA838" s="23"/>
      <c r="AB838" s="23"/>
      <c r="AC838" s="23"/>
      <c r="AD838" s="23"/>
      <c r="AE838" s="158"/>
      <c r="AF838" s="158"/>
      <c r="AG838" s="158"/>
      <c r="AH838" s="158"/>
      <c r="AI838" s="158"/>
      <c r="AJ838" s="158"/>
      <c r="AK838" s="158"/>
      <c r="AL838" s="158"/>
      <c r="AM838" s="158"/>
      <c r="AN838" s="158"/>
      <c r="AO838" s="158"/>
      <c r="AP838" s="23"/>
      <c r="AQ838" s="23"/>
      <c r="AR838" s="23"/>
      <c r="AS838" s="23"/>
      <c r="AT838" s="24">
        <v>1</v>
      </c>
      <c r="AU838" s="58" t="s">
        <v>646</v>
      </c>
      <c r="AV838" s="105"/>
      <c r="AW838" s="23"/>
      <c r="AX838" s="23"/>
      <c r="AY838" s="514">
        <v>1</v>
      </c>
      <c r="AZ838" s="23"/>
      <c r="BA838" s="23"/>
      <c r="BB838" s="23">
        <v>1</v>
      </c>
      <c r="BC838" s="223"/>
      <c r="BD838" s="223"/>
      <c r="BE838" s="223"/>
      <c r="BF838" s="270">
        <v>2018</v>
      </c>
      <c r="BG838" s="270"/>
      <c r="BH838" s="418"/>
      <c r="BI838" s="682" t="s">
        <v>2376</v>
      </c>
    </row>
    <row r="839" spans="1:61" ht="18" customHeight="1">
      <c r="A839" s="230" t="s">
        <v>1</v>
      </c>
      <c r="B839" s="58" t="s">
        <v>320</v>
      </c>
      <c r="C839" s="240" t="s">
        <v>392</v>
      </c>
      <c r="D839" s="33" t="s">
        <v>387</v>
      </c>
      <c r="E839" s="33"/>
      <c r="F839" s="33"/>
      <c r="G839" s="33"/>
      <c r="H839" s="30" t="s">
        <v>636</v>
      </c>
      <c r="I839" s="228" t="s">
        <v>1514</v>
      </c>
      <c r="J839" s="215" t="s">
        <v>1515</v>
      </c>
      <c r="K839" s="23"/>
      <c r="L839" s="23"/>
      <c r="M839" s="23">
        <v>1</v>
      </c>
      <c r="N839" s="23"/>
      <c r="O839" s="23"/>
      <c r="P839" s="23">
        <v>52095011</v>
      </c>
      <c r="Q839" s="23"/>
      <c r="R839" s="23"/>
      <c r="S839" s="23"/>
      <c r="T839" s="23"/>
      <c r="U839" s="225">
        <v>23436823</v>
      </c>
      <c r="V839" s="23"/>
      <c r="W839" s="311"/>
      <c r="X839" s="311"/>
      <c r="Y839" s="311"/>
      <c r="Z839" s="94">
        <v>28658188</v>
      </c>
      <c r="AA839" s="23"/>
      <c r="AB839" s="57"/>
      <c r="AC839" s="57"/>
      <c r="AD839" s="57"/>
      <c r="AE839" s="158"/>
      <c r="AF839" s="158">
        <f>P839-U839-Z839</f>
        <v>0</v>
      </c>
      <c r="AG839" s="158"/>
      <c r="AH839" s="94">
        <v>0</v>
      </c>
      <c r="AI839" s="94">
        <v>0</v>
      </c>
      <c r="AJ839" s="94"/>
      <c r="AK839" s="158">
        <f t="shared" ref="AK839" si="225">AF839+AH839</f>
        <v>0</v>
      </c>
      <c r="AL839" s="158"/>
      <c r="AM839" s="158"/>
      <c r="AN839" s="158"/>
      <c r="AO839" s="158"/>
      <c r="AP839" s="23"/>
      <c r="AQ839" s="23"/>
      <c r="AR839" s="23"/>
      <c r="AS839" s="23"/>
      <c r="AT839" s="24">
        <v>1</v>
      </c>
      <c r="AU839" s="58" t="s">
        <v>646</v>
      </c>
      <c r="AV839" s="388" t="s">
        <v>1860</v>
      </c>
      <c r="AW839" s="23"/>
      <c r="AX839" s="23"/>
      <c r="AY839" s="23"/>
      <c r="AZ839" s="23">
        <v>1</v>
      </c>
      <c r="BA839" s="23"/>
      <c r="BB839" s="23"/>
      <c r="BC839" s="223"/>
      <c r="BD839" s="223">
        <v>1</v>
      </c>
      <c r="BE839" s="223"/>
      <c r="BF839" s="270">
        <v>2019</v>
      </c>
      <c r="BG839" s="270">
        <v>2019</v>
      </c>
      <c r="BH839" s="271"/>
      <c r="BI839" s="271" t="s">
        <v>2375</v>
      </c>
    </row>
    <row r="840" spans="1:61" s="204" customFormat="1" ht="18" customHeight="1">
      <c r="A840" s="160" t="s">
        <v>1</v>
      </c>
      <c r="B840" s="58" t="s">
        <v>320</v>
      </c>
      <c r="C840" s="65" t="s">
        <v>393</v>
      </c>
      <c r="D840" s="33" t="s">
        <v>387</v>
      </c>
      <c r="E840" s="33"/>
      <c r="F840" s="33"/>
      <c r="G840" s="33"/>
      <c r="H840" s="30" t="s">
        <v>636</v>
      </c>
      <c r="I840" s="228" t="s">
        <v>1770</v>
      </c>
      <c r="J840" s="215" t="s">
        <v>1771</v>
      </c>
      <c r="K840" s="23"/>
      <c r="L840" s="23"/>
      <c r="M840" s="23">
        <v>1</v>
      </c>
      <c r="N840" s="23">
        <v>1</v>
      </c>
      <c r="O840" s="23"/>
      <c r="P840" s="23">
        <f>55860000+7741392</f>
        <v>63601392</v>
      </c>
      <c r="Q840" s="23"/>
      <c r="R840" s="1"/>
      <c r="S840" s="23"/>
      <c r="T840" s="23"/>
      <c r="U840" s="225">
        <v>28620626</v>
      </c>
      <c r="V840" s="23">
        <v>10</v>
      </c>
      <c r="W840" s="311">
        <v>43497</v>
      </c>
      <c r="X840" s="311"/>
      <c r="Y840" s="311"/>
      <c r="Z840" s="94">
        <f>27239374+7741392</f>
        <v>34980766</v>
      </c>
      <c r="AA840" s="223">
        <v>20</v>
      </c>
      <c r="AB840" s="311">
        <v>43770</v>
      </c>
      <c r="AC840" s="577"/>
      <c r="AD840" s="223"/>
      <c r="AE840" s="158"/>
      <c r="AF840" s="158">
        <f>P840-U840-Z840</f>
        <v>0</v>
      </c>
      <c r="AG840" s="158"/>
      <c r="AH840" s="94">
        <v>0</v>
      </c>
      <c r="AI840" s="94">
        <v>0</v>
      </c>
      <c r="AJ840" s="94"/>
      <c r="AK840" s="158">
        <f>P840-R840-U840-Z840</f>
        <v>0</v>
      </c>
      <c r="AL840" s="158">
        <v>877</v>
      </c>
      <c r="AM840" s="158">
        <v>20</v>
      </c>
      <c r="AN840" s="158"/>
      <c r="AO840" s="158">
        <v>1</v>
      </c>
      <c r="AP840" s="23"/>
      <c r="AQ840" s="23"/>
      <c r="AR840" s="23"/>
      <c r="AS840" s="23"/>
      <c r="AT840" s="24">
        <v>0</v>
      </c>
      <c r="AU840" s="58" t="s">
        <v>38</v>
      </c>
      <c r="AV840" s="386" t="s">
        <v>1872</v>
      </c>
      <c r="AW840" s="23"/>
      <c r="AX840" s="23"/>
      <c r="AY840" s="23"/>
      <c r="AZ840" s="23"/>
      <c r="BA840" s="23"/>
      <c r="BB840" s="23"/>
      <c r="BC840" s="223"/>
      <c r="BD840" s="223"/>
      <c r="BE840" s="223"/>
      <c r="BF840" s="271"/>
      <c r="BG840" s="271">
        <v>2019</v>
      </c>
      <c r="BH840" s="430">
        <v>2020</v>
      </c>
      <c r="BI840" s="271" t="s">
        <v>2375</v>
      </c>
    </row>
    <row r="841" spans="1:61" ht="19.5" customHeight="1">
      <c r="A841" s="248" t="s">
        <v>1</v>
      </c>
      <c r="B841" s="58" t="s">
        <v>320</v>
      </c>
      <c r="C841" s="334" t="s">
        <v>394</v>
      </c>
      <c r="D841" s="33" t="s">
        <v>438</v>
      </c>
      <c r="E841" s="33"/>
      <c r="F841" s="33"/>
      <c r="G841" s="33"/>
      <c r="H841" s="30" t="s">
        <v>636</v>
      </c>
      <c r="I841" s="30"/>
      <c r="J841" s="212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25"/>
      <c r="V841" s="23"/>
      <c r="W841" s="311"/>
      <c r="X841" s="311"/>
      <c r="Y841" s="311"/>
      <c r="Z841" s="94"/>
      <c r="AA841" s="23"/>
      <c r="AB841" s="265"/>
      <c r="AC841" s="265"/>
      <c r="AD841" s="265"/>
      <c r="AE841" s="158"/>
      <c r="AF841" s="158"/>
      <c r="AG841" s="158"/>
      <c r="AH841" s="158"/>
      <c r="AI841" s="158"/>
      <c r="AJ841" s="158"/>
      <c r="AK841" s="158"/>
      <c r="AL841" s="158"/>
      <c r="AM841" s="158"/>
      <c r="AN841" s="158"/>
      <c r="AO841" s="158"/>
      <c r="AP841" s="23"/>
      <c r="AQ841" s="23"/>
      <c r="AR841" s="23"/>
      <c r="AS841" s="23"/>
      <c r="AT841" s="24">
        <v>1</v>
      </c>
      <c r="AU841" s="58" t="s">
        <v>646</v>
      </c>
      <c r="AV841" s="105"/>
      <c r="AW841" s="23"/>
      <c r="AX841" s="23"/>
      <c r="AY841" s="514">
        <v>1</v>
      </c>
      <c r="AZ841" s="23"/>
      <c r="BA841" s="23"/>
      <c r="BB841" s="23">
        <v>1</v>
      </c>
      <c r="BC841" s="223"/>
      <c r="BD841" s="223"/>
      <c r="BE841" s="223"/>
      <c r="BF841" s="270">
        <v>2018</v>
      </c>
      <c r="BG841" s="270"/>
      <c r="BH841" s="418"/>
      <c r="BI841" s="682" t="s">
        <v>2376</v>
      </c>
    </row>
    <row r="842" spans="1:61" ht="18" customHeight="1">
      <c r="A842" s="160" t="s">
        <v>1</v>
      </c>
      <c r="B842" s="58" t="s">
        <v>320</v>
      </c>
      <c r="C842" s="65" t="s">
        <v>395</v>
      </c>
      <c r="D842" s="33" t="s">
        <v>438</v>
      </c>
      <c r="E842" s="33"/>
      <c r="F842" s="33"/>
      <c r="G842" s="33"/>
      <c r="H842" s="30" t="s">
        <v>636</v>
      </c>
      <c r="I842" s="228" t="s">
        <v>1695</v>
      </c>
      <c r="J842" s="215" t="s">
        <v>1658</v>
      </c>
      <c r="K842" s="23"/>
      <c r="L842" s="23">
        <v>1</v>
      </c>
      <c r="M842" s="23"/>
      <c r="N842" s="23"/>
      <c r="O842" s="23"/>
      <c r="P842" s="23">
        <f>61288248+7292852</f>
        <v>68581100</v>
      </c>
      <c r="Q842" s="23"/>
      <c r="R842" s="23"/>
      <c r="S842" s="23"/>
      <c r="T842" s="23"/>
      <c r="U842" s="225">
        <f>61288248+7292852</f>
        <v>68581100</v>
      </c>
      <c r="V842" s="158" t="s">
        <v>1657</v>
      </c>
      <c r="W842" s="311">
        <v>43586</v>
      </c>
      <c r="X842" s="311"/>
      <c r="Y842" s="311"/>
      <c r="Z842" s="94"/>
      <c r="AA842" s="23"/>
      <c r="AB842" s="23"/>
      <c r="AC842" s="23"/>
      <c r="AD842" s="23"/>
      <c r="AE842" s="158"/>
      <c r="AF842" s="158">
        <f>P842-U842-Z842</f>
        <v>0</v>
      </c>
      <c r="AG842" s="158"/>
      <c r="AH842" s="94">
        <v>0</v>
      </c>
      <c r="AI842" s="94">
        <v>0</v>
      </c>
      <c r="AJ842" s="94"/>
      <c r="AK842" s="158">
        <f t="shared" ref="AK842" si="226">AF842+AH842</f>
        <v>0</v>
      </c>
      <c r="AL842" s="158">
        <v>877</v>
      </c>
      <c r="AM842" s="158">
        <v>10</v>
      </c>
      <c r="AN842" s="158"/>
      <c r="AO842" s="158"/>
      <c r="AP842" s="23"/>
      <c r="AQ842" s="23"/>
      <c r="AR842" s="23"/>
      <c r="AS842" s="23"/>
      <c r="AT842" s="24">
        <v>1</v>
      </c>
      <c r="AU842" s="58" t="s">
        <v>646</v>
      </c>
      <c r="AV842" s="386" t="s">
        <v>1404</v>
      </c>
      <c r="AW842" s="23"/>
      <c r="AX842" s="23"/>
      <c r="AY842" s="23"/>
      <c r="AZ842" s="23">
        <v>1</v>
      </c>
      <c r="BA842" s="23"/>
      <c r="BB842" s="23"/>
      <c r="BC842" s="223"/>
      <c r="BD842" s="223">
        <v>1</v>
      </c>
      <c r="BE842" s="223"/>
      <c r="BF842" s="270">
        <v>2019</v>
      </c>
      <c r="BG842" s="270">
        <v>2019</v>
      </c>
      <c r="BH842" s="271"/>
      <c r="BI842" s="271" t="s">
        <v>2375</v>
      </c>
    </row>
    <row r="843" spans="1:61" s="204" customFormat="1" ht="18" customHeight="1">
      <c r="A843" s="160" t="s">
        <v>1</v>
      </c>
      <c r="B843" s="58" t="s">
        <v>320</v>
      </c>
      <c r="C843" s="65" t="s">
        <v>396</v>
      </c>
      <c r="D843" s="33" t="s">
        <v>438</v>
      </c>
      <c r="E843" s="33"/>
      <c r="F843" s="33"/>
      <c r="G843" s="33"/>
      <c r="H843" s="30" t="s">
        <v>636</v>
      </c>
      <c r="I843" s="228" t="s">
        <v>1517</v>
      </c>
      <c r="J843" s="215" t="s">
        <v>1516</v>
      </c>
      <c r="K843" s="23"/>
      <c r="L843" s="23"/>
      <c r="M843" s="23">
        <v>1</v>
      </c>
      <c r="N843" s="23">
        <v>1</v>
      </c>
      <c r="O843" s="23"/>
      <c r="P843" s="23">
        <v>61288248</v>
      </c>
      <c r="Q843" s="23"/>
      <c r="R843" s="23"/>
      <c r="S843" s="23"/>
      <c r="T843" s="23"/>
      <c r="U843" s="225"/>
      <c r="V843" s="23"/>
      <c r="W843" s="311"/>
      <c r="X843" s="311"/>
      <c r="Y843" s="311"/>
      <c r="Z843" s="94"/>
      <c r="AA843" s="223"/>
      <c r="AB843" s="223"/>
      <c r="AC843" s="223"/>
      <c r="AD843" s="223"/>
      <c r="AE843" s="158"/>
      <c r="AF843" s="158">
        <f>P843-U843-Z843</f>
        <v>61288248</v>
      </c>
      <c r="AG843" s="158"/>
      <c r="AH843" s="94">
        <v>0</v>
      </c>
      <c r="AI843" s="94">
        <v>61288248</v>
      </c>
      <c r="AJ843" s="94"/>
      <c r="AK843" s="602">
        <f t="shared" ref="AK843:AK845" si="227">P843-R843-U843-Z843</f>
        <v>61288248</v>
      </c>
      <c r="AL843" s="72">
        <v>877</v>
      </c>
      <c r="AM843" s="72">
        <v>10</v>
      </c>
      <c r="AN843" s="158">
        <v>1</v>
      </c>
      <c r="AO843" s="158"/>
      <c r="AP843" s="23"/>
      <c r="AQ843" s="23"/>
      <c r="AR843" s="23"/>
      <c r="AS843" s="23"/>
      <c r="AT843" s="24">
        <v>0</v>
      </c>
      <c r="AU843" s="58" t="s">
        <v>521</v>
      </c>
      <c r="AV843" s="386"/>
      <c r="AW843" s="23"/>
      <c r="AX843" s="23"/>
      <c r="AY843" s="23"/>
      <c r="AZ843" s="23"/>
      <c r="BA843" s="23"/>
      <c r="BB843" s="23"/>
      <c r="BC843" s="223"/>
      <c r="BD843" s="223"/>
      <c r="BE843" s="223"/>
      <c r="BF843" s="271"/>
      <c r="BG843" s="271">
        <v>2019</v>
      </c>
      <c r="BH843" s="271">
        <v>2020</v>
      </c>
      <c r="BI843" s="271" t="s">
        <v>2375</v>
      </c>
    </row>
    <row r="844" spans="1:61" s="204" customFormat="1" ht="18" customHeight="1">
      <c r="A844" s="160" t="s">
        <v>1</v>
      </c>
      <c r="B844" s="58" t="s">
        <v>320</v>
      </c>
      <c r="C844" s="65" t="s">
        <v>397</v>
      </c>
      <c r="D844" s="33" t="s">
        <v>438</v>
      </c>
      <c r="E844" s="33"/>
      <c r="F844" s="33"/>
      <c r="G844" s="33"/>
      <c r="H844" s="30" t="s">
        <v>636</v>
      </c>
      <c r="I844" s="228" t="s">
        <v>1517</v>
      </c>
      <c r="J844" s="215" t="s">
        <v>1516</v>
      </c>
      <c r="K844" s="23"/>
      <c r="L844" s="23"/>
      <c r="M844" s="23">
        <v>1</v>
      </c>
      <c r="N844" s="23">
        <v>1</v>
      </c>
      <c r="O844" s="23"/>
      <c r="P844" s="23">
        <v>61288248</v>
      </c>
      <c r="Q844" s="23"/>
      <c r="R844" s="23"/>
      <c r="S844" s="23"/>
      <c r="T844" s="23"/>
      <c r="U844" s="225"/>
      <c r="V844" s="23"/>
      <c r="W844" s="311"/>
      <c r="X844" s="311"/>
      <c r="Y844" s="311"/>
      <c r="Z844" s="94"/>
      <c r="AA844" s="223"/>
      <c r="AB844" s="223"/>
      <c r="AC844" s="223"/>
      <c r="AD844" s="223"/>
      <c r="AE844" s="158"/>
      <c r="AF844" s="158">
        <f>P844-U844-Z844</f>
        <v>61288248</v>
      </c>
      <c r="AG844" s="158"/>
      <c r="AH844" s="94">
        <v>0</v>
      </c>
      <c r="AI844" s="94">
        <v>61288248</v>
      </c>
      <c r="AJ844" s="94"/>
      <c r="AK844" s="602">
        <f t="shared" si="227"/>
        <v>61288248</v>
      </c>
      <c r="AL844" s="72">
        <v>877</v>
      </c>
      <c r="AM844" s="72">
        <v>10</v>
      </c>
      <c r="AN844" s="158">
        <v>1</v>
      </c>
      <c r="AO844" s="158"/>
      <c r="AP844" s="23"/>
      <c r="AQ844" s="23"/>
      <c r="AR844" s="23"/>
      <c r="AS844" s="23"/>
      <c r="AT844" s="24">
        <v>0</v>
      </c>
      <c r="AU844" s="58" t="s">
        <v>521</v>
      </c>
      <c r="AV844" s="386"/>
      <c r="AW844" s="23"/>
      <c r="AX844" s="23"/>
      <c r="AY844" s="23"/>
      <c r="AZ844" s="23"/>
      <c r="BA844" s="23"/>
      <c r="BB844" s="23"/>
      <c r="BC844" s="223"/>
      <c r="BD844" s="223"/>
      <c r="BE844" s="223"/>
      <c r="BF844" s="271"/>
      <c r="BG844" s="271">
        <v>2019</v>
      </c>
      <c r="BH844" s="271">
        <v>2020</v>
      </c>
      <c r="BI844" s="271" t="s">
        <v>2375</v>
      </c>
    </row>
    <row r="845" spans="1:61" s="204" customFormat="1" ht="18" customHeight="1">
      <c r="A845" s="160" t="s">
        <v>1</v>
      </c>
      <c r="B845" s="58" t="s">
        <v>320</v>
      </c>
      <c r="C845" s="65" t="s">
        <v>398</v>
      </c>
      <c r="D845" s="33" t="s">
        <v>438</v>
      </c>
      <c r="E845" s="33"/>
      <c r="F845" s="33"/>
      <c r="G845" s="33"/>
      <c r="H845" s="30" t="s">
        <v>636</v>
      </c>
      <c r="I845" s="228" t="s">
        <v>1517</v>
      </c>
      <c r="J845" s="215" t="s">
        <v>1516</v>
      </c>
      <c r="K845" s="23"/>
      <c r="L845" s="23"/>
      <c r="M845" s="23">
        <v>1</v>
      </c>
      <c r="N845" s="23"/>
      <c r="O845" s="23">
        <v>1</v>
      </c>
      <c r="P845" s="23">
        <v>61288248</v>
      </c>
      <c r="Q845" s="23"/>
      <c r="R845" s="23"/>
      <c r="S845" s="23"/>
      <c r="T845" s="23"/>
      <c r="U845" s="225"/>
      <c r="V845" s="23"/>
      <c r="W845" s="311"/>
      <c r="X845" s="311"/>
      <c r="Y845" s="311"/>
      <c r="Z845" s="94"/>
      <c r="AA845" s="223"/>
      <c r="AB845" s="223"/>
      <c r="AC845" s="223"/>
      <c r="AD845" s="223"/>
      <c r="AE845" s="158"/>
      <c r="AF845" s="158">
        <f>P845-U845-Z845</f>
        <v>61288248</v>
      </c>
      <c r="AG845" s="158"/>
      <c r="AH845" s="94">
        <v>0</v>
      </c>
      <c r="AI845" s="94">
        <v>61288248</v>
      </c>
      <c r="AJ845" s="94"/>
      <c r="AK845" s="602">
        <f t="shared" si="227"/>
        <v>61288248</v>
      </c>
      <c r="AL845" s="72">
        <v>877</v>
      </c>
      <c r="AM845" s="72">
        <v>10</v>
      </c>
      <c r="AN845" s="158">
        <v>1</v>
      </c>
      <c r="AO845" s="158"/>
      <c r="AP845" s="23"/>
      <c r="AQ845" s="23"/>
      <c r="AR845" s="23"/>
      <c r="AS845" s="23"/>
      <c r="AT845" s="24">
        <v>0</v>
      </c>
      <c r="AU845" s="58" t="s">
        <v>521</v>
      </c>
      <c r="AV845" s="386"/>
      <c r="AW845" s="23"/>
      <c r="AX845" s="23"/>
      <c r="AY845" s="23"/>
      <c r="AZ845" s="23"/>
      <c r="BA845" s="23"/>
      <c r="BB845" s="23"/>
      <c r="BC845" s="223"/>
      <c r="BD845" s="223"/>
      <c r="BE845" s="223"/>
      <c r="BF845" s="271"/>
      <c r="BG845" s="271">
        <v>2019</v>
      </c>
      <c r="BH845" s="271">
        <v>2020</v>
      </c>
      <c r="BI845" s="271" t="s">
        <v>2375</v>
      </c>
    </row>
    <row r="846" spans="1:61" ht="15" customHeight="1">
      <c r="A846" s="248" t="s">
        <v>1</v>
      </c>
      <c r="B846" s="58" t="s">
        <v>320</v>
      </c>
      <c r="C846" s="263" t="s">
        <v>399</v>
      </c>
      <c r="D846" s="33" t="s">
        <v>438</v>
      </c>
      <c r="E846" s="33"/>
      <c r="F846" s="33"/>
      <c r="G846" s="33"/>
      <c r="H846" s="30" t="s">
        <v>636</v>
      </c>
      <c r="I846" s="30"/>
      <c r="J846" s="212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25"/>
      <c r="V846" s="23"/>
      <c r="W846" s="311"/>
      <c r="X846" s="311"/>
      <c r="Y846" s="311"/>
      <c r="Z846" s="94"/>
      <c r="AA846" s="23"/>
      <c r="AB846" s="265"/>
      <c r="AC846" s="265"/>
      <c r="AD846" s="265"/>
      <c r="AE846" s="158"/>
      <c r="AF846" s="158"/>
      <c r="AG846" s="158"/>
      <c r="AH846" s="158"/>
      <c r="AI846" s="158"/>
      <c r="AJ846" s="158"/>
      <c r="AK846" s="158"/>
      <c r="AL846" s="158"/>
      <c r="AM846" s="158"/>
      <c r="AN846" s="158"/>
      <c r="AO846" s="158"/>
      <c r="AP846" s="23"/>
      <c r="AQ846" s="23"/>
      <c r="AR846" s="23"/>
      <c r="AS846" s="23"/>
      <c r="AT846" s="24">
        <v>1</v>
      </c>
      <c r="AU846" s="58" t="s">
        <v>646</v>
      </c>
      <c r="AV846" s="105"/>
      <c r="AW846" s="23"/>
      <c r="AX846" s="23"/>
      <c r="AY846" s="514">
        <v>1</v>
      </c>
      <c r="AZ846" s="23"/>
      <c r="BA846" s="23"/>
      <c r="BB846" s="23">
        <v>1</v>
      </c>
      <c r="BC846" s="223"/>
      <c r="BD846" s="223"/>
      <c r="BE846" s="223"/>
      <c r="BF846" s="270">
        <v>2018</v>
      </c>
      <c r="BG846" s="270"/>
      <c r="BH846" s="418"/>
      <c r="BI846" s="682" t="s">
        <v>2376</v>
      </c>
    </row>
    <row r="847" spans="1:61" ht="18" customHeight="1">
      <c r="A847" s="230" t="s">
        <v>1</v>
      </c>
      <c r="B847" s="58" t="s">
        <v>320</v>
      </c>
      <c r="C847" s="240" t="s">
        <v>400</v>
      </c>
      <c r="D847" s="33" t="s">
        <v>438</v>
      </c>
      <c r="E847" s="33"/>
      <c r="F847" s="33"/>
      <c r="G847" s="33"/>
      <c r="H847" s="30" t="s">
        <v>636</v>
      </c>
      <c r="I847" s="228" t="s">
        <v>1479</v>
      </c>
      <c r="J847" s="215" t="s">
        <v>1478</v>
      </c>
      <c r="K847" s="23"/>
      <c r="L847" s="23">
        <v>1</v>
      </c>
      <c r="M847" s="23"/>
      <c r="N847" s="23"/>
      <c r="O847" s="23"/>
      <c r="P847" s="23">
        <f>69314090+10963266</f>
        <v>80277356</v>
      </c>
      <c r="Q847" s="32"/>
      <c r="R847" s="274"/>
      <c r="S847" s="23"/>
      <c r="T847" s="23"/>
      <c r="U847" s="225">
        <f>69314090+10963266</f>
        <v>80277356</v>
      </c>
      <c r="V847" s="23" t="s">
        <v>1657</v>
      </c>
      <c r="W847" s="311">
        <v>43617</v>
      </c>
      <c r="X847" s="311"/>
      <c r="Y847" s="311"/>
      <c r="Z847" s="94"/>
      <c r="AA847" s="23"/>
      <c r="AB847" s="57"/>
      <c r="AC847" s="57"/>
      <c r="AD847" s="57"/>
      <c r="AE847" s="158"/>
      <c r="AF847" s="158">
        <f>P847-U847-Z847</f>
        <v>0</v>
      </c>
      <c r="AG847" s="158"/>
      <c r="AH847" s="94">
        <v>0</v>
      </c>
      <c r="AI847" s="94">
        <v>0</v>
      </c>
      <c r="AJ847" s="94"/>
      <c r="AK847" s="158">
        <f t="shared" ref="AK847:AK848" si="228">AF847+AH847</f>
        <v>0</v>
      </c>
      <c r="AL847" s="158">
        <v>877</v>
      </c>
      <c r="AM847" s="158" t="s">
        <v>1657</v>
      </c>
      <c r="AN847" s="158"/>
      <c r="AO847" s="158"/>
      <c r="AP847" s="23"/>
      <c r="AQ847" s="23"/>
      <c r="AR847" s="23"/>
      <c r="AS847" s="23"/>
      <c r="AT847" s="24">
        <v>1</v>
      </c>
      <c r="AU847" s="58" t="s">
        <v>646</v>
      </c>
      <c r="AV847" s="388" t="s">
        <v>1711</v>
      </c>
      <c r="AW847" s="23"/>
      <c r="AX847" s="23"/>
      <c r="AY847" s="23"/>
      <c r="AZ847" s="23">
        <v>1</v>
      </c>
      <c r="BA847" s="23"/>
      <c r="BB847" s="23"/>
      <c r="BC847" s="23"/>
      <c r="BD847" s="23">
        <v>1</v>
      </c>
      <c r="BE847" s="23"/>
      <c r="BF847" s="270">
        <v>2019</v>
      </c>
      <c r="BG847" s="270">
        <v>2019</v>
      </c>
      <c r="BH847" s="271"/>
      <c r="BI847" s="271" t="s">
        <v>2375</v>
      </c>
    </row>
    <row r="848" spans="1:61" ht="18" customHeight="1">
      <c r="A848" s="160" t="s">
        <v>1</v>
      </c>
      <c r="B848" s="58" t="s">
        <v>320</v>
      </c>
      <c r="C848" s="65" t="s">
        <v>401</v>
      </c>
      <c r="D848" s="33" t="s">
        <v>438</v>
      </c>
      <c r="E848" s="33"/>
      <c r="F848" s="33"/>
      <c r="G848" s="33"/>
      <c r="H848" s="30" t="s">
        <v>636</v>
      </c>
      <c r="I848" s="228" t="s">
        <v>1517</v>
      </c>
      <c r="J848" s="215" t="s">
        <v>1516</v>
      </c>
      <c r="K848" s="23"/>
      <c r="L848" s="23">
        <v>1</v>
      </c>
      <c r="M848" s="23"/>
      <c r="N848" s="23"/>
      <c r="O848" s="23"/>
      <c r="P848" s="23">
        <f>69314090+8248584</f>
        <v>77562674</v>
      </c>
      <c r="Q848" s="23"/>
      <c r="R848" s="23"/>
      <c r="S848" s="23"/>
      <c r="T848" s="23"/>
      <c r="U848" s="225">
        <f>69314090+8248584</f>
        <v>77562674</v>
      </c>
      <c r="V848" s="23">
        <v>20</v>
      </c>
      <c r="W848" s="311">
        <v>43709</v>
      </c>
      <c r="X848" s="311"/>
      <c r="Y848" s="311"/>
      <c r="Z848" s="94"/>
      <c r="AA848" s="223"/>
      <c r="AB848" s="223"/>
      <c r="AC848" s="223"/>
      <c r="AD848" s="223"/>
      <c r="AE848" s="158"/>
      <c r="AF848" s="158">
        <f>P848-U848-Z848</f>
        <v>0</v>
      </c>
      <c r="AG848" s="158"/>
      <c r="AH848" s="94">
        <v>0</v>
      </c>
      <c r="AI848" s="94">
        <v>0</v>
      </c>
      <c r="AJ848" s="94"/>
      <c r="AK848" s="158">
        <f t="shared" si="228"/>
        <v>0</v>
      </c>
      <c r="AL848" s="158">
        <v>877</v>
      </c>
      <c r="AM848" s="158">
        <v>20</v>
      </c>
      <c r="AN848" s="158"/>
      <c r="AO848" s="158"/>
      <c r="AP848" s="23"/>
      <c r="AQ848" s="23"/>
      <c r="AR848" s="23"/>
      <c r="AS848" s="23"/>
      <c r="AT848" s="24">
        <v>1</v>
      </c>
      <c r="AU848" s="58" t="s">
        <v>646</v>
      </c>
      <c r="AV848" s="386" t="s">
        <v>1799</v>
      </c>
      <c r="AW848" s="23"/>
      <c r="AX848" s="23"/>
      <c r="AY848" s="23"/>
      <c r="AZ848" s="23">
        <v>1</v>
      </c>
      <c r="BA848" s="23"/>
      <c r="BB848" s="23"/>
      <c r="BC848" s="223"/>
      <c r="BD848" s="223">
        <v>1</v>
      </c>
      <c r="BE848" s="223"/>
      <c r="BF848" s="270">
        <v>2019</v>
      </c>
      <c r="BG848" s="270">
        <v>2019</v>
      </c>
      <c r="BH848" s="271"/>
      <c r="BI848" s="271" t="s">
        <v>2375</v>
      </c>
    </row>
    <row r="849" spans="1:61" ht="15" customHeight="1">
      <c r="A849" s="243" t="s">
        <v>1</v>
      </c>
      <c r="B849" s="58" t="s">
        <v>320</v>
      </c>
      <c r="C849" s="266" t="s">
        <v>402</v>
      </c>
      <c r="D849" s="33" t="s">
        <v>438</v>
      </c>
      <c r="E849" s="33"/>
      <c r="F849" s="33"/>
      <c r="G849" s="33"/>
      <c r="H849" s="30" t="s">
        <v>636</v>
      </c>
      <c r="I849" s="30"/>
      <c r="J849" s="212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25"/>
      <c r="V849" s="23"/>
      <c r="W849" s="311"/>
      <c r="X849" s="311"/>
      <c r="Y849" s="311"/>
      <c r="Z849" s="94"/>
      <c r="AA849" s="23"/>
      <c r="AB849" s="80"/>
      <c r="AC849" s="80"/>
      <c r="AD849" s="80"/>
      <c r="AE849" s="158"/>
      <c r="AF849" s="158"/>
      <c r="AG849" s="158"/>
      <c r="AH849" s="158"/>
      <c r="AI849" s="158"/>
      <c r="AJ849" s="158"/>
      <c r="AK849" s="158"/>
      <c r="AL849" s="158"/>
      <c r="AM849" s="158"/>
      <c r="AN849" s="158"/>
      <c r="AO849" s="158"/>
      <c r="AP849" s="23"/>
      <c r="AQ849" s="23"/>
      <c r="AR849" s="23"/>
      <c r="AS849" s="23"/>
      <c r="AT849" s="24">
        <v>1</v>
      </c>
      <c r="AU849" s="58" t="s">
        <v>646</v>
      </c>
      <c r="AV849" s="105"/>
      <c r="AW849" s="23"/>
      <c r="AX849" s="23"/>
      <c r="AY849" s="514">
        <v>1</v>
      </c>
      <c r="AZ849" s="23"/>
      <c r="BA849" s="23"/>
      <c r="BB849" s="23">
        <v>1</v>
      </c>
      <c r="BC849" s="223"/>
      <c r="BD849" s="223"/>
      <c r="BE849" s="223"/>
      <c r="BF849" s="270">
        <v>2018</v>
      </c>
      <c r="BG849" s="270"/>
      <c r="BH849" s="418"/>
      <c r="BI849" s="682" t="s">
        <v>2376</v>
      </c>
    </row>
    <row r="850" spans="1:61" s="204" customFormat="1" ht="18" customHeight="1">
      <c r="A850" s="160" t="s">
        <v>1</v>
      </c>
      <c r="B850" s="58" t="s">
        <v>320</v>
      </c>
      <c r="C850" s="65" t="s">
        <v>403</v>
      </c>
      <c r="D850" s="33" t="s">
        <v>438</v>
      </c>
      <c r="E850" s="33"/>
      <c r="F850" s="33"/>
      <c r="G850" s="33"/>
      <c r="H850" s="30" t="s">
        <v>636</v>
      </c>
      <c r="I850" s="228" t="s">
        <v>1517</v>
      </c>
      <c r="J850" s="215" t="s">
        <v>1516</v>
      </c>
      <c r="K850" s="23"/>
      <c r="L850" s="23"/>
      <c r="M850" s="23">
        <v>1</v>
      </c>
      <c r="N850" s="23"/>
      <c r="O850" s="23">
        <v>1</v>
      </c>
      <c r="P850" s="23">
        <v>69314090</v>
      </c>
      <c r="Q850" s="23"/>
      <c r="R850" s="23"/>
      <c r="S850" s="23"/>
      <c r="T850" s="23"/>
      <c r="U850" s="225"/>
      <c r="V850" s="23"/>
      <c r="W850" s="311"/>
      <c r="X850" s="311"/>
      <c r="Y850" s="311"/>
      <c r="Z850" s="94"/>
      <c r="AA850" s="223"/>
      <c r="AB850" s="223"/>
      <c r="AC850" s="223"/>
      <c r="AD850" s="223"/>
      <c r="AE850" s="158"/>
      <c r="AF850" s="158">
        <f>P850-U850-Z850</f>
        <v>69314090</v>
      </c>
      <c r="AG850" s="158"/>
      <c r="AH850" s="94">
        <v>0</v>
      </c>
      <c r="AI850" s="94">
        <v>69314090</v>
      </c>
      <c r="AJ850" s="94"/>
      <c r="AK850" s="602">
        <f t="shared" ref="AK850:AK852" si="229">P850-R850-U850-Z850</f>
        <v>69314090</v>
      </c>
      <c r="AL850" s="72">
        <v>877</v>
      </c>
      <c r="AM850" s="72">
        <v>10</v>
      </c>
      <c r="AN850" s="158">
        <v>1</v>
      </c>
      <c r="AO850" s="158"/>
      <c r="AP850" s="23"/>
      <c r="AQ850" s="23"/>
      <c r="AR850" s="23"/>
      <c r="AS850" s="23"/>
      <c r="AT850" s="24">
        <v>0</v>
      </c>
      <c r="AU850" s="58" t="s">
        <v>521</v>
      </c>
      <c r="AV850" s="386"/>
      <c r="AW850" s="23"/>
      <c r="AX850" s="23"/>
      <c r="AY850" s="23"/>
      <c r="AZ850" s="23"/>
      <c r="BA850" s="23"/>
      <c r="BB850" s="23"/>
      <c r="BC850" s="223"/>
      <c r="BD850" s="223"/>
      <c r="BE850" s="223"/>
      <c r="BF850" s="271"/>
      <c r="BG850" s="271">
        <v>2019</v>
      </c>
      <c r="BH850" s="271">
        <v>2020</v>
      </c>
      <c r="BI850" s="271" t="s">
        <v>2375</v>
      </c>
    </row>
    <row r="851" spans="1:61" s="204" customFormat="1" ht="18" customHeight="1">
      <c r="A851" s="160" t="s">
        <v>1</v>
      </c>
      <c r="B851" s="58" t="s">
        <v>320</v>
      </c>
      <c r="C851" s="65" t="s">
        <v>404</v>
      </c>
      <c r="D851" s="33" t="s">
        <v>438</v>
      </c>
      <c r="E851" s="33"/>
      <c r="F851" s="33"/>
      <c r="G851" s="33"/>
      <c r="H851" s="30" t="s">
        <v>636</v>
      </c>
      <c r="I851" s="228" t="s">
        <v>1517</v>
      </c>
      <c r="J851" s="215" t="s">
        <v>1516</v>
      </c>
      <c r="K851" s="23"/>
      <c r="L851" s="23"/>
      <c r="M851" s="23">
        <v>1</v>
      </c>
      <c r="N851" s="23"/>
      <c r="O851" s="23">
        <v>1</v>
      </c>
      <c r="P851" s="23">
        <v>69314090</v>
      </c>
      <c r="Q851" s="23"/>
      <c r="R851" s="23"/>
      <c r="S851" s="23"/>
      <c r="T851" s="23"/>
      <c r="U851" s="225"/>
      <c r="V851" s="23"/>
      <c r="W851" s="311"/>
      <c r="X851" s="311"/>
      <c r="Y851" s="311"/>
      <c r="Z851" s="94"/>
      <c r="AA851" s="223"/>
      <c r="AB851" s="223"/>
      <c r="AC851" s="223"/>
      <c r="AD851" s="223"/>
      <c r="AE851" s="158"/>
      <c r="AF851" s="158">
        <f>P851-U851-Z851</f>
        <v>69314090</v>
      </c>
      <c r="AG851" s="158"/>
      <c r="AH851" s="94">
        <v>0</v>
      </c>
      <c r="AI851" s="94">
        <v>69314090</v>
      </c>
      <c r="AJ851" s="94"/>
      <c r="AK851" s="602">
        <f t="shared" si="229"/>
        <v>69314090</v>
      </c>
      <c r="AL851" s="72">
        <v>877</v>
      </c>
      <c r="AM851" s="72">
        <v>10</v>
      </c>
      <c r="AN851" s="158">
        <v>1</v>
      </c>
      <c r="AO851" s="158"/>
      <c r="AP851" s="23"/>
      <c r="AQ851" s="23"/>
      <c r="AR851" s="23"/>
      <c r="AS851" s="23"/>
      <c r="AT851" s="24">
        <v>0</v>
      </c>
      <c r="AU851" s="58" t="s">
        <v>521</v>
      </c>
      <c r="AV851" s="386"/>
      <c r="AW851" s="23"/>
      <c r="AX851" s="23"/>
      <c r="AY851" s="23"/>
      <c r="AZ851" s="23"/>
      <c r="BA851" s="23"/>
      <c r="BB851" s="23"/>
      <c r="BC851" s="223"/>
      <c r="BD851" s="223"/>
      <c r="BE851" s="223"/>
      <c r="BF851" s="271"/>
      <c r="BG851" s="271">
        <v>2019</v>
      </c>
      <c r="BH851" s="271">
        <v>2020</v>
      </c>
      <c r="BI851" s="271" t="s">
        <v>2375</v>
      </c>
    </row>
    <row r="852" spans="1:61" s="204" customFormat="1" ht="18" customHeight="1">
      <c r="A852" s="160" t="s">
        <v>1</v>
      </c>
      <c r="B852" s="58" t="s">
        <v>320</v>
      </c>
      <c r="C852" s="66" t="s">
        <v>405</v>
      </c>
      <c r="D852" s="33" t="s">
        <v>438</v>
      </c>
      <c r="E852" s="33"/>
      <c r="F852" s="33"/>
      <c r="G852" s="33"/>
      <c r="H852" s="30" t="s">
        <v>686</v>
      </c>
      <c r="I852" s="228">
        <v>2182</v>
      </c>
      <c r="J852" s="212">
        <v>42366</v>
      </c>
      <c r="K852" s="23"/>
      <c r="L852" s="23"/>
      <c r="M852" s="23">
        <f>17-1-1-1-1-1</f>
        <v>12</v>
      </c>
      <c r="N852" s="23">
        <v>12</v>
      </c>
      <c r="O852" s="23"/>
      <c r="P852" s="23">
        <v>805565678</v>
      </c>
      <c r="Q852" s="23"/>
      <c r="R852" s="23"/>
      <c r="S852" s="23"/>
      <c r="T852" s="23"/>
      <c r="U852" s="225"/>
      <c r="V852" s="23"/>
      <c r="W852" s="311"/>
      <c r="X852" s="311"/>
      <c r="Y852" s="311"/>
      <c r="Z852" s="94"/>
      <c r="AA852" s="223"/>
      <c r="AB852" s="223"/>
      <c r="AC852" s="223"/>
      <c r="AD852" s="223"/>
      <c r="AE852" s="158"/>
      <c r="AF852" s="158">
        <f>P852-U852-Z852</f>
        <v>805565678</v>
      </c>
      <c r="AG852" s="158"/>
      <c r="AH852" s="94">
        <v>0</v>
      </c>
      <c r="AI852" s="94">
        <v>805565678</v>
      </c>
      <c r="AJ852" s="94"/>
      <c r="AK852" s="602">
        <f t="shared" si="229"/>
        <v>805565678</v>
      </c>
      <c r="AL852" s="72">
        <v>877</v>
      </c>
      <c r="AM852" s="72">
        <v>10</v>
      </c>
      <c r="AN852" s="158">
        <v>12</v>
      </c>
      <c r="AO852" s="158"/>
      <c r="AP852" s="23"/>
      <c r="AQ852" s="23"/>
      <c r="AR852" s="23"/>
      <c r="AS852" s="23"/>
      <c r="AT852" s="24">
        <v>0</v>
      </c>
      <c r="AU852" s="58" t="s">
        <v>521</v>
      </c>
      <c r="AV852" s="386"/>
      <c r="AW852" s="23"/>
      <c r="AX852" s="23"/>
      <c r="AY852" s="23"/>
      <c r="AZ852" s="23"/>
      <c r="BA852" s="23"/>
      <c r="BB852" s="23"/>
      <c r="BC852" s="223"/>
      <c r="BD852" s="223"/>
      <c r="BE852" s="223"/>
      <c r="BF852" s="271"/>
      <c r="BG852" s="271">
        <v>2019</v>
      </c>
      <c r="BH852" s="271">
        <v>2020</v>
      </c>
      <c r="BI852" s="271" t="s">
        <v>2375</v>
      </c>
    </row>
    <row r="853" spans="1:61" ht="15" customHeight="1">
      <c r="A853" s="248" t="s">
        <v>1</v>
      </c>
      <c r="B853" s="58" t="s">
        <v>320</v>
      </c>
      <c r="C853" s="264" t="s">
        <v>996</v>
      </c>
      <c r="D853" s="33" t="s">
        <v>438</v>
      </c>
      <c r="E853" s="33"/>
      <c r="F853" s="33"/>
      <c r="G853" s="33"/>
      <c r="H853" s="30" t="s">
        <v>686</v>
      </c>
      <c r="I853" s="30"/>
      <c r="J853" s="212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25"/>
      <c r="V853" s="23"/>
      <c r="W853" s="311"/>
      <c r="X853" s="311"/>
      <c r="Y853" s="311"/>
      <c r="Z853" s="94"/>
      <c r="AA853" s="23"/>
      <c r="AB853" s="265"/>
      <c r="AC853" s="265"/>
      <c r="AD853" s="265"/>
      <c r="AE853" s="158"/>
      <c r="AF853" s="158"/>
      <c r="AG853" s="158"/>
      <c r="AH853" s="158"/>
      <c r="AI853" s="158"/>
      <c r="AJ853" s="158"/>
      <c r="AK853" s="158"/>
      <c r="AL853" s="158"/>
      <c r="AM853" s="158"/>
      <c r="AN853" s="158"/>
      <c r="AO853" s="158"/>
      <c r="AP853" s="23"/>
      <c r="AQ853" s="23"/>
      <c r="AR853" s="23"/>
      <c r="AS853" s="23"/>
      <c r="AT853" s="24">
        <v>1</v>
      </c>
      <c r="AU853" s="58" t="s">
        <v>646</v>
      </c>
      <c r="AV853" s="105"/>
      <c r="AW853" s="23"/>
      <c r="AX853" s="23"/>
      <c r="AY853" s="514">
        <v>1</v>
      </c>
      <c r="AZ853" s="23"/>
      <c r="BA853" s="23"/>
      <c r="BB853" s="23">
        <v>1</v>
      </c>
      <c r="BC853" s="223"/>
      <c r="BD853" s="223"/>
      <c r="BE853" s="223"/>
      <c r="BF853" s="270">
        <v>2018</v>
      </c>
      <c r="BG853" s="270"/>
      <c r="BH853" s="418"/>
      <c r="BI853" s="682" t="s">
        <v>2376</v>
      </c>
    </row>
    <row r="854" spans="1:61" ht="15" customHeight="1">
      <c r="A854" s="160" t="s">
        <v>1</v>
      </c>
      <c r="B854" s="58" t="s">
        <v>320</v>
      </c>
      <c r="C854" s="66" t="s">
        <v>819</v>
      </c>
      <c r="D854" s="33" t="s">
        <v>438</v>
      </c>
      <c r="E854" s="33"/>
      <c r="F854" s="33"/>
      <c r="G854" s="33"/>
      <c r="H854" s="30" t="s">
        <v>686</v>
      </c>
      <c r="I854" s="30"/>
      <c r="J854" s="212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25"/>
      <c r="V854" s="23"/>
      <c r="W854" s="311"/>
      <c r="X854" s="311"/>
      <c r="Y854" s="311"/>
      <c r="Z854" s="94"/>
      <c r="AA854" s="23"/>
      <c r="AB854" s="23"/>
      <c r="AC854" s="23"/>
      <c r="AD854" s="23"/>
      <c r="AE854" s="158"/>
      <c r="AF854" s="158"/>
      <c r="AG854" s="158"/>
      <c r="AH854" s="158"/>
      <c r="AI854" s="158"/>
      <c r="AJ854" s="158"/>
      <c r="AK854" s="158"/>
      <c r="AL854" s="158"/>
      <c r="AM854" s="158"/>
      <c r="AN854" s="158"/>
      <c r="AO854" s="158"/>
      <c r="AP854" s="23"/>
      <c r="AQ854" s="23"/>
      <c r="AR854" s="23"/>
      <c r="AS854" s="23"/>
      <c r="AT854" s="24">
        <v>1</v>
      </c>
      <c r="AU854" s="58" t="s">
        <v>646</v>
      </c>
      <c r="AV854" s="105"/>
      <c r="AW854" s="23"/>
      <c r="AX854" s="23"/>
      <c r="AY854" s="514">
        <v>1</v>
      </c>
      <c r="AZ854" s="23"/>
      <c r="BA854" s="23"/>
      <c r="BB854" s="23">
        <v>1</v>
      </c>
      <c r="BC854" s="223"/>
      <c r="BD854" s="223"/>
      <c r="BE854" s="223"/>
      <c r="BF854" s="270">
        <v>2018</v>
      </c>
      <c r="BG854" s="270"/>
      <c r="BH854" s="418"/>
      <c r="BI854" s="682" t="s">
        <v>2376</v>
      </c>
    </row>
    <row r="855" spans="1:61" ht="18" customHeight="1">
      <c r="A855" s="160" t="s">
        <v>1</v>
      </c>
      <c r="B855" s="58" t="s">
        <v>320</v>
      </c>
      <c r="C855" s="66" t="s">
        <v>1384</v>
      </c>
      <c r="D855" s="33" t="s">
        <v>438</v>
      </c>
      <c r="E855" s="33"/>
      <c r="F855" s="33"/>
      <c r="G855" s="33"/>
      <c r="H855" s="30" t="s">
        <v>686</v>
      </c>
      <c r="I855" s="228" t="s">
        <v>1483</v>
      </c>
      <c r="J855" s="215" t="s">
        <v>1482</v>
      </c>
      <c r="K855" s="23"/>
      <c r="L855" s="23">
        <v>1</v>
      </c>
      <c r="M855" s="23"/>
      <c r="N855" s="23"/>
      <c r="O855" s="23"/>
      <c r="P855" s="23">
        <v>69314090</v>
      </c>
      <c r="Q855" s="23"/>
      <c r="R855" s="23"/>
      <c r="S855" s="23"/>
      <c r="T855" s="23"/>
      <c r="U855" s="225">
        <v>69314090</v>
      </c>
      <c r="V855" s="23">
        <v>10</v>
      </c>
      <c r="W855" s="311">
        <v>43617</v>
      </c>
      <c r="X855" s="311"/>
      <c r="Y855" s="311"/>
      <c r="Z855" s="94"/>
      <c r="AA855" s="23"/>
      <c r="AB855" s="23"/>
      <c r="AC855" s="23"/>
      <c r="AD855" s="23"/>
      <c r="AE855" s="158"/>
      <c r="AF855" s="158">
        <f>P855-U855-Z855</f>
        <v>0</v>
      </c>
      <c r="AG855" s="158"/>
      <c r="AH855" s="94">
        <v>0</v>
      </c>
      <c r="AI855" s="94">
        <v>0</v>
      </c>
      <c r="AJ855" s="94"/>
      <c r="AK855" s="158">
        <f t="shared" ref="AK855:AK857" si="230">AF855+AH855</f>
        <v>0</v>
      </c>
      <c r="AL855" s="158">
        <v>877</v>
      </c>
      <c r="AM855" s="158">
        <v>10</v>
      </c>
      <c r="AN855" s="158"/>
      <c r="AO855" s="158"/>
      <c r="AP855" s="23"/>
      <c r="AQ855" s="23"/>
      <c r="AR855" s="23"/>
      <c r="AS855" s="23"/>
      <c r="AT855" s="24">
        <v>1</v>
      </c>
      <c r="AU855" s="58" t="s">
        <v>646</v>
      </c>
      <c r="AV855" s="388" t="s">
        <v>1712</v>
      </c>
      <c r="AW855" s="23"/>
      <c r="AX855" s="23"/>
      <c r="AY855" s="23"/>
      <c r="AZ855" s="23">
        <v>1</v>
      </c>
      <c r="BA855" s="23"/>
      <c r="BB855" s="23"/>
      <c r="BC855" s="23"/>
      <c r="BD855" s="23">
        <v>1</v>
      </c>
      <c r="BE855" s="23"/>
      <c r="BF855" s="270">
        <v>2019</v>
      </c>
      <c r="BG855" s="270">
        <v>2019</v>
      </c>
      <c r="BH855" s="271"/>
      <c r="BI855" s="271" t="s">
        <v>2375</v>
      </c>
    </row>
    <row r="856" spans="1:61" ht="18" customHeight="1">
      <c r="A856" s="160" t="s">
        <v>1</v>
      </c>
      <c r="B856" s="58" t="s">
        <v>320</v>
      </c>
      <c r="C856" s="66" t="s">
        <v>1385</v>
      </c>
      <c r="D856" s="33" t="s">
        <v>438</v>
      </c>
      <c r="E856" s="33"/>
      <c r="F856" s="33"/>
      <c r="G856" s="33"/>
      <c r="H856" s="30" t="s">
        <v>686</v>
      </c>
      <c r="I856" s="228" t="s">
        <v>1481</v>
      </c>
      <c r="J856" s="215" t="s">
        <v>1480</v>
      </c>
      <c r="K856" s="23"/>
      <c r="L856" s="23">
        <v>1</v>
      </c>
      <c r="M856" s="23"/>
      <c r="N856" s="23"/>
      <c r="O856" s="23"/>
      <c r="P856" s="23">
        <v>80277356</v>
      </c>
      <c r="Q856" s="23"/>
      <c r="R856" s="23"/>
      <c r="S856" s="23"/>
      <c r="T856" s="23"/>
      <c r="U856" s="225">
        <v>80277356</v>
      </c>
      <c r="V856" s="23">
        <v>10</v>
      </c>
      <c r="W856" s="311">
        <v>43617</v>
      </c>
      <c r="X856" s="311"/>
      <c r="Y856" s="311"/>
      <c r="Z856" s="94"/>
      <c r="AA856" s="23"/>
      <c r="AB856" s="23"/>
      <c r="AC856" s="23"/>
      <c r="AD856" s="23"/>
      <c r="AE856" s="158"/>
      <c r="AF856" s="158">
        <f>P856-U856-Z856</f>
        <v>0</v>
      </c>
      <c r="AG856" s="158"/>
      <c r="AH856" s="94">
        <v>0</v>
      </c>
      <c r="AI856" s="94">
        <v>0</v>
      </c>
      <c r="AJ856" s="94"/>
      <c r="AK856" s="158">
        <f t="shared" si="230"/>
        <v>0</v>
      </c>
      <c r="AL856" s="158">
        <v>877</v>
      </c>
      <c r="AM856" s="158">
        <v>10</v>
      </c>
      <c r="AN856" s="158"/>
      <c r="AO856" s="158"/>
      <c r="AP856" s="23"/>
      <c r="AQ856" s="23"/>
      <c r="AR856" s="23"/>
      <c r="AS856" s="23"/>
      <c r="AT856" s="24">
        <v>1</v>
      </c>
      <c r="AU856" s="58" t="s">
        <v>646</v>
      </c>
      <c r="AV856" s="388" t="s">
        <v>1713</v>
      </c>
      <c r="AW856" s="23"/>
      <c r="AX856" s="23"/>
      <c r="AY856" s="23"/>
      <c r="AZ856" s="23">
        <v>1</v>
      </c>
      <c r="BA856" s="23"/>
      <c r="BB856" s="23"/>
      <c r="BC856" s="23"/>
      <c r="BD856" s="23">
        <v>1</v>
      </c>
      <c r="BE856" s="23"/>
      <c r="BF856" s="270">
        <v>2019</v>
      </c>
      <c r="BG856" s="270">
        <v>2019</v>
      </c>
      <c r="BH856" s="271"/>
      <c r="BI856" s="271" t="s">
        <v>2375</v>
      </c>
    </row>
    <row r="857" spans="1:61" ht="18" customHeight="1">
      <c r="A857" s="160" t="s">
        <v>1</v>
      </c>
      <c r="B857" s="58" t="s">
        <v>320</v>
      </c>
      <c r="C857" s="66" t="s">
        <v>1400</v>
      </c>
      <c r="D857" s="33" t="s">
        <v>438</v>
      </c>
      <c r="E857" s="33"/>
      <c r="F857" s="33"/>
      <c r="G857" s="33"/>
      <c r="H857" s="30" t="s">
        <v>686</v>
      </c>
      <c r="I857" s="30">
        <v>2182</v>
      </c>
      <c r="J857" s="212">
        <v>42290</v>
      </c>
      <c r="K857" s="23"/>
      <c r="L857" s="23">
        <v>1</v>
      </c>
      <c r="M857" s="23"/>
      <c r="N857" s="23"/>
      <c r="O857" s="23"/>
      <c r="P857" s="23">
        <v>76950000</v>
      </c>
      <c r="Q857" s="23"/>
      <c r="R857" s="23"/>
      <c r="S857" s="23"/>
      <c r="T857" s="23"/>
      <c r="U857" s="225">
        <v>76950000</v>
      </c>
      <c r="V857" s="23">
        <v>10</v>
      </c>
      <c r="W857" s="311">
        <v>43497</v>
      </c>
      <c r="X857" s="311"/>
      <c r="Y857" s="311"/>
      <c r="Z857" s="94"/>
      <c r="AA857" s="23"/>
      <c r="AB857" s="23"/>
      <c r="AC857" s="23"/>
      <c r="AD857" s="23"/>
      <c r="AE857" s="158"/>
      <c r="AF857" s="158">
        <f>P857-U857-Z857</f>
        <v>0</v>
      </c>
      <c r="AG857" s="158"/>
      <c r="AH857" s="94">
        <v>0</v>
      </c>
      <c r="AI857" s="94">
        <v>0</v>
      </c>
      <c r="AJ857" s="94"/>
      <c r="AK857" s="158">
        <f t="shared" si="230"/>
        <v>0</v>
      </c>
      <c r="AL857" s="158">
        <v>877</v>
      </c>
      <c r="AM857" s="158">
        <v>10</v>
      </c>
      <c r="AN857" s="158"/>
      <c r="AO857" s="158"/>
      <c r="AP857" s="23"/>
      <c r="AQ857" s="23"/>
      <c r="AR857" s="23"/>
      <c r="AS857" s="23"/>
      <c r="AT857" s="24">
        <v>1</v>
      </c>
      <c r="AU857" s="58" t="s">
        <v>646</v>
      </c>
      <c r="AV857" s="386" t="s">
        <v>1399</v>
      </c>
      <c r="AW857" s="23"/>
      <c r="AX857" s="23"/>
      <c r="AY857" s="23"/>
      <c r="AZ857" s="23">
        <v>1</v>
      </c>
      <c r="BA857" s="23"/>
      <c r="BB857" s="23"/>
      <c r="BC857" s="223"/>
      <c r="BD857" s="223">
        <v>1</v>
      </c>
      <c r="BE857" s="223"/>
      <c r="BF857" s="270">
        <v>2019</v>
      </c>
      <c r="BG857" s="270">
        <v>2019</v>
      </c>
      <c r="BH857" s="271"/>
      <c r="BI857" s="271" t="s">
        <v>2375</v>
      </c>
    </row>
    <row r="858" spans="1:61" ht="15" customHeight="1">
      <c r="A858" s="160" t="s">
        <v>1</v>
      </c>
      <c r="B858" s="58" t="s">
        <v>320</v>
      </c>
      <c r="C858" s="66" t="s">
        <v>406</v>
      </c>
      <c r="D858" s="33" t="s">
        <v>319</v>
      </c>
      <c r="E858" s="33"/>
      <c r="F858" s="33"/>
      <c r="G858" s="33"/>
      <c r="H858" s="30"/>
      <c r="I858" s="30"/>
      <c r="J858" s="212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25"/>
      <c r="V858" s="23"/>
      <c r="W858" s="311"/>
      <c r="X858" s="311"/>
      <c r="Y858" s="311"/>
      <c r="Z858" s="94"/>
      <c r="AA858" s="23"/>
      <c r="AB858" s="23"/>
      <c r="AC858" s="23"/>
      <c r="AD858" s="23"/>
      <c r="AE858" s="158"/>
      <c r="AF858" s="158"/>
      <c r="AG858" s="158"/>
      <c r="AH858" s="158"/>
      <c r="AI858" s="158"/>
      <c r="AJ858" s="158"/>
      <c r="AK858" s="158"/>
      <c r="AL858" s="158"/>
      <c r="AM858" s="158"/>
      <c r="AN858" s="158"/>
      <c r="AO858" s="158"/>
      <c r="AP858" s="23"/>
      <c r="AQ858" s="23"/>
      <c r="AR858" s="23"/>
      <c r="AS858" s="23"/>
      <c r="AT858" s="2"/>
      <c r="AU858" s="58"/>
      <c r="AV858" s="105"/>
      <c r="AW858" s="23">
        <v>1</v>
      </c>
      <c r="AX858" s="23"/>
      <c r="AY858" s="23"/>
      <c r="AZ858" s="23"/>
      <c r="BA858" s="23"/>
      <c r="BB858" s="23"/>
      <c r="BC858" s="223"/>
      <c r="BD858" s="223"/>
      <c r="BE858" s="223"/>
      <c r="BF858" s="270">
        <v>2016</v>
      </c>
      <c r="BG858" s="270"/>
      <c r="BH858" s="418"/>
      <c r="BI858" s="682" t="s">
        <v>2376</v>
      </c>
    </row>
    <row r="859" spans="1:61" ht="15" customHeight="1">
      <c r="A859" s="160" t="s">
        <v>1</v>
      </c>
      <c r="B859" s="58" t="s">
        <v>320</v>
      </c>
      <c r="C859" s="66" t="s">
        <v>407</v>
      </c>
      <c r="D859" s="33" t="s">
        <v>319</v>
      </c>
      <c r="E859" s="33"/>
      <c r="F859" s="33"/>
      <c r="G859" s="33"/>
      <c r="H859" s="30"/>
      <c r="I859" s="30"/>
      <c r="J859" s="212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25"/>
      <c r="V859" s="23"/>
      <c r="W859" s="311"/>
      <c r="X859" s="311"/>
      <c r="Y859" s="311"/>
      <c r="Z859" s="94"/>
      <c r="AA859" s="23"/>
      <c r="AB859" s="23"/>
      <c r="AC859" s="23"/>
      <c r="AD859" s="23"/>
      <c r="AE859" s="158"/>
      <c r="AF859" s="158"/>
      <c r="AG859" s="158"/>
      <c r="AH859" s="158"/>
      <c r="AI859" s="158"/>
      <c r="AJ859" s="158"/>
      <c r="AK859" s="158"/>
      <c r="AL859" s="158"/>
      <c r="AM859" s="158"/>
      <c r="AN859" s="158"/>
      <c r="AO859" s="158"/>
      <c r="AP859" s="23"/>
      <c r="AQ859" s="23"/>
      <c r="AR859" s="23"/>
      <c r="AS859" s="23"/>
      <c r="AT859" s="2"/>
      <c r="AU859" s="58"/>
      <c r="AV859" s="105"/>
      <c r="AW859" s="23">
        <v>1</v>
      </c>
      <c r="AX859" s="23"/>
      <c r="AY859" s="23"/>
      <c r="AZ859" s="23"/>
      <c r="BA859" s="23"/>
      <c r="BB859" s="23"/>
      <c r="BC859" s="223"/>
      <c r="BD859" s="223"/>
      <c r="BE859" s="223"/>
      <c r="BF859" s="270">
        <v>2016</v>
      </c>
      <c r="BG859" s="270"/>
      <c r="BH859" s="419"/>
      <c r="BI859" s="682" t="s">
        <v>2376</v>
      </c>
    </row>
    <row r="860" spans="1:61" ht="15" customHeight="1">
      <c r="A860" s="160" t="s">
        <v>1</v>
      </c>
      <c r="B860" s="58" t="s">
        <v>320</v>
      </c>
      <c r="C860" s="66" t="s">
        <v>408</v>
      </c>
      <c r="D860" s="33" t="s">
        <v>319</v>
      </c>
      <c r="E860" s="33"/>
      <c r="F860" s="33"/>
      <c r="G860" s="33"/>
      <c r="H860" s="30"/>
      <c r="I860" s="30"/>
      <c r="J860" s="212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25"/>
      <c r="V860" s="23"/>
      <c r="W860" s="311"/>
      <c r="X860" s="311"/>
      <c r="Y860" s="311"/>
      <c r="Z860" s="94"/>
      <c r="AA860" s="23"/>
      <c r="AB860" s="23"/>
      <c r="AC860" s="23"/>
      <c r="AD860" s="23"/>
      <c r="AE860" s="158"/>
      <c r="AF860" s="158"/>
      <c r="AG860" s="158"/>
      <c r="AH860" s="158"/>
      <c r="AI860" s="158"/>
      <c r="AJ860" s="158"/>
      <c r="AK860" s="158"/>
      <c r="AL860" s="158"/>
      <c r="AM860" s="158"/>
      <c r="AN860" s="158"/>
      <c r="AO860" s="158"/>
      <c r="AP860" s="23"/>
      <c r="AQ860" s="23"/>
      <c r="AR860" s="23"/>
      <c r="AS860" s="23"/>
      <c r="AT860" s="2"/>
      <c r="AU860" s="58"/>
      <c r="AV860" s="105"/>
      <c r="AW860" s="23">
        <v>1</v>
      </c>
      <c r="AX860" s="23"/>
      <c r="AY860" s="23"/>
      <c r="AZ860" s="23"/>
      <c r="BA860" s="23"/>
      <c r="BB860" s="23"/>
      <c r="BC860" s="223"/>
      <c r="BD860" s="223"/>
      <c r="BE860" s="223"/>
      <c r="BF860" s="270">
        <v>2016</v>
      </c>
      <c r="BG860" s="270"/>
      <c r="BH860" s="418"/>
      <c r="BI860" s="682" t="s">
        <v>2376</v>
      </c>
    </row>
    <row r="861" spans="1:61" ht="15" customHeight="1">
      <c r="A861" s="160" t="s">
        <v>1</v>
      </c>
      <c r="B861" s="58" t="s">
        <v>320</v>
      </c>
      <c r="C861" s="66" t="s">
        <v>409</v>
      </c>
      <c r="D861" s="33" t="s">
        <v>319</v>
      </c>
      <c r="E861" s="33"/>
      <c r="F861" s="33"/>
      <c r="G861" s="33"/>
      <c r="H861" s="30"/>
      <c r="I861" s="30"/>
      <c r="J861" s="212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25"/>
      <c r="V861" s="23"/>
      <c r="W861" s="311"/>
      <c r="X861" s="311"/>
      <c r="Y861" s="311"/>
      <c r="Z861" s="94"/>
      <c r="AA861" s="23"/>
      <c r="AB861" s="23"/>
      <c r="AC861" s="23"/>
      <c r="AD861" s="23"/>
      <c r="AE861" s="158"/>
      <c r="AF861" s="158"/>
      <c r="AG861" s="158"/>
      <c r="AH861" s="158"/>
      <c r="AI861" s="158"/>
      <c r="AJ861" s="158"/>
      <c r="AK861" s="158"/>
      <c r="AL861" s="158"/>
      <c r="AM861" s="158"/>
      <c r="AN861" s="158"/>
      <c r="AO861" s="158"/>
      <c r="AP861" s="23"/>
      <c r="AQ861" s="23"/>
      <c r="AR861" s="23"/>
      <c r="AS861" s="23"/>
      <c r="AT861" s="2"/>
      <c r="AU861" s="58"/>
      <c r="AV861" s="105"/>
      <c r="AW861" s="23">
        <v>1</v>
      </c>
      <c r="AX861" s="23"/>
      <c r="AY861" s="23"/>
      <c r="AZ861" s="23"/>
      <c r="BA861" s="23"/>
      <c r="BB861" s="23"/>
      <c r="BC861" s="223"/>
      <c r="BD861" s="223"/>
      <c r="BE861" s="223"/>
      <c r="BF861" s="270">
        <v>2016</v>
      </c>
      <c r="BG861" s="270"/>
      <c r="BH861" s="418"/>
      <c r="BI861" s="682" t="s">
        <v>2376</v>
      </c>
    </row>
    <row r="862" spans="1:61" ht="15" customHeight="1">
      <c r="A862" s="160" t="s">
        <v>1</v>
      </c>
      <c r="B862" s="58" t="s">
        <v>320</v>
      </c>
      <c r="C862" s="66" t="s">
        <v>410</v>
      </c>
      <c r="D862" s="33" t="s">
        <v>319</v>
      </c>
      <c r="E862" s="33"/>
      <c r="F862" s="33"/>
      <c r="G862" s="33"/>
      <c r="H862" s="30"/>
      <c r="I862" s="30"/>
      <c r="J862" s="212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25"/>
      <c r="V862" s="23"/>
      <c r="W862" s="311"/>
      <c r="X862" s="311"/>
      <c r="Y862" s="311"/>
      <c r="Z862" s="94"/>
      <c r="AA862" s="23"/>
      <c r="AB862" s="23"/>
      <c r="AC862" s="23"/>
      <c r="AD862" s="23"/>
      <c r="AE862" s="158"/>
      <c r="AF862" s="158"/>
      <c r="AG862" s="158"/>
      <c r="AH862" s="158"/>
      <c r="AI862" s="158"/>
      <c r="AJ862" s="158"/>
      <c r="AK862" s="158"/>
      <c r="AL862" s="158"/>
      <c r="AM862" s="158"/>
      <c r="AN862" s="158"/>
      <c r="AO862" s="158"/>
      <c r="AP862" s="23"/>
      <c r="AQ862" s="23"/>
      <c r="AR862" s="23"/>
      <c r="AS862" s="23"/>
      <c r="AT862" s="2"/>
      <c r="AU862" s="58"/>
      <c r="AV862" s="105"/>
      <c r="AW862" s="23">
        <v>1</v>
      </c>
      <c r="AX862" s="23"/>
      <c r="AY862" s="23"/>
      <c r="AZ862" s="23"/>
      <c r="BA862" s="23"/>
      <c r="BB862" s="23"/>
      <c r="BC862" s="223"/>
      <c r="BD862" s="223"/>
      <c r="BE862" s="223"/>
      <c r="BF862" s="270">
        <v>2016</v>
      </c>
      <c r="BG862" s="270"/>
      <c r="BH862" s="420"/>
      <c r="BI862" s="682" t="s">
        <v>2376</v>
      </c>
    </row>
    <row r="863" spans="1:61" ht="15" customHeight="1">
      <c r="A863" s="160" t="s">
        <v>1</v>
      </c>
      <c r="B863" s="58" t="s">
        <v>320</v>
      </c>
      <c r="C863" s="66" t="s">
        <v>411</v>
      </c>
      <c r="D863" s="33" t="s">
        <v>319</v>
      </c>
      <c r="E863" s="33"/>
      <c r="F863" s="33"/>
      <c r="G863" s="33"/>
      <c r="H863" s="30"/>
      <c r="I863" s="30"/>
      <c r="J863" s="212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25"/>
      <c r="V863" s="23"/>
      <c r="W863" s="311"/>
      <c r="X863" s="311"/>
      <c r="Y863" s="311"/>
      <c r="Z863" s="94"/>
      <c r="AA863" s="23"/>
      <c r="AB863" s="23"/>
      <c r="AC863" s="23"/>
      <c r="AD863" s="23"/>
      <c r="AE863" s="158"/>
      <c r="AF863" s="158"/>
      <c r="AG863" s="158"/>
      <c r="AH863" s="158"/>
      <c r="AI863" s="158"/>
      <c r="AJ863" s="158"/>
      <c r="AK863" s="158"/>
      <c r="AL863" s="158"/>
      <c r="AM863" s="158"/>
      <c r="AN863" s="158"/>
      <c r="AO863" s="158"/>
      <c r="AP863" s="23"/>
      <c r="AQ863" s="23"/>
      <c r="AR863" s="23"/>
      <c r="AS863" s="23"/>
      <c r="AT863" s="2"/>
      <c r="AU863" s="58"/>
      <c r="AV863" s="105"/>
      <c r="AW863" s="23">
        <v>1</v>
      </c>
      <c r="AX863" s="23"/>
      <c r="AY863" s="23"/>
      <c r="AZ863" s="23"/>
      <c r="BA863" s="23"/>
      <c r="BB863" s="23"/>
      <c r="BC863" s="223"/>
      <c r="BD863" s="223"/>
      <c r="BE863" s="223"/>
      <c r="BF863" s="270">
        <v>2016</v>
      </c>
      <c r="BG863" s="270"/>
      <c r="BH863" s="420"/>
      <c r="BI863" s="682" t="s">
        <v>2376</v>
      </c>
    </row>
    <row r="864" spans="1:61" ht="15" customHeight="1">
      <c r="A864" s="160" t="s">
        <v>1</v>
      </c>
      <c r="B864" s="58" t="s">
        <v>320</v>
      </c>
      <c r="C864" s="66" t="s">
        <v>412</v>
      </c>
      <c r="D864" s="33" t="s">
        <v>319</v>
      </c>
      <c r="E864" s="33"/>
      <c r="F864" s="33"/>
      <c r="G864" s="33"/>
      <c r="H864" s="30"/>
      <c r="I864" s="30"/>
      <c r="J864" s="212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25"/>
      <c r="V864" s="23"/>
      <c r="W864" s="311"/>
      <c r="X864" s="311"/>
      <c r="Y864" s="311"/>
      <c r="Z864" s="94"/>
      <c r="AA864" s="23"/>
      <c r="AB864" s="23"/>
      <c r="AC864" s="23"/>
      <c r="AD864" s="23"/>
      <c r="AE864" s="158"/>
      <c r="AF864" s="158"/>
      <c r="AG864" s="158"/>
      <c r="AH864" s="158"/>
      <c r="AI864" s="158"/>
      <c r="AJ864" s="158"/>
      <c r="AK864" s="158"/>
      <c r="AL864" s="158"/>
      <c r="AM864" s="158"/>
      <c r="AN864" s="158"/>
      <c r="AO864" s="158"/>
      <c r="AP864" s="23"/>
      <c r="AQ864" s="23"/>
      <c r="AR864" s="23"/>
      <c r="AS864" s="23"/>
      <c r="AT864" s="2"/>
      <c r="AU864" s="58"/>
      <c r="AV864" s="105"/>
      <c r="AW864" s="23">
        <v>1</v>
      </c>
      <c r="AX864" s="23"/>
      <c r="AY864" s="23"/>
      <c r="AZ864" s="23"/>
      <c r="BA864" s="23"/>
      <c r="BB864" s="23"/>
      <c r="BC864" s="223"/>
      <c r="BD864" s="223"/>
      <c r="BE864" s="223"/>
      <c r="BF864" s="270">
        <v>2016</v>
      </c>
      <c r="BG864" s="270"/>
      <c r="BH864" s="420"/>
      <c r="BI864" s="682" t="s">
        <v>2376</v>
      </c>
    </row>
    <row r="865" spans="1:61" ht="15" customHeight="1">
      <c r="A865" s="160" t="s">
        <v>1</v>
      </c>
      <c r="B865" s="58" t="s">
        <v>320</v>
      </c>
      <c r="C865" s="66" t="s">
        <v>413</v>
      </c>
      <c r="D865" s="33" t="s">
        <v>319</v>
      </c>
      <c r="E865" s="33"/>
      <c r="F865" s="33"/>
      <c r="G865" s="33"/>
      <c r="H865" s="30"/>
      <c r="I865" s="30"/>
      <c r="J865" s="212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25"/>
      <c r="V865" s="23"/>
      <c r="W865" s="311"/>
      <c r="X865" s="311"/>
      <c r="Y865" s="311"/>
      <c r="Z865" s="94"/>
      <c r="AA865" s="23"/>
      <c r="AB865" s="23"/>
      <c r="AC865" s="23"/>
      <c r="AD865" s="23"/>
      <c r="AE865" s="158"/>
      <c r="AF865" s="158"/>
      <c r="AG865" s="158"/>
      <c r="AH865" s="158"/>
      <c r="AI865" s="158"/>
      <c r="AJ865" s="158"/>
      <c r="AK865" s="158"/>
      <c r="AL865" s="158"/>
      <c r="AM865" s="158"/>
      <c r="AN865" s="158"/>
      <c r="AO865" s="158"/>
      <c r="AP865" s="23"/>
      <c r="AQ865" s="23"/>
      <c r="AR865" s="23"/>
      <c r="AS865" s="23"/>
      <c r="AT865" s="2"/>
      <c r="AU865" s="58"/>
      <c r="AV865" s="105"/>
      <c r="AW865" s="23">
        <v>1</v>
      </c>
      <c r="AX865" s="23"/>
      <c r="AY865" s="23"/>
      <c r="AZ865" s="23"/>
      <c r="BA865" s="23"/>
      <c r="BB865" s="23"/>
      <c r="BC865" s="223"/>
      <c r="BD865" s="223"/>
      <c r="BE865" s="223"/>
      <c r="BF865" s="270">
        <v>2016</v>
      </c>
      <c r="BG865" s="270"/>
      <c r="BH865" s="420"/>
      <c r="BI865" s="682" t="s">
        <v>2376</v>
      </c>
    </row>
    <row r="866" spans="1:61" ht="15" customHeight="1">
      <c r="A866" s="160" t="s">
        <v>1</v>
      </c>
      <c r="B866" s="58" t="s">
        <v>320</v>
      </c>
      <c r="C866" s="66" t="s">
        <v>414</v>
      </c>
      <c r="D866" s="33" t="s">
        <v>319</v>
      </c>
      <c r="E866" s="33"/>
      <c r="F866" s="33"/>
      <c r="G866" s="33"/>
      <c r="H866" s="30"/>
      <c r="I866" s="30"/>
      <c r="J866" s="212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25"/>
      <c r="V866" s="23"/>
      <c r="W866" s="311"/>
      <c r="X866" s="311"/>
      <c r="Y866" s="311"/>
      <c r="Z866" s="94"/>
      <c r="AA866" s="23"/>
      <c r="AB866" s="23"/>
      <c r="AC866" s="23"/>
      <c r="AD866" s="23"/>
      <c r="AE866" s="158"/>
      <c r="AF866" s="158"/>
      <c r="AG866" s="158"/>
      <c r="AH866" s="158"/>
      <c r="AI866" s="158"/>
      <c r="AJ866" s="158"/>
      <c r="AK866" s="158"/>
      <c r="AL866" s="158"/>
      <c r="AM866" s="158"/>
      <c r="AN866" s="158"/>
      <c r="AO866" s="158"/>
      <c r="AP866" s="23"/>
      <c r="AQ866" s="23"/>
      <c r="AR866" s="23"/>
      <c r="AS866" s="23"/>
      <c r="AT866" s="2"/>
      <c r="AU866" s="58"/>
      <c r="AV866" s="105"/>
      <c r="AW866" s="23">
        <v>1</v>
      </c>
      <c r="AX866" s="23"/>
      <c r="AY866" s="23"/>
      <c r="AZ866" s="23"/>
      <c r="BA866" s="23"/>
      <c r="BB866" s="23"/>
      <c r="BC866" s="223"/>
      <c r="BD866" s="223"/>
      <c r="BE866" s="223"/>
      <c r="BF866" s="270">
        <v>2016</v>
      </c>
      <c r="BG866" s="270"/>
      <c r="BH866" s="420"/>
      <c r="BI866" s="682" t="s">
        <v>2376</v>
      </c>
    </row>
    <row r="867" spans="1:61" ht="15" customHeight="1">
      <c r="A867" s="160" t="s">
        <v>1</v>
      </c>
      <c r="B867" s="58" t="s">
        <v>320</v>
      </c>
      <c r="C867" s="66" t="s">
        <v>415</v>
      </c>
      <c r="D867" s="33" t="s">
        <v>319</v>
      </c>
      <c r="E867" s="33"/>
      <c r="F867" s="33"/>
      <c r="G867" s="33"/>
      <c r="H867" s="30"/>
      <c r="I867" s="30"/>
      <c r="J867" s="212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25"/>
      <c r="V867" s="23"/>
      <c r="W867" s="311"/>
      <c r="X867" s="311"/>
      <c r="Y867" s="311"/>
      <c r="Z867" s="94"/>
      <c r="AA867" s="23"/>
      <c r="AB867" s="23"/>
      <c r="AC867" s="23"/>
      <c r="AD867" s="23"/>
      <c r="AE867" s="158"/>
      <c r="AF867" s="158"/>
      <c r="AG867" s="158"/>
      <c r="AH867" s="158"/>
      <c r="AI867" s="158"/>
      <c r="AJ867" s="158"/>
      <c r="AK867" s="158"/>
      <c r="AL867" s="158"/>
      <c r="AM867" s="158"/>
      <c r="AN867" s="158"/>
      <c r="AO867" s="158"/>
      <c r="AP867" s="23"/>
      <c r="AQ867" s="23"/>
      <c r="AR867" s="23"/>
      <c r="AS867" s="23"/>
      <c r="AT867" s="2"/>
      <c r="AU867" s="58"/>
      <c r="AV867" s="105"/>
      <c r="AW867" s="23">
        <v>1</v>
      </c>
      <c r="AX867" s="23"/>
      <c r="AY867" s="23"/>
      <c r="AZ867" s="23"/>
      <c r="BA867" s="23"/>
      <c r="BB867" s="23"/>
      <c r="BC867" s="223"/>
      <c r="BD867" s="223"/>
      <c r="BE867" s="223"/>
      <c r="BF867" s="270">
        <v>2016</v>
      </c>
      <c r="BG867" s="270"/>
      <c r="BH867" s="420"/>
      <c r="BI867" s="682" t="s">
        <v>2376</v>
      </c>
    </row>
    <row r="868" spans="1:61" ht="15" customHeight="1">
      <c r="A868" s="160" t="s">
        <v>1</v>
      </c>
      <c r="B868" s="58" t="s">
        <v>320</v>
      </c>
      <c r="C868" s="66" t="s">
        <v>516</v>
      </c>
      <c r="D868" s="33" t="s">
        <v>319</v>
      </c>
      <c r="E868" s="33"/>
      <c r="F868" s="33"/>
      <c r="G868" s="33"/>
      <c r="H868" s="30"/>
      <c r="I868" s="30"/>
      <c r="J868" s="212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25"/>
      <c r="V868" s="23"/>
      <c r="W868" s="311"/>
      <c r="X868" s="311"/>
      <c r="Y868" s="311"/>
      <c r="Z868" s="94"/>
      <c r="AA868" s="23"/>
      <c r="AB868" s="23"/>
      <c r="AC868" s="23"/>
      <c r="AD868" s="23"/>
      <c r="AE868" s="158"/>
      <c r="AF868" s="158"/>
      <c r="AG868" s="158"/>
      <c r="AH868" s="158"/>
      <c r="AI868" s="158"/>
      <c r="AJ868" s="158"/>
      <c r="AK868" s="158"/>
      <c r="AL868" s="158"/>
      <c r="AM868" s="158"/>
      <c r="AN868" s="158"/>
      <c r="AO868" s="158"/>
      <c r="AP868" s="23"/>
      <c r="AQ868" s="23"/>
      <c r="AR868" s="23"/>
      <c r="AS868" s="23"/>
      <c r="AT868" s="2"/>
      <c r="AU868" s="58"/>
      <c r="AV868" s="105"/>
      <c r="AW868" s="23">
        <v>1</v>
      </c>
      <c r="AX868" s="23"/>
      <c r="AY868" s="23"/>
      <c r="AZ868" s="23"/>
      <c r="BA868" s="23"/>
      <c r="BB868" s="23"/>
      <c r="BC868" s="223"/>
      <c r="BD868" s="223"/>
      <c r="BE868" s="223"/>
      <c r="BF868" s="270">
        <v>2016</v>
      </c>
      <c r="BG868" s="270"/>
      <c r="BH868" s="420"/>
      <c r="BI868" s="682" t="s">
        <v>2376</v>
      </c>
    </row>
    <row r="869" spans="1:61" ht="15" customHeight="1">
      <c r="A869" s="160" t="s">
        <v>1</v>
      </c>
      <c r="B869" s="58" t="s">
        <v>320</v>
      </c>
      <c r="C869" s="66" t="s">
        <v>416</v>
      </c>
      <c r="D869" s="33" t="s">
        <v>319</v>
      </c>
      <c r="E869" s="33"/>
      <c r="F869" s="33"/>
      <c r="G869" s="33"/>
      <c r="H869" s="30"/>
      <c r="I869" s="30"/>
      <c r="J869" s="212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25"/>
      <c r="V869" s="23"/>
      <c r="W869" s="311"/>
      <c r="X869" s="311"/>
      <c r="Y869" s="311"/>
      <c r="Z869" s="94"/>
      <c r="AA869" s="23"/>
      <c r="AB869" s="23"/>
      <c r="AC869" s="23"/>
      <c r="AD869" s="23"/>
      <c r="AE869" s="158"/>
      <c r="AF869" s="158"/>
      <c r="AG869" s="158"/>
      <c r="AH869" s="158"/>
      <c r="AI869" s="158"/>
      <c r="AJ869" s="158"/>
      <c r="AK869" s="158"/>
      <c r="AL869" s="158"/>
      <c r="AM869" s="158"/>
      <c r="AN869" s="158"/>
      <c r="AO869" s="158"/>
      <c r="AP869" s="23"/>
      <c r="AQ869" s="23"/>
      <c r="AR869" s="23"/>
      <c r="AS869" s="23"/>
      <c r="AT869" s="2"/>
      <c r="AU869" s="58"/>
      <c r="AV869" s="105"/>
      <c r="AW869" s="23">
        <v>1</v>
      </c>
      <c r="AX869" s="23"/>
      <c r="AY869" s="23"/>
      <c r="AZ869" s="23"/>
      <c r="BA869" s="23"/>
      <c r="BB869" s="23"/>
      <c r="BC869" s="223"/>
      <c r="BD869" s="223"/>
      <c r="BE869" s="223"/>
      <c r="BF869" s="270">
        <v>2016</v>
      </c>
      <c r="BG869" s="270"/>
      <c r="BH869" s="420"/>
      <c r="BI869" s="682" t="s">
        <v>2376</v>
      </c>
    </row>
    <row r="870" spans="1:61" ht="15" customHeight="1">
      <c r="A870" s="160" t="s">
        <v>1</v>
      </c>
      <c r="B870" s="58" t="s">
        <v>320</v>
      </c>
      <c r="C870" s="66" t="s">
        <v>417</v>
      </c>
      <c r="D870" s="33" t="s">
        <v>319</v>
      </c>
      <c r="E870" s="33"/>
      <c r="F870" s="33"/>
      <c r="G870" s="33"/>
      <c r="H870" s="30"/>
      <c r="I870" s="30"/>
      <c r="J870" s="212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25"/>
      <c r="V870" s="23"/>
      <c r="W870" s="311"/>
      <c r="X870" s="311"/>
      <c r="Y870" s="311"/>
      <c r="Z870" s="94"/>
      <c r="AA870" s="23"/>
      <c r="AB870" s="23"/>
      <c r="AC870" s="23"/>
      <c r="AD870" s="23"/>
      <c r="AE870" s="158"/>
      <c r="AF870" s="158"/>
      <c r="AG870" s="158"/>
      <c r="AH870" s="158"/>
      <c r="AI870" s="158"/>
      <c r="AJ870" s="158"/>
      <c r="AK870" s="158"/>
      <c r="AL870" s="158"/>
      <c r="AM870" s="158"/>
      <c r="AN870" s="158"/>
      <c r="AO870" s="158"/>
      <c r="AP870" s="23"/>
      <c r="AQ870" s="23"/>
      <c r="AR870" s="23"/>
      <c r="AS870" s="23"/>
      <c r="AT870" s="2"/>
      <c r="AU870" s="58"/>
      <c r="AV870" s="105"/>
      <c r="AW870" s="23">
        <v>1</v>
      </c>
      <c r="AX870" s="23"/>
      <c r="AY870" s="23"/>
      <c r="AZ870" s="23"/>
      <c r="BA870" s="23"/>
      <c r="BB870" s="23"/>
      <c r="BC870" s="223"/>
      <c r="BD870" s="223"/>
      <c r="BE870" s="223"/>
      <c r="BF870" s="270">
        <v>2016</v>
      </c>
      <c r="BG870" s="270"/>
      <c r="BH870" s="420"/>
      <c r="BI870" s="682" t="s">
        <v>2376</v>
      </c>
    </row>
    <row r="871" spans="1:61" ht="15" customHeight="1">
      <c r="A871" s="160" t="s">
        <v>1</v>
      </c>
      <c r="B871" s="58" t="s">
        <v>320</v>
      </c>
      <c r="C871" s="66" t="s">
        <v>418</v>
      </c>
      <c r="D871" s="33" t="s">
        <v>387</v>
      </c>
      <c r="E871" s="33"/>
      <c r="F871" s="33"/>
      <c r="G871" s="33"/>
      <c r="H871" s="30"/>
      <c r="I871" s="30"/>
      <c r="J871" s="212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25"/>
      <c r="V871" s="23"/>
      <c r="W871" s="311"/>
      <c r="X871" s="311"/>
      <c r="Y871" s="311"/>
      <c r="Z871" s="94"/>
      <c r="AA871" s="23"/>
      <c r="AB871" s="23"/>
      <c r="AC871" s="23"/>
      <c r="AD871" s="23"/>
      <c r="AE871" s="158"/>
      <c r="AF871" s="158"/>
      <c r="AG871" s="158"/>
      <c r="AH871" s="158"/>
      <c r="AI871" s="158"/>
      <c r="AJ871" s="158"/>
      <c r="AK871" s="158"/>
      <c r="AL871" s="158"/>
      <c r="AM871" s="158"/>
      <c r="AN871" s="158"/>
      <c r="AO871" s="158"/>
      <c r="AP871" s="23"/>
      <c r="AQ871" s="23"/>
      <c r="AR871" s="23"/>
      <c r="AS871" s="23"/>
      <c r="AT871" s="2"/>
      <c r="AU871" s="58"/>
      <c r="AV871" s="105"/>
      <c r="AW871" s="23">
        <v>1</v>
      </c>
      <c r="AX871" s="23"/>
      <c r="AY871" s="23"/>
      <c r="AZ871" s="23"/>
      <c r="BA871" s="23"/>
      <c r="BB871" s="23"/>
      <c r="BC871" s="223"/>
      <c r="BD871" s="223"/>
      <c r="BE871" s="223"/>
      <c r="BF871" s="270">
        <v>2016</v>
      </c>
      <c r="BG871" s="270"/>
      <c r="BH871" s="420"/>
      <c r="BI871" s="682" t="s">
        <v>2376</v>
      </c>
    </row>
    <row r="872" spans="1:61" ht="15" customHeight="1">
      <c r="A872" s="160" t="s">
        <v>1</v>
      </c>
      <c r="B872" s="58" t="s">
        <v>320</v>
      </c>
      <c r="C872" s="66" t="s">
        <v>419</v>
      </c>
      <c r="D872" s="33" t="s">
        <v>319</v>
      </c>
      <c r="E872" s="33"/>
      <c r="F872" s="33"/>
      <c r="G872" s="33"/>
      <c r="H872" s="30"/>
      <c r="I872" s="30"/>
      <c r="J872" s="212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25"/>
      <c r="V872" s="23"/>
      <c r="W872" s="311"/>
      <c r="X872" s="311"/>
      <c r="Y872" s="311"/>
      <c r="Z872" s="94"/>
      <c r="AA872" s="23"/>
      <c r="AB872" s="23"/>
      <c r="AC872" s="23"/>
      <c r="AD872" s="23"/>
      <c r="AE872" s="158"/>
      <c r="AF872" s="158"/>
      <c r="AG872" s="158"/>
      <c r="AH872" s="158"/>
      <c r="AI872" s="158"/>
      <c r="AJ872" s="158"/>
      <c r="AK872" s="158"/>
      <c r="AL872" s="158"/>
      <c r="AM872" s="158"/>
      <c r="AN872" s="158"/>
      <c r="AO872" s="158"/>
      <c r="AP872" s="23"/>
      <c r="AQ872" s="23"/>
      <c r="AR872" s="23"/>
      <c r="AS872" s="23"/>
      <c r="AT872" s="2"/>
      <c r="AU872" s="58"/>
      <c r="AV872" s="105"/>
      <c r="AW872" s="23">
        <v>1</v>
      </c>
      <c r="AX872" s="23"/>
      <c r="AY872" s="23"/>
      <c r="AZ872" s="23"/>
      <c r="BA872" s="23"/>
      <c r="BB872" s="23"/>
      <c r="BC872" s="223"/>
      <c r="BD872" s="223"/>
      <c r="BE872" s="223"/>
      <c r="BF872" s="270">
        <v>2016</v>
      </c>
      <c r="BG872" s="270"/>
      <c r="BH872" s="420"/>
      <c r="BI872" s="682" t="s">
        <v>2376</v>
      </c>
    </row>
    <row r="873" spans="1:61" ht="15" customHeight="1">
      <c r="A873" s="160" t="s">
        <v>1</v>
      </c>
      <c r="B873" s="58" t="s">
        <v>320</v>
      </c>
      <c r="C873" s="66" t="s">
        <v>420</v>
      </c>
      <c r="D873" s="33" t="s">
        <v>319</v>
      </c>
      <c r="E873" s="33"/>
      <c r="F873" s="33"/>
      <c r="G873" s="33"/>
      <c r="H873" s="30"/>
      <c r="I873" s="30"/>
      <c r="J873" s="212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25"/>
      <c r="V873" s="23"/>
      <c r="W873" s="311"/>
      <c r="X873" s="311"/>
      <c r="Y873" s="311"/>
      <c r="Z873" s="94"/>
      <c r="AA873" s="23"/>
      <c r="AB873" s="23"/>
      <c r="AC873" s="23"/>
      <c r="AD873" s="23"/>
      <c r="AE873" s="158"/>
      <c r="AF873" s="158"/>
      <c r="AG873" s="158"/>
      <c r="AH873" s="158"/>
      <c r="AI873" s="158"/>
      <c r="AJ873" s="158"/>
      <c r="AK873" s="158"/>
      <c r="AL873" s="158"/>
      <c r="AM873" s="158"/>
      <c r="AN873" s="158"/>
      <c r="AO873" s="158"/>
      <c r="AP873" s="23"/>
      <c r="AQ873" s="23"/>
      <c r="AR873" s="23"/>
      <c r="AS873" s="23"/>
      <c r="AT873" s="2"/>
      <c r="AU873" s="58"/>
      <c r="AV873" s="105"/>
      <c r="AW873" s="23">
        <v>1</v>
      </c>
      <c r="AX873" s="23"/>
      <c r="AY873" s="23"/>
      <c r="AZ873" s="23"/>
      <c r="BA873" s="23"/>
      <c r="BB873" s="23"/>
      <c r="BC873" s="223"/>
      <c r="BD873" s="223"/>
      <c r="BE873" s="223"/>
      <c r="BF873" s="270">
        <v>2016</v>
      </c>
      <c r="BG873" s="270"/>
      <c r="BH873" s="420"/>
      <c r="BI873" s="682" t="s">
        <v>2376</v>
      </c>
    </row>
    <row r="874" spans="1:61" ht="15" customHeight="1">
      <c r="A874" s="160" t="s">
        <v>1</v>
      </c>
      <c r="B874" s="58" t="s">
        <v>320</v>
      </c>
      <c r="C874" s="66" t="s">
        <v>421</v>
      </c>
      <c r="D874" s="33" t="s">
        <v>319</v>
      </c>
      <c r="E874" s="33"/>
      <c r="F874" s="33"/>
      <c r="G874" s="33"/>
      <c r="H874" s="30"/>
      <c r="I874" s="30"/>
      <c r="J874" s="212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25"/>
      <c r="V874" s="23"/>
      <c r="W874" s="311"/>
      <c r="X874" s="311"/>
      <c r="Y874" s="311"/>
      <c r="Z874" s="94"/>
      <c r="AA874" s="23"/>
      <c r="AB874" s="23"/>
      <c r="AC874" s="23"/>
      <c r="AD874" s="23"/>
      <c r="AE874" s="158"/>
      <c r="AF874" s="158"/>
      <c r="AG874" s="158"/>
      <c r="AH874" s="158"/>
      <c r="AI874" s="158"/>
      <c r="AJ874" s="158"/>
      <c r="AK874" s="158"/>
      <c r="AL874" s="158"/>
      <c r="AM874" s="158"/>
      <c r="AN874" s="158"/>
      <c r="AO874" s="158"/>
      <c r="AP874" s="23"/>
      <c r="AQ874" s="23"/>
      <c r="AR874" s="23"/>
      <c r="AS874" s="23"/>
      <c r="AT874" s="2"/>
      <c r="AU874" s="58"/>
      <c r="AV874" s="105"/>
      <c r="AW874" s="23">
        <v>1</v>
      </c>
      <c r="AX874" s="23"/>
      <c r="AY874" s="23"/>
      <c r="AZ874" s="23"/>
      <c r="BA874" s="23"/>
      <c r="BB874" s="23"/>
      <c r="BC874" s="223"/>
      <c r="BD874" s="223"/>
      <c r="BE874" s="223"/>
      <c r="BF874" s="270">
        <v>2016</v>
      </c>
      <c r="BG874" s="270"/>
      <c r="BH874" s="420"/>
      <c r="BI874" s="682" t="s">
        <v>2376</v>
      </c>
    </row>
    <row r="875" spans="1:61" ht="15" customHeight="1">
      <c r="A875" s="160" t="s">
        <v>1</v>
      </c>
      <c r="B875" s="58" t="s">
        <v>320</v>
      </c>
      <c r="C875" s="66" t="s">
        <v>422</v>
      </c>
      <c r="D875" s="33" t="s">
        <v>319</v>
      </c>
      <c r="E875" s="33"/>
      <c r="F875" s="33"/>
      <c r="G875" s="33"/>
      <c r="H875" s="30"/>
      <c r="I875" s="30"/>
      <c r="J875" s="212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25"/>
      <c r="V875" s="23"/>
      <c r="W875" s="311"/>
      <c r="X875" s="311"/>
      <c r="Y875" s="311"/>
      <c r="Z875" s="94"/>
      <c r="AA875" s="23"/>
      <c r="AB875" s="23"/>
      <c r="AC875" s="23"/>
      <c r="AD875" s="23"/>
      <c r="AE875" s="158"/>
      <c r="AF875" s="158"/>
      <c r="AG875" s="158"/>
      <c r="AH875" s="158"/>
      <c r="AI875" s="158"/>
      <c r="AJ875" s="158"/>
      <c r="AK875" s="158"/>
      <c r="AL875" s="158"/>
      <c r="AM875" s="158"/>
      <c r="AN875" s="158"/>
      <c r="AO875" s="158"/>
      <c r="AP875" s="23"/>
      <c r="AQ875" s="23"/>
      <c r="AR875" s="23"/>
      <c r="AS875" s="23"/>
      <c r="AT875" s="2"/>
      <c r="AU875" s="58"/>
      <c r="AV875" s="105"/>
      <c r="AW875" s="23">
        <v>1</v>
      </c>
      <c r="AX875" s="23"/>
      <c r="AY875" s="23"/>
      <c r="AZ875" s="23"/>
      <c r="BA875" s="23"/>
      <c r="BB875" s="23"/>
      <c r="BC875" s="223"/>
      <c r="BD875" s="223"/>
      <c r="BE875" s="223"/>
      <c r="BF875" s="270">
        <v>2016</v>
      </c>
      <c r="BG875" s="270"/>
      <c r="BH875" s="420"/>
      <c r="BI875" s="682" t="s">
        <v>2376</v>
      </c>
    </row>
    <row r="876" spans="1:61" ht="15" customHeight="1">
      <c r="A876" s="160" t="s">
        <v>1</v>
      </c>
      <c r="B876" s="58" t="s">
        <v>320</v>
      </c>
      <c r="C876" s="66" t="s">
        <v>423</v>
      </c>
      <c r="D876" s="33" t="s">
        <v>319</v>
      </c>
      <c r="E876" s="33"/>
      <c r="F876" s="33"/>
      <c r="G876" s="33"/>
      <c r="H876" s="30"/>
      <c r="I876" s="30"/>
      <c r="J876" s="212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25"/>
      <c r="V876" s="23"/>
      <c r="W876" s="311"/>
      <c r="X876" s="311"/>
      <c r="Y876" s="311"/>
      <c r="Z876" s="94"/>
      <c r="AA876" s="23"/>
      <c r="AB876" s="23"/>
      <c r="AC876" s="23"/>
      <c r="AD876" s="23"/>
      <c r="AE876" s="158"/>
      <c r="AF876" s="158"/>
      <c r="AG876" s="158"/>
      <c r="AH876" s="158"/>
      <c r="AI876" s="158"/>
      <c r="AJ876" s="158"/>
      <c r="AK876" s="158"/>
      <c r="AL876" s="158"/>
      <c r="AM876" s="158"/>
      <c r="AN876" s="158"/>
      <c r="AO876" s="158"/>
      <c r="AP876" s="23"/>
      <c r="AQ876" s="23"/>
      <c r="AR876" s="23"/>
      <c r="AS876" s="23"/>
      <c r="AT876" s="2"/>
      <c r="AU876" s="58"/>
      <c r="AV876" s="105"/>
      <c r="AW876" s="23">
        <v>1</v>
      </c>
      <c r="AX876" s="23"/>
      <c r="AY876" s="23"/>
      <c r="AZ876" s="23"/>
      <c r="BA876" s="23"/>
      <c r="BB876" s="23"/>
      <c r="BC876" s="223"/>
      <c r="BD876" s="223"/>
      <c r="BE876" s="223"/>
      <c r="BF876" s="270">
        <v>2016</v>
      </c>
      <c r="BG876" s="270"/>
      <c r="BH876" s="420"/>
      <c r="BI876" s="682" t="s">
        <v>2376</v>
      </c>
    </row>
    <row r="877" spans="1:61" ht="15" customHeight="1">
      <c r="A877" s="160" t="s">
        <v>1</v>
      </c>
      <c r="B877" s="58" t="s">
        <v>320</v>
      </c>
      <c r="C877" s="66" t="s">
        <v>424</v>
      </c>
      <c r="D877" s="33" t="s">
        <v>319</v>
      </c>
      <c r="E877" s="33"/>
      <c r="F877" s="33"/>
      <c r="G877" s="33"/>
      <c r="H877" s="30"/>
      <c r="I877" s="30"/>
      <c r="J877" s="212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25"/>
      <c r="V877" s="23"/>
      <c r="W877" s="311"/>
      <c r="X877" s="311"/>
      <c r="Y877" s="311"/>
      <c r="Z877" s="94"/>
      <c r="AA877" s="23"/>
      <c r="AB877" s="23"/>
      <c r="AC877" s="23"/>
      <c r="AD877" s="23"/>
      <c r="AE877" s="158"/>
      <c r="AF877" s="158"/>
      <c r="AG877" s="158"/>
      <c r="AH877" s="158"/>
      <c r="AI877" s="158"/>
      <c r="AJ877" s="158"/>
      <c r="AK877" s="158"/>
      <c r="AL877" s="158"/>
      <c r="AM877" s="158"/>
      <c r="AN877" s="158"/>
      <c r="AO877" s="158"/>
      <c r="AP877" s="23"/>
      <c r="AQ877" s="23"/>
      <c r="AR877" s="23"/>
      <c r="AS877" s="23"/>
      <c r="AT877" s="2"/>
      <c r="AU877" s="58"/>
      <c r="AV877" s="105"/>
      <c r="AW877" s="23">
        <v>1</v>
      </c>
      <c r="AX877" s="23"/>
      <c r="AY877" s="23"/>
      <c r="AZ877" s="23"/>
      <c r="BA877" s="23"/>
      <c r="BB877" s="23"/>
      <c r="BC877" s="223"/>
      <c r="BD877" s="223"/>
      <c r="BE877" s="223"/>
      <c r="BF877" s="270">
        <v>2016</v>
      </c>
      <c r="BG877" s="270"/>
      <c r="BH877" s="421"/>
      <c r="BI877" s="682" t="s">
        <v>2376</v>
      </c>
    </row>
    <row r="878" spans="1:61" ht="15" customHeight="1">
      <c r="A878" s="160" t="s">
        <v>1</v>
      </c>
      <c r="B878" s="58" t="s">
        <v>320</v>
      </c>
      <c r="C878" s="66" t="s">
        <v>425</v>
      </c>
      <c r="D878" s="33" t="s">
        <v>319</v>
      </c>
      <c r="E878" s="33"/>
      <c r="F878" s="33"/>
      <c r="G878" s="33"/>
      <c r="H878" s="30"/>
      <c r="I878" s="30"/>
      <c r="J878" s="212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25"/>
      <c r="V878" s="23"/>
      <c r="W878" s="311"/>
      <c r="X878" s="311"/>
      <c r="Y878" s="311"/>
      <c r="Z878" s="94"/>
      <c r="AA878" s="23"/>
      <c r="AB878" s="23"/>
      <c r="AC878" s="23"/>
      <c r="AD878" s="23"/>
      <c r="AE878" s="158"/>
      <c r="AF878" s="158"/>
      <c r="AG878" s="158"/>
      <c r="AH878" s="158"/>
      <c r="AI878" s="158"/>
      <c r="AJ878" s="158"/>
      <c r="AK878" s="158"/>
      <c r="AL878" s="158"/>
      <c r="AM878" s="158"/>
      <c r="AN878" s="158"/>
      <c r="AO878" s="158"/>
      <c r="AP878" s="23"/>
      <c r="AQ878" s="23"/>
      <c r="AR878" s="23"/>
      <c r="AS878" s="23"/>
      <c r="AT878" s="2"/>
      <c r="AU878" s="58"/>
      <c r="AV878" s="105"/>
      <c r="AW878" s="23">
        <v>1</v>
      </c>
      <c r="AX878" s="23"/>
      <c r="AY878" s="23"/>
      <c r="AZ878" s="23"/>
      <c r="BA878" s="23"/>
      <c r="BB878" s="23"/>
      <c r="BC878" s="223"/>
      <c r="BD878" s="223"/>
      <c r="BE878" s="223"/>
      <c r="BF878" s="270">
        <v>2016</v>
      </c>
      <c r="BG878" s="270"/>
      <c r="BH878" s="420"/>
      <c r="BI878" s="682" t="s">
        <v>2376</v>
      </c>
    </row>
    <row r="879" spans="1:61" ht="15" customHeight="1">
      <c r="A879" s="160" t="s">
        <v>1</v>
      </c>
      <c r="B879" s="58" t="s">
        <v>320</v>
      </c>
      <c r="C879" s="66" t="s">
        <v>426</v>
      </c>
      <c r="D879" s="33" t="s">
        <v>319</v>
      </c>
      <c r="E879" s="33"/>
      <c r="F879" s="33"/>
      <c r="G879" s="33"/>
      <c r="H879" s="30"/>
      <c r="I879" s="30"/>
      <c r="J879" s="212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25"/>
      <c r="V879" s="23"/>
      <c r="W879" s="311"/>
      <c r="X879" s="311"/>
      <c r="Y879" s="311"/>
      <c r="Z879" s="94"/>
      <c r="AA879" s="23"/>
      <c r="AB879" s="23"/>
      <c r="AC879" s="23"/>
      <c r="AD879" s="23"/>
      <c r="AE879" s="158"/>
      <c r="AF879" s="158"/>
      <c r="AG879" s="158"/>
      <c r="AH879" s="158"/>
      <c r="AI879" s="158"/>
      <c r="AJ879" s="158"/>
      <c r="AK879" s="158"/>
      <c r="AL879" s="158"/>
      <c r="AM879" s="158"/>
      <c r="AN879" s="158"/>
      <c r="AO879" s="158"/>
      <c r="AP879" s="23"/>
      <c r="AQ879" s="23"/>
      <c r="AR879" s="23"/>
      <c r="AS879" s="23"/>
      <c r="AT879" s="2"/>
      <c r="AU879" s="58"/>
      <c r="AV879" s="105"/>
      <c r="AW879" s="23">
        <v>1</v>
      </c>
      <c r="AX879" s="23"/>
      <c r="AY879" s="23"/>
      <c r="AZ879" s="23"/>
      <c r="BA879" s="23"/>
      <c r="BB879" s="23"/>
      <c r="BC879" s="223"/>
      <c r="BD879" s="223"/>
      <c r="BE879" s="223"/>
      <c r="BF879" s="270">
        <v>2016</v>
      </c>
      <c r="BG879" s="270"/>
      <c r="BH879" s="420"/>
      <c r="BI879" s="682" t="s">
        <v>2376</v>
      </c>
    </row>
    <row r="880" spans="1:61" ht="15" customHeight="1">
      <c r="A880" s="160" t="s">
        <v>1</v>
      </c>
      <c r="B880" s="58" t="s">
        <v>320</v>
      </c>
      <c r="C880" s="66" t="s">
        <v>427</v>
      </c>
      <c r="D880" s="33" t="s">
        <v>319</v>
      </c>
      <c r="E880" s="33"/>
      <c r="F880" s="33"/>
      <c r="G880" s="33"/>
      <c r="H880" s="30"/>
      <c r="I880" s="30"/>
      <c r="J880" s="212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25"/>
      <c r="V880" s="23"/>
      <c r="W880" s="311"/>
      <c r="X880" s="311"/>
      <c r="Y880" s="311"/>
      <c r="Z880" s="94"/>
      <c r="AA880" s="23"/>
      <c r="AB880" s="23"/>
      <c r="AC880" s="23"/>
      <c r="AD880" s="23"/>
      <c r="AE880" s="158"/>
      <c r="AF880" s="158"/>
      <c r="AG880" s="158"/>
      <c r="AH880" s="158"/>
      <c r="AI880" s="158"/>
      <c r="AJ880" s="158"/>
      <c r="AK880" s="158"/>
      <c r="AL880" s="158"/>
      <c r="AM880" s="158"/>
      <c r="AN880" s="158"/>
      <c r="AO880" s="158"/>
      <c r="AP880" s="23"/>
      <c r="AQ880" s="23"/>
      <c r="AR880" s="23"/>
      <c r="AS880" s="23"/>
      <c r="AT880" s="2"/>
      <c r="AU880" s="58"/>
      <c r="AV880" s="105"/>
      <c r="AW880" s="23">
        <v>1</v>
      </c>
      <c r="AX880" s="23"/>
      <c r="AY880" s="23"/>
      <c r="AZ880" s="23"/>
      <c r="BA880" s="23"/>
      <c r="BB880" s="23"/>
      <c r="BC880" s="223"/>
      <c r="BD880" s="223"/>
      <c r="BE880" s="223"/>
      <c r="BF880" s="270">
        <v>2016</v>
      </c>
      <c r="BG880" s="270"/>
      <c r="BH880" s="420"/>
      <c r="BI880" s="682" t="s">
        <v>2376</v>
      </c>
    </row>
    <row r="881" spans="1:61" ht="15" customHeight="1">
      <c r="A881" s="160" t="s">
        <v>1</v>
      </c>
      <c r="B881" s="58" t="s">
        <v>320</v>
      </c>
      <c r="C881" s="66" t="s">
        <v>428</v>
      </c>
      <c r="D881" s="33" t="s">
        <v>319</v>
      </c>
      <c r="E881" s="33"/>
      <c r="F881" s="33"/>
      <c r="G881" s="33"/>
      <c r="H881" s="30"/>
      <c r="I881" s="30"/>
      <c r="J881" s="212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25"/>
      <c r="V881" s="23"/>
      <c r="W881" s="311"/>
      <c r="X881" s="311"/>
      <c r="Y881" s="311"/>
      <c r="Z881" s="94"/>
      <c r="AA881" s="23"/>
      <c r="AB881" s="23"/>
      <c r="AC881" s="23"/>
      <c r="AD881" s="23"/>
      <c r="AE881" s="158"/>
      <c r="AF881" s="158"/>
      <c r="AG881" s="158"/>
      <c r="AH881" s="158"/>
      <c r="AI881" s="158"/>
      <c r="AJ881" s="158"/>
      <c r="AK881" s="158"/>
      <c r="AL881" s="158"/>
      <c r="AM881" s="158"/>
      <c r="AN881" s="158"/>
      <c r="AO881" s="158"/>
      <c r="AP881" s="23"/>
      <c r="AQ881" s="23"/>
      <c r="AR881" s="23"/>
      <c r="AS881" s="23"/>
      <c r="AT881" s="2"/>
      <c r="AU881" s="58"/>
      <c r="AV881" s="105"/>
      <c r="AW881" s="23">
        <v>1</v>
      </c>
      <c r="AX881" s="23"/>
      <c r="AY881" s="23"/>
      <c r="AZ881" s="23"/>
      <c r="BA881" s="23"/>
      <c r="BB881" s="23"/>
      <c r="BC881" s="223"/>
      <c r="BD881" s="223"/>
      <c r="BE881" s="223"/>
      <c r="BF881" s="270">
        <v>2016</v>
      </c>
      <c r="BG881" s="270"/>
      <c r="BH881" s="420"/>
      <c r="BI881" s="682" t="s">
        <v>2376</v>
      </c>
    </row>
    <row r="882" spans="1:61" ht="15" customHeight="1">
      <c r="A882" s="160" t="s">
        <v>1</v>
      </c>
      <c r="B882" s="58" t="s">
        <v>320</v>
      </c>
      <c r="C882" s="66" t="s">
        <v>429</v>
      </c>
      <c r="D882" s="33" t="s">
        <v>319</v>
      </c>
      <c r="E882" s="33"/>
      <c r="F882" s="33"/>
      <c r="G882" s="33"/>
      <c r="H882" s="30"/>
      <c r="I882" s="30"/>
      <c r="J882" s="212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25"/>
      <c r="V882" s="23"/>
      <c r="W882" s="311"/>
      <c r="X882" s="311"/>
      <c r="Y882" s="311"/>
      <c r="Z882" s="94"/>
      <c r="AA882" s="23"/>
      <c r="AB882" s="23"/>
      <c r="AC882" s="23"/>
      <c r="AD882" s="23"/>
      <c r="AE882" s="158"/>
      <c r="AF882" s="158"/>
      <c r="AG882" s="158"/>
      <c r="AH882" s="158"/>
      <c r="AI882" s="158"/>
      <c r="AJ882" s="158"/>
      <c r="AK882" s="158"/>
      <c r="AL882" s="158"/>
      <c r="AM882" s="158"/>
      <c r="AN882" s="158"/>
      <c r="AO882" s="158"/>
      <c r="AP882" s="23"/>
      <c r="AQ882" s="23"/>
      <c r="AR882" s="23"/>
      <c r="AS882" s="23"/>
      <c r="AT882" s="2"/>
      <c r="AU882" s="58"/>
      <c r="AV882" s="105"/>
      <c r="AW882" s="23">
        <v>1</v>
      </c>
      <c r="AX882" s="23"/>
      <c r="AY882" s="23"/>
      <c r="AZ882" s="23"/>
      <c r="BA882" s="23"/>
      <c r="BB882" s="23"/>
      <c r="BC882" s="223"/>
      <c r="BD882" s="223"/>
      <c r="BE882" s="223"/>
      <c r="BF882" s="270">
        <v>2016</v>
      </c>
      <c r="BG882" s="270"/>
      <c r="BH882" s="420"/>
      <c r="BI882" s="682" t="s">
        <v>2376</v>
      </c>
    </row>
    <row r="883" spans="1:61" ht="15" customHeight="1">
      <c r="A883" s="160" t="s">
        <v>1</v>
      </c>
      <c r="B883" s="58" t="s">
        <v>320</v>
      </c>
      <c r="C883" s="66" t="s">
        <v>430</v>
      </c>
      <c r="D883" s="33" t="s">
        <v>319</v>
      </c>
      <c r="E883" s="33"/>
      <c r="F883" s="33"/>
      <c r="G883" s="33"/>
      <c r="H883" s="30"/>
      <c r="I883" s="30"/>
      <c r="J883" s="212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25"/>
      <c r="V883" s="23"/>
      <c r="W883" s="311"/>
      <c r="X883" s="311"/>
      <c r="Y883" s="311"/>
      <c r="Z883" s="94"/>
      <c r="AA883" s="23"/>
      <c r="AB883" s="23"/>
      <c r="AC883" s="23"/>
      <c r="AD883" s="23"/>
      <c r="AE883" s="158"/>
      <c r="AF883" s="158"/>
      <c r="AG883" s="158"/>
      <c r="AH883" s="158"/>
      <c r="AI883" s="158"/>
      <c r="AJ883" s="158"/>
      <c r="AK883" s="158"/>
      <c r="AL883" s="158"/>
      <c r="AM883" s="158"/>
      <c r="AN883" s="158"/>
      <c r="AO883" s="158"/>
      <c r="AP883" s="23"/>
      <c r="AQ883" s="23"/>
      <c r="AR883" s="23"/>
      <c r="AS883" s="23"/>
      <c r="AT883" s="2"/>
      <c r="AU883" s="58"/>
      <c r="AV883" s="105"/>
      <c r="AW883" s="23">
        <v>1</v>
      </c>
      <c r="AX883" s="23"/>
      <c r="AY883" s="23"/>
      <c r="AZ883" s="23"/>
      <c r="BA883" s="23"/>
      <c r="BB883" s="23"/>
      <c r="BC883" s="223"/>
      <c r="BD883" s="223"/>
      <c r="BE883" s="223"/>
      <c r="BF883" s="270">
        <v>2016</v>
      </c>
      <c r="BG883" s="270"/>
      <c r="BH883" s="420"/>
      <c r="BI883" s="682" t="s">
        <v>2376</v>
      </c>
    </row>
    <row r="884" spans="1:61" ht="15" customHeight="1">
      <c r="A884" s="160" t="s">
        <v>1</v>
      </c>
      <c r="B884" s="58" t="s">
        <v>320</v>
      </c>
      <c r="C884" s="66" t="s">
        <v>431</v>
      </c>
      <c r="D884" s="33" t="s">
        <v>319</v>
      </c>
      <c r="E884" s="33"/>
      <c r="F884" s="33"/>
      <c r="G884" s="33"/>
      <c r="H884" s="30"/>
      <c r="I884" s="30"/>
      <c r="J884" s="212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25"/>
      <c r="V884" s="23"/>
      <c r="W884" s="311"/>
      <c r="X884" s="311"/>
      <c r="Y884" s="311"/>
      <c r="Z884" s="94"/>
      <c r="AA884" s="23"/>
      <c r="AB884" s="23"/>
      <c r="AC884" s="23"/>
      <c r="AD884" s="23"/>
      <c r="AE884" s="158"/>
      <c r="AF884" s="158"/>
      <c r="AG884" s="158"/>
      <c r="AH884" s="158"/>
      <c r="AI884" s="158"/>
      <c r="AJ884" s="158"/>
      <c r="AK884" s="158"/>
      <c r="AL884" s="158"/>
      <c r="AM884" s="158"/>
      <c r="AN884" s="158"/>
      <c r="AO884" s="158"/>
      <c r="AP884" s="23"/>
      <c r="AQ884" s="23"/>
      <c r="AR884" s="23"/>
      <c r="AS884" s="23"/>
      <c r="AT884" s="2"/>
      <c r="AU884" s="58"/>
      <c r="AV884" s="105"/>
      <c r="AW884" s="23">
        <v>1</v>
      </c>
      <c r="AX884" s="23"/>
      <c r="AY884" s="23"/>
      <c r="AZ884" s="23"/>
      <c r="BA884" s="23"/>
      <c r="BB884" s="23"/>
      <c r="BC884" s="223"/>
      <c r="BD884" s="223"/>
      <c r="BE884" s="223"/>
      <c r="BF884" s="270">
        <v>2016</v>
      </c>
      <c r="BG884" s="270"/>
      <c r="BH884" s="420"/>
      <c r="BI884" s="682" t="s">
        <v>2376</v>
      </c>
    </row>
    <row r="885" spans="1:61" ht="15" customHeight="1">
      <c r="A885" s="160" t="s">
        <v>1</v>
      </c>
      <c r="B885" s="58" t="s">
        <v>320</v>
      </c>
      <c r="C885" s="66" t="s">
        <v>432</v>
      </c>
      <c r="D885" s="33" t="s">
        <v>319</v>
      </c>
      <c r="E885" s="33"/>
      <c r="F885" s="33"/>
      <c r="G885" s="33"/>
      <c r="H885" s="30"/>
      <c r="I885" s="30"/>
      <c r="J885" s="212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25"/>
      <c r="V885" s="23"/>
      <c r="W885" s="311"/>
      <c r="X885" s="311"/>
      <c r="Y885" s="311"/>
      <c r="Z885" s="94"/>
      <c r="AA885" s="23"/>
      <c r="AB885" s="23"/>
      <c r="AC885" s="23"/>
      <c r="AD885" s="23"/>
      <c r="AE885" s="158"/>
      <c r="AF885" s="158"/>
      <c r="AG885" s="158"/>
      <c r="AH885" s="158"/>
      <c r="AI885" s="158"/>
      <c r="AJ885" s="158"/>
      <c r="AK885" s="158"/>
      <c r="AL885" s="158"/>
      <c r="AM885" s="158"/>
      <c r="AN885" s="158"/>
      <c r="AO885" s="158"/>
      <c r="AP885" s="23"/>
      <c r="AQ885" s="23"/>
      <c r="AR885" s="23"/>
      <c r="AS885" s="23"/>
      <c r="AT885" s="2"/>
      <c r="AU885" s="58"/>
      <c r="AV885" s="105"/>
      <c r="AW885" s="23">
        <v>1</v>
      </c>
      <c r="AX885" s="23"/>
      <c r="AY885" s="23"/>
      <c r="AZ885" s="23"/>
      <c r="BA885" s="23"/>
      <c r="BB885" s="23"/>
      <c r="BC885" s="223"/>
      <c r="BD885" s="223"/>
      <c r="BE885" s="223"/>
      <c r="BF885" s="270">
        <v>2016</v>
      </c>
      <c r="BG885" s="270"/>
      <c r="BH885" s="420"/>
      <c r="BI885" s="682" t="s">
        <v>2376</v>
      </c>
    </row>
    <row r="886" spans="1:61" ht="15" customHeight="1">
      <c r="A886" s="160" t="s">
        <v>1</v>
      </c>
      <c r="B886" s="58" t="s">
        <v>320</v>
      </c>
      <c r="C886" s="66" t="s">
        <v>433</v>
      </c>
      <c r="D886" s="33" t="s">
        <v>319</v>
      </c>
      <c r="E886" s="33"/>
      <c r="F886" s="33"/>
      <c r="G886" s="33"/>
      <c r="H886" s="30"/>
      <c r="I886" s="30"/>
      <c r="J886" s="212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25"/>
      <c r="V886" s="23"/>
      <c r="W886" s="311"/>
      <c r="X886" s="311"/>
      <c r="Y886" s="311"/>
      <c r="Z886" s="94"/>
      <c r="AA886" s="23"/>
      <c r="AB886" s="23"/>
      <c r="AC886" s="23"/>
      <c r="AD886" s="23"/>
      <c r="AE886" s="158"/>
      <c r="AF886" s="158"/>
      <c r="AG886" s="158"/>
      <c r="AH886" s="158"/>
      <c r="AI886" s="158"/>
      <c r="AJ886" s="158"/>
      <c r="AK886" s="158"/>
      <c r="AL886" s="158"/>
      <c r="AM886" s="158"/>
      <c r="AN886" s="158"/>
      <c r="AO886" s="158"/>
      <c r="AP886" s="23"/>
      <c r="AQ886" s="23"/>
      <c r="AR886" s="23"/>
      <c r="AS886" s="23"/>
      <c r="AT886" s="2"/>
      <c r="AU886" s="58"/>
      <c r="AV886" s="105"/>
      <c r="AW886" s="23">
        <v>1</v>
      </c>
      <c r="AX886" s="23"/>
      <c r="AY886" s="23"/>
      <c r="AZ886" s="23"/>
      <c r="BA886" s="23"/>
      <c r="BB886" s="23"/>
      <c r="BC886" s="223"/>
      <c r="BD886" s="223"/>
      <c r="BE886" s="223"/>
      <c r="BF886" s="270">
        <v>2016</v>
      </c>
      <c r="BG886" s="270"/>
      <c r="BH886" s="420"/>
      <c r="BI886" s="682" t="s">
        <v>2376</v>
      </c>
    </row>
    <row r="887" spans="1:61" ht="15" customHeight="1">
      <c r="A887" s="160" t="s">
        <v>1</v>
      </c>
      <c r="B887" s="58" t="s">
        <v>320</v>
      </c>
      <c r="C887" s="66" t="s">
        <v>434</v>
      </c>
      <c r="D887" s="33" t="s">
        <v>319</v>
      </c>
      <c r="E887" s="33"/>
      <c r="F887" s="33"/>
      <c r="G887" s="33"/>
      <c r="H887" s="30"/>
      <c r="I887" s="30"/>
      <c r="J887" s="212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25"/>
      <c r="V887" s="23"/>
      <c r="W887" s="311"/>
      <c r="X887" s="311"/>
      <c r="Y887" s="311"/>
      <c r="Z887" s="94"/>
      <c r="AA887" s="23"/>
      <c r="AB887" s="23"/>
      <c r="AC887" s="23"/>
      <c r="AD887" s="23"/>
      <c r="AE887" s="158"/>
      <c r="AF887" s="158"/>
      <c r="AG887" s="158"/>
      <c r="AH887" s="158"/>
      <c r="AI887" s="158"/>
      <c r="AJ887" s="158"/>
      <c r="AK887" s="158"/>
      <c r="AL887" s="158"/>
      <c r="AM887" s="158"/>
      <c r="AN887" s="158"/>
      <c r="AO887" s="158"/>
      <c r="AP887" s="23"/>
      <c r="AQ887" s="23"/>
      <c r="AR887" s="23"/>
      <c r="AS887" s="23"/>
      <c r="AT887" s="2"/>
      <c r="AU887" s="58"/>
      <c r="AV887" s="105"/>
      <c r="AW887" s="23">
        <v>1</v>
      </c>
      <c r="AX887" s="23"/>
      <c r="AY887" s="23"/>
      <c r="AZ887" s="23"/>
      <c r="BA887" s="23"/>
      <c r="BB887" s="23"/>
      <c r="BC887" s="223"/>
      <c r="BD887" s="223"/>
      <c r="BE887" s="223"/>
      <c r="BF887" s="270">
        <v>2016</v>
      </c>
      <c r="BG887" s="270"/>
      <c r="BH887" s="420"/>
      <c r="BI887" s="682" t="s">
        <v>2376</v>
      </c>
    </row>
    <row r="888" spans="1:61" ht="15" customHeight="1">
      <c r="A888" s="160" t="s">
        <v>1</v>
      </c>
      <c r="B888" s="58" t="s">
        <v>320</v>
      </c>
      <c r="C888" s="66" t="s">
        <v>435</v>
      </c>
      <c r="D888" s="33" t="s">
        <v>319</v>
      </c>
      <c r="E888" s="33"/>
      <c r="F888" s="33"/>
      <c r="G888" s="33"/>
      <c r="H888" s="30"/>
      <c r="I888" s="30"/>
      <c r="J888" s="212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25"/>
      <c r="V888" s="23"/>
      <c r="W888" s="311"/>
      <c r="X888" s="311"/>
      <c r="Y888" s="311"/>
      <c r="Z888" s="94"/>
      <c r="AA888" s="23"/>
      <c r="AB888" s="23"/>
      <c r="AC888" s="23"/>
      <c r="AD888" s="23"/>
      <c r="AE888" s="158"/>
      <c r="AF888" s="158"/>
      <c r="AG888" s="158"/>
      <c r="AH888" s="158"/>
      <c r="AI888" s="158"/>
      <c r="AJ888" s="158"/>
      <c r="AK888" s="158"/>
      <c r="AL888" s="158"/>
      <c r="AM888" s="158"/>
      <c r="AN888" s="158"/>
      <c r="AO888" s="158"/>
      <c r="AP888" s="23"/>
      <c r="AQ888" s="23"/>
      <c r="AR888" s="23"/>
      <c r="AS888" s="23"/>
      <c r="AT888" s="2"/>
      <c r="AU888" s="58"/>
      <c r="AV888" s="105"/>
      <c r="AW888" s="23">
        <v>1</v>
      </c>
      <c r="AX888" s="23"/>
      <c r="AY888" s="23"/>
      <c r="AZ888" s="23"/>
      <c r="BA888" s="23"/>
      <c r="BB888" s="23"/>
      <c r="BC888" s="223"/>
      <c r="BD888" s="223"/>
      <c r="BE888" s="223"/>
      <c r="BF888" s="270">
        <v>2016</v>
      </c>
      <c r="BG888" s="270"/>
      <c r="BH888" s="420"/>
      <c r="BI888" s="682" t="s">
        <v>2376</v>
      </c>
    </row>
    <row r="889" spans="1:61" ht="15" customHeight="1">
      <c r="A889" s="160" t="s">
        <v>1</v>
      </c>
      <c r="B889" s="58" t="s">
        <v>320</v>
      </c>
      <c r="C889" s="66" t="s">
        <v>436</v>
      </c>
      <c r="D889" s="33" t="s">
        <v>319</v>
      </c>
      <c r="E889" s="33"/>
      <c r="F889" s="33"/>
      <c r="G889" s="33"/>
      <c r="H889" s="30"/>
      <c r="I889" s="30"/>
      <c r="J889" s="212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25"/>
      <c r="V889" s="23"/>
      <c r="W889" s="311"/>
      <c r="X889" s="311"/>
      <c r="Y889" s="311"/>
      <c r="Z889" s="94"/>
      <c r="AA889" s="23"/>
      <c r="AB889" s="23"/>
      <c r="AC889" s="23"/>
      <c r="AD889" s="23"/>
      <c r="AE889" s="158"/>
      <c r="AF889" s="158"/>
      <c r="AG889" s="158"/>
      <c r="AH889" s="158"/>
      <c r="AI889" s="158"/>
      <c r="AJ889" s="158"/>
      <c r="AK889" s="158"/>
      <c r="AL889" s="158"/>
      <c r="AM889" s="158"/>
      <c r="AN889" s="158"/>
      <c r="AO889" s="158"/>
      <c r="AP889" s="23"/>
      <c r="AQ889" s="23"/>
      <c r="AR889" s="23"/>
      <c r="AS889" s="23"/>
      <c r="AT889" s="2"/>
      <c r="AU889" s="58"/>
      <c r="AV889" s="105"/>
      <c r="AW889" s="23">
        <v>1</v>
      </c>
      <c r="AX889" s="23"/>
      <c r="AY889" s="23"/>
      <c r="AZ889" s="23"/>
      <c r="BA889" s="23"/>
      <c r="BB889" s="23"/>
      <c r="BC889" s="223"/>
      <c r="BD889" s="223"/>
      <c r="BE889" s="223"/>
      <c r="BF889" s="270">
        <v>2016</v>
      </c>
      <c r="BG889" s="270"/>
      <c r="BH889" s="420"/>
      <c r="BI889" s="682" t="s">
        <v>2376</v>
      </c>
    </row>
    <row r="890" spans="1:61" ht="18" customHeight="1">
      <c r="A890" s="160" t="s">
        <v>1</v>
      </c>
      <c r="B890" s="58" t="s">
        <v>320</v>
      </c>
      <c r="C890" s="66" t="s">
        <v>1043</v>
      </c>
      <c r="D890" s="33" t="s">
        <v>387</v>
      </c>
      <c r="E890" s="33"/>
      <c r="F890" s="33"/>
      <c r="G890" s="33"/>
      <c r="H890" s="30" t="s">
        <v>1929</v>
      </c>
      <c r="I890" s="30">
        <v>520</v>
      </c>
      <c r="J890" s="212">
        <v>2018</v>
      </c>
      <c r="K890" s="23"/>
      <c r="L890" s="23">
        <v>1</v>
      </c>
      <c r="M890" s="23"/>
      <c r="N890" s="23"/>
      <c r="O890" s="23"/>
      <c r="P890" s="23">
        <v>56837553</v>
      </c>
      <c r="Q890" s="23"/>
      <c r="R890" s="23"/>
      <c r="S890" s="23"/>
      <c r="T890" s="23"/>
      <c r="U890" s="225">
        <v>48311920</v>
      </c>
      <c r="V890" s="23"/>
      <c r="W890" s="311"/>
      <c r="X890" s="311"/>
      <c r="Y890" s="311"/>
      <c r="Z890" s="23">
        <v>8525633</v>
      </c>
      <c r="AA890" s="23"/>
      <c r="AB890" s="23"/>
      <c r="AC890" s="23"/>
      <c r="AD890" s="23"/>
      <c r="AE890" s="158"/>
      <c r="AF890" s="158">
        <f>P890-U890-Z890</f>
        <v>0</v>
      </c>
      <c r="AG890" s="158"/>
      <c r="AH890" s="158"/>
      <c r="AI890" s="158"/>
      <c r="AJ890" s="158"/>
      <c r="AK890" s="158"/>
      <c r="AL890" s="158"/>
      <c r="AM890" s="158"/>
      <c r="AN890" s="158"/>
      <c r="AO890" s="158"/>
      <c r="AP890" s="23"/>
      <c r="AQ890" s="23"/>
      <c r="AR890" s="23"/>
      <c r="AS890" s="23"/>
      <c r="AT890" s="2">
        <v>1</v>
      </c>
      <c r="AU890" s="58" t="s">
        <v>646</v>
      </c>
      <c r="AV890" s="386" t="s">
        <v>1846</v>
      </c>
      <c r="AW890" s="23">
        <v>1</v>
      </c>
      <c r="AX890" s="23"/>
      <c r="AY890" s="23"/>
      <c r="AZ890" s="23">
        <v>1</v>
      </c>
      <c r="BA890" s="23"/>
      <c r="BB890" s="23"/>
      <c r="BC890" s="223"/>
      <c r="BD890" s="223">
        <v>1</v>
      </c>
      <c r="BE890" s="223"/>
      <c r="BF890" s="430">
        <v>2019</v>
      </c>
      <c r="BG890" s="270">
        <v>2019</v>
      </c>
      <c r="BH890" s="271"/>
      <c r="BI890" s="271" t="s">
        <v>2375</v>
      </c>
    </row>
    <row r="891" spans="1:61" ht="15" customHeight="1">
      <c r="A891" s="160" t="s">
        <v>1</v>
      </c>
      <c r="B891" s="58" t="s">
        <v>320</v>
      </c>
      <c r="C891" s="66" t="s">
        <v>437</v>
      </c>
      <c r="D891" s="33" t="s">
        <v>387</v>
      </c>
      <c r="E891" s="33"/>
      <c r="F891" s="33"/>
      <c r="G891" s="33"/>
      <c r="H891" s="30"/>
      <c r="I891" s="30"/>
      <c r="J891" s="212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25"/>
      <c r="V891" s="23"/>
      <c r="W891" s="311"/>
      <c r="X891" s="311"/>
      <c r="Y891" s="311"/>
      <c r="Z891" s="94"/>
      <c r="AA891" s="23"/>
      <c r="AB891" s="23"/>
      <c r="AC891" s="23"/>
      <c r="AD891" s="23"/>
      <c r="AE891" s="158"/>
      <c r="AF891" s="158"/>
      <c r="AG891" s="158"/>
      <c r="AH891" s="158"/>
      <c r="AI891" s="158"/>
      <c r="AJ891" s="158"/>
      <c r="AK891" s="158"/>
      <c r="AL891" s="158"/>
      <c r="AM891" s="158"/>
      <c r="AN891" s="158"/>
      <c r="AO891" s="158"/>
      <c r="AP891" s="23"/>
      <c r="AQ891" s="23"/>
      <c r="AR891" s="23"/>
      <c r="AS891" s="23"/>
      <c r="AT891" s="2"/>
      <c r="AU891" s="58"/>
      <c r="AV891" s="105"/>
      <c r="AW891" s="23">
        <v>1</v>
      </c>
      <c r="AX891" s="23"/>
      <c r="AY891" s="23"/>
      <c r="AZ891" s="23"/>
      <c r="BA891" s="23"/>
      <c r="BB891" s="23"/>
      <c r="BC891" s="223"/>
      <c r="BD891" s="223"/>
      <c r="BE891" s="223"/>
      <c r="BF891" s="270">
        <v>2016</v>
      </c>
      <c r="BG891" s="270"/>
      <c r="BH891" s="420"/>
      <c r="BI891" s="682" t="s">
        <v>2376</v>
      </c>
    </row>
    <row r="892" spans="1:61" s="204" customFormat="1" ht="18" customHeight="1">
      <c r="A892" s="160" t="s">
        <v>1</v>
      </c>
      <c r="B892" s="58" t="s">
        <v>320</v>
      </c>
      <c r="C892" s="66" t="s">
        <v>438</v>
      </c>
      <c r="D892" s="33" t="s">
        <v>438</v>
      </c>
      <c r="E892" s="33"/>
      <c r="F892" s="33"/>
      <c r="G892" s="33"/>
      <c r="H892" s="30" t="s">
        <v>664</v>
      </c>
      <c r="I892" s="30">
        <v>602</v>
      </c>
      <c r="J892" s="212">
        <v>42458</v>
      </c>
      <c r="K892" s="23"/>
      <c r="L892" s="23"/>
      <c r="M892" s="23">
        <f>14-1-1-1-1-1</f>
        <v>9</v>
      </c>
      <c r="N892" s="23"/>
      <c r="O892" s="23">
        <v>9</v>
      </c>
      <c r="P892" s="23"/>
      <c r="Q892" s="23"/>
      <c r="R892" s="23"/>
      <c r="S892" s="23"/>
      <c r="T892" s="23"/>
      <c r="U892" s="225"/>
      <c r="V892" s="23"/>
      <c r="W892" s="311"/>
      <c r="X892" s="311"/>
      <c r="Y892" s="311"/>
      <c r="Z892" s="94"/>
      <c r="AA892" s="23"/>
      <c r="AB892" s="23"/>
      <c r="AC892" s="23"/>
      <c r="AD892" s="23"/>
      <c r="AE892" s="158"/>
      <c r="AF892" s="158">
        <f>P892-U892-Z892</f>
        <v>0</v>
      </c>
      <c r="AG892" s="158"/>
      <c r="AH892" s="94">
        <v>0</v>
      </c>
      <c r="AI892" s="94">
        <v>0</v>
      </c>
      <c r="AJ892" s="94"/>
      <c r="AK892" s="158">
        <f>P892-R892-U892-Z892</f>
        <v>0</v>
      </c>
      <c r="AL892" s="158"/>
      <c r="AM892" s="158"/>
      <c r="AN892" s="158">
        <v>9</v>
      </c>
      <c r="AO892" s="158"/>
      <c r="AP892" s="23"/>
      <c r="AQ892" s="23"/>
      <c r="AR892" s="23"/>
      <c r="AS892" s="23"/>
      <c r="AT892" s="24">
        <v>0</v>
      </c>
      <c r="AU892" s="58" t="s">
        <v>521</v>
      </c>
      <c r="AV892" s="386"/>
      <c r="AW892" s="23"/>
      <c r="AX892" s="23"/>
      <c r="AY892" s="23"/>
      <c r="AZ892" s="23"/>
      <c r="BA892" s="23"/>
      <c r="BB892" s="23"/>
      <c r="BC892" s="223"/>
      <c r="BD892" s="223"/>
      <c r="BE892" s="223"/>
      <c r="BF892" s="271"/>
      <c r="BG892" s="271">
        <v>2019</v>
      </c>
      <c r="BH892" s="271">
        <v>2020</v>
      </c>
      <c r="BI892" s="271" t="s">
        <v>2375</v>
      </c>
    </row>
    <row r="893" spans="1:61" ht="18" customHeight="1">
      <c r="A893" s="160" t="s">
        <v>1</v>
      </c>
      <c r="B893" s="58" t="s">
        <v>320</v>
      </c>
      <c r="C893" s="66" t="s">
        <v>888</v>
      </c>
      <c r="D893" s="33" t="s">
        <v>438</v>
      </c>
      <c r="E893" s="33"/>
      <c r="F893" s="33"/>
      <c r="G893" s="33"/>
      <c r="H893" s="30" t="s">
        <v>664</v>
      </c>
      <c r="I893" s="30">
        <v>864</v>
      </c>
      <c r="J893" s="212">
        <v>43602</v>
      </c>
      <c r="K893" s="23"/>
      <c r="L893" s="23">
        <v>1</v>
      </c>
      <c r="M893" s="23"/>
      <c r="N893" s="23"/>
      <c r="O893" s="23"/>
      <c r="P893" s="23">
        <v>68530000</v>
      </c>
      <c r="Q893" s="23"/>
      <c r="R893" s="23"/>
      <c r="S893" s="23"/>
      <c r="T893" s="23"/>
      <c r="U893" s="225">
        <v>68530000</v>
      </c>
      <c r="V893" s="23">
        <v>20</v>
      </c>
      <c r="W893" s="311">
        <v>43617</v>
      </c>
      <c r="X893" s="311"/>
      <c r="Y893" s="311"/>
      <c r="Z893" s="94"/>
      <c r="AA893" s="23"/>
      <c r="AB893" s="23"/>
      <c r="AC893" s="23"/>
      <c r="AD893" s="23"/>
      <c r="AE893" s="158"/>
      <c r="AF893" s="158">
        <f>P893-U893-Z893</f>
        <v>0</v>
      </c>
      <c r="AG893" s="158"/>
      <c r="AH893" s="94">
        <v>0</v>
      </c>
      <c r="AI893" s="94">
        <v>0</v>
      </c>
      <c r="AJ893" s="94"/>
      <c r="AK893" s="158">
        <f t="shared" ref="AK893" si="231">AF893+AH893</f>
        <v>0</v>
      </c>
      <c r="AL893" s="158">
        <v>877</v>
      </c>
      <c r="AM893" s="158">
        <v>20</v>
      </c>
      <c r="AN893" s="158"/>
      <c r="AO893" s="158"/>
      <c r="AP893" s="23"/>
      <c r="AQ893" s="23"/>
      <c r="AR893" s="23"/>
      <c r="AS893" s="23"/>
      <c r="AT893" s="2">
        <v>1</v>
      </c>
      <c r="AU893" s="58" t="s">
        <v>646</v>
      </c>
      <c r="AV893" s="388" t="s">
        <v>1744</v>
      </c>
      <c r="AW893" s="23"/>
      <c r="AX893" s="23"/>
      <c r="AY893" s="23"/>
      <c r="AZ893" s="23">
        <v>1</v>
      </c>
      <c r="BA893" s="23"/>
      <c r="BB893" s="23"/>
      <c r="BC893" s="223"/>
      <c r="BD893" s="223">
        <v>1</v>
      </c>
      <c r="BE893" s="223"/>
      <c r="BF893" s="270">
        <v>2019</v>
      </c>
      <c r="BG893" s="270">
        <v>2019</v>
      </c>
      <c r="BH893" s="271"/>
      <c r="BI893" s="271" t="s">
        <v>2375</v>
      </c>
    </row>
    <row r="894" spans="1:61" ht="24.75" customHeight="1">
      <c r="A894" s="160" t="s">
        <v>1</v>
      </c>
      <c r="B894" s="58" t="s">
        <v>320</v>
      </c>
      <c r="C894" s="66" t="s">
        <v>964</v>
      </c>
      <c r="D894" s="33" t="s">
        <v>438</v>
      </c>
      <c r="E894" s="33"/>
      <c r="F894" s="33"/>
      <c r="G894" s="33"/>
      <c r="H894" s="30" t="s">
        <v>664</v>
      </c>
      <c r="I894" s="30">
        <v>602</v>
      </c>
      <c r="J894" s="212">
        <v>42458</v>
      </c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25"/>
      <c r="V894" s="23"/>
      <c r="W894" s="311"/>
      <c r="X894" s="311"/>
      <c r="Y894" s="311"/>
      <c r="Z894" s="94"/>
      <c r="AA894" s="23"/>
      <c r="AB894" s="23"/>
      <c r="AC894" s="23"/>
      <c r="AD894" s="23"/>
      <c r="AE894" s="158"/>
      <c r="AF894" s="158"/>
      <c r="AG894" s="158"/>
      <c r="AH894" s="158"/>
      <c r="AI894" s="158"/>
      <c r="AJ894" s="158"/>
      <c r="AK894" s="158"/>
      <c r="AL894" s="158"/>
      <c r="AM894" s="158"/>
      <c r="AN894" s="158"/>
      <c r="AO894" s="158"/>
      <c r="AP894" s="23"/>
      <c r="AQ894" s="23"/>
      <c r="AR894" s="23"/>
      <c r="AS894" s="23"/>
      <c r="AT894" s="24">
        <v>1</v>
      </c>
      <c r="AU894" s="58" t="s">
        <v>646</v>
      </c>
      <c r="AV894" s="105"/>
      <c r="AW894" s="23"/>
      <c r="AX894" s="23"/>
      <c r="AY894" s="514">
        <v>1</v>
      </c>
      <c r="AZ894" s="23"/>
      <c r="BA894" s="23"/>
      <c r="BB894" s="23">
        <v>1</v>
      </c>
      <c r="BC894" s="223"/>
      <c r="BD894" s="223"/>
      <c r="BE894" s="223"/>
      <c r="BF894" s="270">
        <v>2018</v>
      </c>
      <c r="BG894" s="270"/>
      <c r="BH894" s="420"/>
      <c r="BI894" s="682" t="s">
        <v>2376</v>
      </c>
    </row>
    <row r="895" spans="1:61" ht="15" customHeight="1">
      <c r="A895" s="160" t="s">
        <v>1</v>
      </c>
      <c r="B895" s="58" t="s">
        <v>320</v>
      </c>
      <c r="C895" s="66" t="s">
        <v>439</v>
      </c>
      <c r="D895" s="33" t="s">
        <v>319</v>
      </c>
      <c r="E895" s="33"/>
      <c r="F895" s="33"/>
      <c r="G895" s="33"/>
      <c r="H895" s="30"/>
      <c r="I895" s="30"/>
      <c r="J895" s="212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25"/>
      <c r="V895" s="23"/>
      <c r="W895" s="311"/>
      <c r="X895" s="311"/>
      <c r="Y895" s="311"/>
      <c r="Z895" s="94"/>
      <c r="AA895" s="23"/>
      <c r="AB895" s="23"/>
      <c r="AC895" s="23"/>
      <c r="AD895" s="23"/>
      <c r="AE895" s="158"/>
      <c r="AF895" s="158"/>
      <c r="AG895" s="158"/>
      <c r="AH895" s="158"/>
      <c r="AI895" s="158"/>
      <c r="AJ895" s="158"/>
      <c r="AK895" s="158"/>
      <c r="AL895" s="158"/>
      <c r="AM895" s="158"/>
      <c r="AN895" s="158"/>
      <c r="AO895" s="158"/>
      <c r="AP895" s="23"/>
      <c r="AQ895" s="23"/>
      <c r="AR895" s="23"/>
      <c r="AS895" s="23"/>
      <c r="AT895" s="2"/>
      <c r="AU895" s="58"/>
      <c r="AV895" s="105"/>
      <c r="AW895" s="23">
        <v>1</v>
      </c>
      <c r="AX895" s="23"/>
      <c r="AY895" s="23"/>
      <c r="AZ895" s="23"/>
      <c r="BA895" s="23"/>
      <c r="BB895" s="23"/>
      <c r="BC895" s="223"/>
      <c r="BD895" s="223"/>
      <c r="BE895" s="223"/>
      <c r="BF895" s="270">
        <v>2016</v>
      </c>
      <c r="BG895" s="270"/>
      <c r="BH895" s="420"/>
      <c r="BI895" s="682" t="s">
        <v>2376</v>
      </c>
    </row>
    <row r="896" spans="1:61" ht="15" customHeight="1">
      <c r="A896" s="160" t="s">
        <v>1</v>
      </c>
      <c r="B896" s="58" t="s">
        <v>320</v>
      </c>
      <c r="C896" s="66" t="s">
        <v>440</v>
      </c>
      <c r="D896" s="33" t="s">
        <v>319</v>
      </c>
      <c r="E896" s="33"/>
      <c r="F896" s="33"/>
      <c r="G896" s="33"/>
      <c r="H896" s="30"/>
      <c r="I896" s="30"/>
      <c r="J896" s="212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25"/>
      <c r="V896" s="23"/>
      <c r="W896" s="311"/>
      <c r="X896" s="311"/>
      <c r="Y896" s="311"/>
      <c r="Z896" s="94"/>
      <c r="AA896" s="23"/>
      <c r="AB896" s="23"/>
      <c r="AC896" s="23"/>
      <c r="AD896" s="23"/>
      <c r="AE896" s="158"/>
      <c r="AF896" s="158"/>
      <c r="AG896" s="158"/>
      <c r="AH896" s="158"/>
      <c r="AI896" s="158"/>
      <c r="AJ896" s="158"/>
      <c r="AK896" s="158"/>
      <c r="AL896" s="158"/>
      <c r="AM896" s="158"/>
      <c r="AN896" s="158"/>
      <c r="AO896" s="158"/>
      <c r="AP896" s="23"/>
      <c r="AQ896" s="23"/>
      <c r="AR896" s="23"/>
      <c r="AS896" s="23"/>
      <c r="AT896" s="2"/>
      <c r="AU896" s="58"/>
      <c r="AV896" s="105"/>
      <c r="AW896" s="23">
        <v>1</v>
      </c>
      <c r="AX896" s="23"/>
      <c r="AY896" s="23"/>
      <c r="AZ896" s="23"/>
      <c r="BA896" s="23"/>
      <c r="BB896" s="23"/>
      <c r="BC896" s="223"/>
      <c r="BD896" s="223"/>
      <c r="BE896" s="223"/>
      <c r="BF896" s="270">
        <v>2016</v>
      </c>
      <c r="BG896" s="270"/>
      <c r="BH896" s="420"/>
      <c r="BI896" s="682" t="s">
        <v>2376</v>
      </c>
    </row>
    <row r="897" spans="1:61" ht="15" customHeight="1">
      <c r="A897" s="160" t="s">
        <v>1</v>
      </c>
      <c r="B897" s="58" t="s">
        <v>320</v>
      </c>
      <c r="C897" s="66" t="s">
        <v>441</v>
      </c>
      <c r="D897" s="33" t="s">
        <v>319</v>
      </c>
      <c r="E897" s="33"/>
      <c r="F897" s="33"/>
      <c r="G897" s="33"/>
      <c r="H897" s="30"/>
      <c r="I897" s="30"/>
      <c r="J897" s="212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25"/>
      <c r="V897" s="23"/>
      <c r="W897" s="311"/>
      <c r="X897" s="311"/>
      <c r="Y897" s="311"/>
      <c r="Z897" s="94"/>
      <c r="AA897" s="23"/>
      <c r="AB897" s="23"/>
      <c r="AC897" s="23"/>
      <c r="AD897" s="23"/>
      <c r="AE897" s="158"/>
      <c r="AF897" s="158"/>
      <c r="AG897" s="158"/>
      <c r="AH897" s="158"/>
      <c r="AI897" s="158"/>
      <c r="AJ897" s="158"/>
      <c r="AK897" s="158"/>
      <c r="AL897" s="158"/>
      <c r="AM897" s="158"/>
      <c r="AN897" s="158"/>
      <c r="AO897" s="158"/>
      <c r="AP897" s="23"/>
      <c r="AQ897" s="23"/>
      <c r="AR897" s="23"/>
      <c r="AS897" s="23"/>
      <c r="AT897" s="2"/>
      <c r="AU897" s="58"/>
      <c r="AV897" s="105"/>
      <c r="AW897" s="23">
        <v>1</v>
      </c>
      <c r="AX897" s="23"/>
      <c r="AY897" s="23"/>
      <c r="AZ897" s="23"/>
      <c r="BA897" s="23"/>
      <c r="BB897" s="23"/>
      <c r="BC897" s="223"/>
      <c r="BD897" s="223"/>
      <c r="BE897" s="223"/>
      <c r="BF897" s="270">
        <v>2016</v>
      </c>
      <c r="BG897" s="270"/>
      <c r="BH897" s="420"/>
      <c r="BI897" s="682" t="s">
        <v>2376</v>
      </c>
    </row>
    <row r="898" spans="1:61" ht="15" customHeight="1">
      <c r="A898" s="160" t="s">
        <v>1</v>
      </c>
      <c r="B898" s="58" t="s">
        <v>320</v>
      </c>
      <c r="C898" s="65" t="s">
        <v>442</v>
      </c>
      <c r="D898" s="33" t="s">
        <v>319</v>
      </c>
      <c r="E898" s="33"/>
      <c r="F898" s="33"/>
      <c r="G898" s="33"/>
      <c r="H898" s="30"/>
      <c r="I898" s="30"/>
      <c r="J898" s="212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25"/>
      <c r="V898" s="23"/>
      <c r="W898" s="311"/>
      <c r="X898" s="311"/>
      <c r="Y898" s="311"/>
      <c r="Z898" s="94"/>
      <c r="AA898" s="23"/>
      <c r="AB898" s="23"/>
      <c r="AC898" s="23"/>
      <c r="AD898" s="23"/>
      <c r="AE898" s="158"/>
      <c r="AF898" s="158"/>
      <c r="AG898" s="158"/>
      <c r="AH898" s="158"/>
      <c r="AI898" s="158"/>
      <c r="AJ898" s="158"/>
      <c r="AK898" s="158"/>
      <c r="AL898" s="158"/>
      <c r="AM898" s="158"/>
      <c r="AN898" s="158"/>
      <c r="AO898" s="158"/>
      <c r="AP898" s="23"/>
      <c r="AQ898" s="23"/>
      <c r="AR898" s="23"/>
      <c r="AS898" s="23"/>
      <c r="AT898" s="2"/>
      <c r="AU898" s="58"/>
      <c r="AV898" s="105"/>
      <c r="AW898" s="23">
        <v>1</v>
      </c>
      <c r="AX898" s="23"/>
      <c r="AY898" s="23"/>
      <c r="AZ898" s="23"/>
      <c r="BA898" s="23"/>
      <c r="BB898" s="23"/>
      <c r="BC898" s="223"/>
      <c r="BD898" s="223"/>
      <c r="BE898" s="223"/>
      <c r="BF898" s="270">
        <v>2016</v>
      </c>
      <c r="BG898" s="270"/>
      <c r="BH898" s="420"/>
      <c r="BI898" s="682" t="s">
        <v>2376</v>
      </c>
    </row>
    <row r="899" spans="1:61" ht="15" customHeight="1">
      <c r="A899" s="160" t="s">
        <v>1</v>
      </c>
      <c r="B899" s="58" t="s">
        <v>320</v>
      </c>
      <c r="C899" s="65" t="s">
        <v>443</v>
      </c>
      <c r="D899" s="33" t="s">
        <v>319</v>
      </c>
      <c r="E899" s="33"/>
      <c r="F899" s="33"/>
      <c r="G899" s="33"/>
      <c r="H899" s="30"/>
      <c r="I899" s="30"/>
      <c r="J899" s="212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25"/>
      <c r="V899" s="23"/>
      <c r="W899" s="311"/>
      <c r="X899" s="311"/>
      <c r="Y899" s="311"/>
      <c r="Z899" s="94"/>
      <c r="AA899" s="23"/>
      <c r="AB899" s="23"/>
      <c r="AC899" s="23"/>
      <c r="AD899" s="23"/>
      <c r="AE899" s="158"/>
      <c r="AF899" s="158"/>
      <c r="AG899" s="158"/>
      <c r="AH899" s="158"/>
      <c r="AI899" s="158"/>
      <c r="AJ899" s="158"/>
      <c r="AK899" s="158"/>
      <c r="AL899" s="158"/>
      <c r="AM899" s="158"/>
      <c r="AN899" s="158"/>
      <c r="AO899" s="158"/>
      <c r="AP899" s="23"/>
      <c r="AQ899" s="23"/>
      <c r="AR899" s="23"/>
      <c r="AS899" s="23"/>
      <c r="AT899" s="2"/>
      <c r="AU899" s="58"/>
      <c r="AV899" s="105"/>
      <c r="AW899" s="23">
        <v>1</v>
      </c>
      <c r="AX899" s="23"/>
      <c r="AY899" s="23"/>
      <c r="AZ899" s="23"/>
      <c r="BA899" s="23"/>
      <c r="BB899" s="23"/>
      <c r="BC899" s="223"/>
      <c r="BD899" s="223"/>
      <c r="BE899" s="223"/>
      <c r="BF899" s="270">
        <v>2016</v>
      </c>
      <c r="BG899" s="270"/>
      <c r="BH899" s="420"/>
      <c r="BI899" s="682" t="s">
        <v>2376</v>
      </c>
    </row>
    <row r="900" spans="1:61" ht="15" customHeight="1">
      <c r="A900" s="160" t="s">
        <v>1</v>
      </c>
      <c r="B900" s="58" t="s">
        <v>320</v>
      </c>
      <c r="C900" s="65" t="s">
        <v>444</v>
      </c>
      <c r="D900" s="33" t="s">
        <v>319</v>
      </c>
      <c r="E900" s="33"/>
      <c r="F900" s="33"/>
      <c r="G900" s="33"/>
      <c r="H900" s="30"/>
      <c r="I900" s="30"/>
      <c r="J900" s="212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25"/>
      <c r="V900" s="23"/>
      <c r="W900" s="311"/>
      <c r="X900" s="311"/>
      <c r="Y900" s="311"/>
      <c r="Z900" s="94"/>
      <c r="AA900" s="23"/>
      <c r="AB900" s="23"/>
      <c r="AC900" s="23"/>
      <c r="AD900" s="23"/>
      <c r="AE900" s="158"/>
      <c r="AF900" s="158"/>
      <c r="AG900" s="158"/>
      <c r="AH900" s="158"/>
      <c r="AI900" s="158"/>
      <c r="AJ900" s="158"/>
      <c r="AK900" s="158"/>
      <c r="AL900" s="158"/>
      <c r="AM900" s="158"/>
      <c r="AN900" s="158"/>
      <c r="AO900" s="158"/>
      <c r="AP900" s="23"/>
      <c r="AQ900" s="23"/>
      <c r="AR900" s="23"/>
      <c r="AS900" s="23"/>
      <c r="AT900" s="2"/>
      <c r="AU900" s="58"/>
      <c r="AV900" s="105"/>
      <c r="AW900" s="23">
        <v>1</v>
      </c>
      <c r="AX900" s="23"/>
      <c r="AY900" s="23"/>
      <c r="AZ900" s="23"/>
      <c r="BA900" s="23"/>
      <c r="BB900" s="23"/>
      <c r="BC900" s="223"/>
      <c r="BD900" s="223"/>
      <c r="BE900" s="223"/>
      <c r="BF900" s="270">
        <v>2016</v>
      </c>
      <c r="BG900" s="270"/>
      <c r="BH900" s="420"/>
      <c r="BI900" s="682" t="s">
        <v>2376</v>
      </c>
    </row>
    <row r="901" spans="1:61" ht="15" customHeight="1">
      <c r="A901" s="160" t="s">
        <v>1</v>
      </c>
      <c r="B901" s="58" t="s">
        <v>320</v>
      </c>
      <c r="C901" s="65" t="s">
        <v>445</v>
      </c>
      <c r="D901" s="33" t="s">
        <v>319</v>
      </c>
      <c r="E901" s="33"/>
      <c r="F901" s="33"/>
      <c r="G901" s="33"/>
      <c r="H901" s="30"/>
      <c r="I901" s="30"/>
      <c r="J901" s="212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25"/>
      <c r="V901" s="23"/>
      <c r="W901" s="311"/>
      <c r="X901" s="311"/>
      <c r="Y901" s="311"/>
      <c r="Z901" s="94"/>
      <c r="AA901" s="23"/>
      <c r="AB901" s="23"/>
      <c r="AC901" s="23"/>
      <c r="AD901" s="23"/>
      <c r="AE901" s="158"/>
      <c r="AF901" s="158"/>
      <c r="AG901" s="158"/>
      <c r="AH901" s="158"/>
      <c r="AI901" s="158"/>
      <c r="AJ901" s="158"/>
      <c r="AK901" s="158"/>
      <c r="AL901" s="158"/>
      <c r="AM901" s="158"/>
      <c r="AN901" s="158"/>
      <c r="AO901" s="158"/>
      <c r="AP901" s="23"/>
      <c r="AQ901" s="23"/>
      <c r="AR901" s="23"/>
      <c r="AS901" s="23"/>
      <c r="AT901" s="2"/>
      <c r="AU901" s="58"/>
      <c r="AV901" s="105"/>
      <c r="AW901" s="23">
        <v>1</v>
      </c>
      <c r="AX901" s="23"/>
      <c r="AY901" s="23"/>
      <c r="AZ901" s="23"/>
      <c r="BA901" s="23"/>
      <c r="BB901" s="23"/>
      <c r="BC901" s="223"/>
      <c r="BD901" s="223"/>
      <c r="BE901" s="223"/>
      <c r="BF901" s="270">
        <v>2016</v>
      </c>
      <c r="BG901" s="270"/>
      <c r="BH901" s="420"/>
      <c r="BI901" s="682" t="s">
        <v>2376</v>
      </c>
    </row>
    <row r="902" spans="1:61" ht="15" customHeight="1">
      <c r="A902" s="160" t="s">
        <v>1</v>
      </c>
      <c r="B902" s="58" t="s">
        <v>320</v>
      </c>
      <c r="C902" s="65" t="s">
        <v>446</v>
      </c>
      <c r="D902" s="33" t="s">
        <v>387</v>
      </c>
      <c r="E902" s="33"/>
      <c r="F902" s="33"/>
      <c r="G902" s="33"/>
      <c r="H902" s="30"/>
      <c r="I902" s="30"/>
      <c r="J902" s="212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25"/>
      <c r="V902" s="23"/>
      <c r="W902" s="311"/>
      <c r="X902" s="311"/>
      <c r="Y902" s="311"/>
      <c r="Z902" s="94"/>
      <c r="AA902" s="23"/>
      <c r="AB902" s="23"/>
      <c r="AC902" s="23"/>
      <c r="AD902" s="23"/>
      <c r="AE902" s="158"/>
      <c r="AF902" s="158"/>
      <c r="AG902" s="158"/>
      <c r="AH902" s="158"/>
      <c r="AI902" s="158"/>
      <c r="AJ902" s="158"/>
      <c r="AK902" s="158"/>
      <c r="AL902" s="158"/>
      <c r="AM902" s="158"/>
      <c r="AN902" s="158"/>
      <c r="AO902" s="158"/>
      <c r="AP902" s="23"/>
      <c r="AQ902" s="23"/>
      <c r="AR902" s="23"/>
      <c r="AS902" s="23"/>
      <c r="AT902" s="2"/>
      <c r="AU902" s="58"/>
      <c r="AV902" s="105"/>
      <c r="AW902" s="23">
        <v>1</v>
      </c>
      <c r="AX902" s="23"/>
      <c r="AY902" s="23"/>
      <c r="AZ902" s="23"/>
      <c r="BA902" s="23"/>
      <c r="BB902" s="23"/>
      <c r="BC902" s="223"/>
      <c r="BD902" s="223"/>
      <c r="BE902" s="223"/>
      <c r="BF902" s="270">
        <v>2016</v>
      </c>
      <c r="BG902" s="270"/>
      <c r="BH902" s="420"/>
      <c r="BI902" s="682" t="s">
        <v>2376</v>
      </c>
    </row>
    <row r="903" spans="1:61" ht="15" customHeight="1">
      <c r="A903" s="160" t="s">
        <v>1</v>
      </c>
      <c r="B903" s="58" t="s">
        <v>320</v>
      </c>
      <c r="C903" s="65" t="s">
        <v>447</v>
      </c>
      <c r="D903" s="33" t="s">
        <v>319</v>
      </c>
      <c r="E903" s="33"/>
      <c r="F903" s="33"/>
      <c r="G903" s="33"/>
      <c r="H903" s="30"/>
      <c r="I903" s="30"/>
      <c r="J903" s="212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25"/>
      <c r="V903" s="23"/>
      <c r="W903" s="311"/>
      <c r="X903" s="311"/>
      <c r="Y903" s="311"/>
      <c r="Z903" s="94"/>
      <c r="AA903" s="23"/>
      <c r="AB903" s="23"/>
      <c r="AC903" s="23"/>
      <c r="AD903" s="23"/>
      <c r="AE903" s="158"/>
      <c r="AF903" s="158"/>
      <c r="AG903" s="158"/>
      <c r="AH903" s="158"/>
      <c r="AI903" s="158"/>
      <c r="AJ903" s="158"/>
      <c r="AK903" s="158"/>
      <c r="AL903" s="158"/>
      <c r="AM903" s="158"/>
      <c r="AN903" s="158"/>
      <c r="AO903" s="158"/>
      <c r="AP903" s="23"/>
      <c r="AQ903" s="23"/>
      <c r="AR903" s="23"/>
      <c r="AS903" s="23"/>
      <c r="AT903" s="2"/>
      <c r="AU903" s="58"/>
      <c r="AV903" s="105"/>
      <c r="AW903" s="23">
        <v>1</v>
      </c>
      <c r="AX903" s="23"/>
      <c r="AY903" s="23"/>
      <c r="AZ903" s="23"/>
      <c r="BA903" s="23"/>
      <c r="BB903" s="23"/>
      <c r="BC903" s="223"/>
      <c r="BD903" s="223"/>
      <c r="BE903" s="223"/>
      <c r="BF903" s="270">
        <v>2016</v>
      </c>
      <c r="BG903" s="270"/>
      <c r="BH903" s="420"/>
      <c r="BI903" s="682" t="s">
        <v>2376</v>
      </c>
    </row>
    <row r="904" spans="1:61" ht="15" customHeight="1">
      <c r="A904" s="160" t="s">
        <v>1</v>
      </c>
      <c r="B904" s="58" t="s">
        <v>320</v>
      </c>
      <c r="C904" s="65" t="s">
        <v>448</v>
      </c>
      <c r="D904" s="33" t="s">
        <v>319</v>
      </c>
      <c r="E904" s="33"/>
      <c r="F904" s="33"/>
      <c r="G904" s="33"/>
      <c r="H904" s="30"/>
      <c r="I904" s="30"/>
      <c r="J904" s="212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25"/>
      <c r="V904" s="23"/>
      <c r="W904" s="311"/>
      <c r="X904" s="311"/>
      <c r="Y904" s="311"/>
      <c r="Z904" s="94"/>
      <c r="AA904" s="23"/>
      <c r="AB904" s="23"/>
      <c r="AC904" s="23"/>
      <c r="AD904" s="23"/>
      <c r="AE904" s="158"/>
      <c r="AF904" s="158"/>
      <c r="AG904" s="158"/>
      <c r="AH904" s="158"/>
      <c r="AI904" s="158"/>
      <c r="AJ904" s="158"/>
      <c r="AK904" s="158"/>
      <c r="AL904" s="158"/>
      <c r="AM904" s="158"/>
      <c r="AN904" s="158"/>
      <c r="AO904" s="158"/>
      <c r="AP904" s="23"/>
      <c r="AQ904" s="23"/>
      <c r="AR904" s="23"/>
      <c r="AS904" s="23"/>
      <c r="AT904" s="2"/>
      <c r="AU904" s="58"/>
      <c r="AV904" s="105"/>
      <c r="AW904" s="23">
        <v>1</v>
      </c>
      <c r="AX904" s="23"/>
      <c r="AY904" s="23"/>
      <c r="AZ904" s="23"/>
      <c r="BA904" s="23"/>
      <c r="BB904" s="23"/>
      <c r="BC904" s="223"/>
      <c r="BD904" s="223"/>
      <c r="BE904" s="223"/>
      <c r="BF904" s="270">
        <v>2016</v>
      </c>
      <c r="BG904" s="270"/>
      <c r="BH904" s="420"/>
      <c r="BI904" s="682" t="s">
        <v>2376</v>
      </c>
    </row>
    <row r="905" spans="1:61" ht="15" customHeight="1">
      <c r="A905" s="160" t="s">
        <v>1</v>
      </c>
      <c r="B905" s="58" t="s">
        <v>320</v>
      </c>
      <c r="C905" s="65" t="s">
        <v>449</v>
      </c>
      <c r="D905" s="33" t="s">
        <v>319</v>
      </c>
      <c r="E905" s="33"/>
      <c r="F905" s="33"/>
      <c r="G905" s="33"/>
      <c r="H905" s="30"/>
      <c r="I905" s="30"/>
      <c r="J905" s="212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25"/>
      <c r="V905" s="23"/>
      <c r="W905" s="311"/>
      <c r="X905" s="311"/>
      <c r="Y905" s="311"/>
      <c r="Z905" s="94"/>
      <c r="AA905" s="23"/>
      <c r="AB905" s="23"/>
      <c r="AC905" s="23"/>
      <c r="AD905" s="23"/>
      <c r="AE905" s="158"/>
      <c r="AF905" s="158"/>
      <c r="AG905" s="158"/>
      <c r="AH905" s="158"/>
      <c r="AI905" s="158"/>
      <c r="AJ905" s="158"/>
      <c r="AK905" s="158"/>
      <c r="AL905" s="158"/>
      <c r="AM905" s="158"/>
      <c r="AN905" s="158"/>
      <c r="AO905" s="158"/>
      <c r="AP905" s="23"/>
      <c r="AQ905" s="23"/>
      <c r="AR905" s="23"/>
      <c r="AS905" s="23"/>
      <c r="AT905" s="2"/>
      <c r="AU905" s="58"/>
      <c r="AV905" s="105"/>
      <c r="AW905" s="23">
        <v>1</v>
      </c>
      <c r="AX905" s="23"/>
      <c r="AY905" s="23"/>
      <c r="AZ905" s="23"/>
      <c r="BA905" s="23"/>
      <c r="BB905" s="23"/>
      <c r="BC905" s="223"/>
      <c r="BD905" s="223"/>
      <c r="BE905" s="223"/>
      <c r="BF905" s="270">
        <v>2016</v>
      </c>
      <c r="BG905" s="270"/>
      <c r="BH905" s="420"/>
      <c r="BI905" s="682" t="s">
        <v>2376</v>
      </c>
    </row>
    <row r="906" spans="1:61" ht="15" customHeight="1">
      <c r="A906" s="160" t="s">
        <v>1</v>
      </c>
      <c r="B906" s="58" t="s">
        <v>320</v>
      </c>
      <c r="C906" s="65" t="s">
        <v>450</v>
      </c>
      <c r="D906" s="33" t="s">
        <v>319</v>
      </c>
      <c r="E906" s="33"/>
      <c r="F906" s="33"/>
      <c r="G906" s="33"/>
      <c r="H906" s="30"/>
      <c r="I906" s="30"/>
      <c r="J906" s="212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25"/>
      <c r="V906" s="23"/>
      <c r="W906" s="311"/>
      <c r="X906" s="311"/>
      <c r="Y906" s="311"/>
      <c r="Z906" s="94"/>
      <c r="AA906" s="23"/>
      <c r="AB906" s="23"/>
      <c r="AC906" s="23"/>
      <c r="AD906" s="23"/>
      <c r="AE906" s="158"/>
      <c r="AF906" s="158"/>
      <c r="AG906" s="158"/>
      <c r="AH906" s="158"/>
      <c r="AI906" s="158"/>
      <c r="AJ906" s="158"/>
      <c r="AK906" s="158"/>
      <c r="AL906" s="158"/>
      <c r="AM906" s="158"/>
      <c r="AN906" s="158"/>
      <c r="AO906" s="158"/>
      <c r="AP906" s="23"/>
      <c r="AQ906" s="23"/>
      <c r="AR906" s="23"/>
      <c r="AS906" s="23"/>
      <c r="AT906" s="2"/>
      <c r="AU906" s="58"/>
      <c r="AV906" s="105"/>
      <c r="AW906" s="23">
        <v>1</v>
      </c>
      <c r="AX906" s="23"/>
      <c r="AY906" s="23"/>
      <c r="AZ906" s="23"/>
      <c r="BA906" s="23"/>
      <c r="BB906" s="23"/>
      <c r="BC906" s="223"/>
      <c r="BD906" s="223"/>
      <c r="BE906" s="223"/>
      <c r="BF906" s="270">
        <v>2016</v>
      </c>
      <c r="BG906" s="270"/>
      <c r="BH906" s="420"/>
      <c r="BI906" s="682" t="s">
        <v>2376</v>
      </c>
    </row>
    <row r="907" spans="1:61" ht="15" customHeight="1">
      <c r="A907" s="160" t="s">
        <v>1</v>
      </c>
      <c r="B907" s="58" t="s">
        <v>320</v>
      </c>
      <c r="C907" s="65" t="s">
        <v>451</v>
      </c>
      <c r="D907" s="33" t="s">
        <v>319</v>
      </c>
      <c r="E907" s="33"/>
      <c r="F907" s="33"/>
      <c r="G907" s="33"/>
      <c r="H907" s="30"/>
      <c r="I907" s="30"/>
      <c r="J907" s="212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25"/>
      <c r="V907" s="23"/>
      <c r="W907" s="311"/>
      <c r="X907" s="311"/>
      <c r="Y907" s="311"/>
      <c r="Z907" s="94"/>
      <c r="AA907" s="23"/>
      <c r="AB907" s="23"/>
      <c r="AC907" s="23"/>
      <c r="AD907" s="23"/>
      <c r="AE907" s="158"/>
      <c r="AF907" s="158"/>
      <c r="AG907" s="158"/>
      <c r="AH907" s="158"/>
      <c r="AI907" s="158"/>
      <c r="AJ907" s="158"/>
      <c r="AK907" s="158"/>
      <c r="AL907" s="158"/>
      <c r="AM907" s="158"/>
      <c r="AN907" s="158"/>
      <c r="AO907" s="158"/>
      <c r="AP907" s="23"/>
      <c r="AQ907" s="23"/>
      <c r="AR907" s="23"/>
      <c r="AS907" s="23"/>
      <c r="AT907" s="2"/>
      <c r="AU907" s="58"/>
      <c r="AV907" s="105"/>
      <c r="AW907" s="23">
        <v>1</v>
      </c>
      <c r="AX907" s="23"/>
      <c r="AY907" s="23"/>
      <c r="AZ907" s="23"/>
      <c r="BA907" s="23"/>
      <c r="BB907" s="23"/>
      <c r="BC907" s="223"/>
      <c r="BD907" s="223"/>
      <c r="BE907" s="223"/>
      <c r="BF907" s="270">
        <v>2016</v>
      </c>
      <c r="BG907" s="270"/>
      <c r="BH907" s="420"/>
      <c r="BI907" s="682" t="s">
        <v>2376</v>
      </c>
    </row>
    <row r="908" spans="1:61" ht="15" customHeight="1">
      <c r="A908" s="160" t="s">
        <v>1</v>
      </c>
      <c r="B908" s="58" t="s">
        <v>320</v>
      </c>
      <c r="C908" s="65" t="s">
        <v>452</v>
      </c>
      <c r="D908" s="33" t="s">
        <v>319</v>
      </c>
      <c r="E908" s="33"/>
      <c r="F908" s="33"/>
      <c r="G908" s="33"/>
      <c r="H908" s="30"/>
      <c r="I908" s="30"/>
      <c r="J908" s="212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25"/>
      <c r="V908" s="23"/>
      <c r="W908" s="311"/>
      <c r="X908" s="311"/>
      <c r="Y908" s="311"/>
      <c r="Z908" s="94"/>
      <c r="AA908" s="23"/>
      <c r="AB908" s="23"/>
      <c r="AC908" s="23"/>
      <c r="AD908" s="23"/>
      <c r="AE908" s="158"/>
      <c r="AF908" s="158"/>
      <c r="AG908" s="158"/>
      <c r="AH908" s="158"/>
      <c r="AI908" s="158"/>
      <c r="AJ908" s="158"/>
      <c r="AK908" s="158"/>
      <c r="AL908" s="158"/>
      <c r="AM908" s="158"/>
      <c r="AN908" s="158"/>
      <c r="AO908" s="158"/>
      <c r="AP908" s="23"/>
      <c r="AQ908" s="23"/>
      <c r="AR908" s="23"/>
      <c r="AS908" s="23"/>
      <c r="AT908" s="2"/>
      <c r="AU908" s="58"/>
      <c r="AV908" s="105"/>
      <c r="AW908" s="23">
        <v>1</v>
      </c>
      <c r="AX908" s="23"/>
      <c r="AY908" s="23"/>
      <c r="AZ908" s="23"/>
      <c r="BA908" s="23"/>
      <c r="BB908" s="23"/>
      <c r="BC908" s="223"/>
      <c r="BD908" s="223"/>
      <c r="BE908" s="223"/>
      <c r="BF908" s="270">
        <v>2016</v>
      </c>
      <c r="BG908" s="270"/>
      <c r="BH908" s="420"/>
      <c r="BI908" s="682" t="s">
        <v>2376</v>
      </c>
    </row>
    <row r="909" spans="1:61" ht="15" customHeight="1">
      <c r="A909" s="160" t="s">
        <v>1</v>
      </c>
      <c r="B909" s="58" t="s">
        <v>320</v>
      </c>
      <c r="C909" s="65" t="s">
        <v>453</v>
      </c>
      <c r="D909" s="33" t="s">
        <v>319</v>
      </c>
      <c r="E909" s="33"/>
      <c r="F909" s="33"/>
      <c r="G909" s="33"/>
      <c r="H909" s="30"/>
      <c r="I909" s="30"/>
      <c r="J909" s="212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25"/>
      <c r="V909" s="23"/>
      <c r="W909" s="311"/>
      <c r="X909" s="311"/>
      <c r="Y909" s="311"/>
      <c r="Z909" s="94"/>
      <c r="AA909" s="23"/>
      <c r="AB909" s="23"/>
      <c r="AC909" s="23"/>
      <c r="AD909" s="23"/>
      <c r="AE909" s="158"/>
      <c r="AF909" s="158"/>
      <c r="AG909" s="158"/>
      <c r="AH909" s="158"/>
      <c r="AI909" s="158"/>
      <c r="AJ909" s="158"/>
      <c r="AK909" s="158"/>
      <c r="AL909" s="158"/>
      <c r="AM909" s="158"/>
      <c r="AN909" s="158"/>
      <c r="AO909" s="158"/>
      <c r="AP909" s="23"/>
      <c r="AQ909" s="23"/>
      <c r="AR909" s="23"/>
      <c r="AS909" s="23"/>
      <c r="AT909" s="2"/>
      <c r="AU909" s="58"/>
      <c r="AV909" s="105"/>
      <c r="AW909" s="23">
        <v>1</v>
      </c>
      <c r="AX909" s="23"/>
      <c r="AY909" s="23"/>
      <c r="AZ909" s="23"/>
      <c r="BA909" s="23"/>
      <c r="BB909" s="23"/>
      <c r="BC909" s="223"/>
      <c r="BD909" s="223"/>
      <c r="BE909" s="223"/>
      <c r="BF909" s="270">
        <v>2016</v>
      </c>
      <c r="BG909" s="270"/>
      <c r="BH909" s="420"/>
      <c r="BI909" s="682" t="s">
        <v>2376</v>
      </c>
    </row>
    <row r="910" spans="1:61" ht="15" customHeight="1">
      <c r="A910" s="160" t="s">
        <v>1</v>
      </c>
      <c r="B910" s="58" t="s">
        <v>320</v>
      </c>
      <c r="C910" s="65" t="s">
        <v>454</v>
      </c>
      <c r="D910" s="33" t="s">
        <v>319</v>
      </c>
      <c r="E910" s="33"/>
      <c r="F910" s="33"/>
      <c r="G910" s="33"/>
      <c r="H910" s="30"/>
      <c r="I910" s="30"/>
      <c r="J910" s="212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25"/>
      <c r="V910" s="23"/>
      <c r="W910" s="311"/>
      <c r="X910" s="311"/>
      <c r="Y910" s="311"/>
      <c r="Z910" s="94"/>
      <c r="AA910" s="23"/>
      <c r="AB910" s="23"/>
      <c r="AC910" s="23"/>
      <c r="AD910" s="23"/>
      <c r="AE910" s="158"/>
      <c r="AF910" s="158"/>
      <c r="AG910" s="158"/>
      <c r="AH910" s="158"/>
      <c r="AI910" s="158"/>
      <c r="AJ910" s="158"/>
      <c r="AK910" s="158"/>
      <c r="AL910" s="158"/>
      <c r="AM910" s="158"/>
      <c r="AN910" s="158"/>
      <c r="AO910" s="158"/>
      <c r="AP910" s="23"/>
      <c r="AQ910" s="23"/>
      <c r="AR910" s="23"/>
      <c r="AS910" s="23"/>
      <c r="AT910" s="2"/>
      <c r="AU910" s="58"/>
      <c r="AV910" s="105"/>
      <c r="AW910" s="23">
        <v>1</v>
      </c>
      <c r="AX910" s="23"/>
      <c r="AY910" s="23"/>
      <c r="AZ910" s="23"/>
      <c r="BA910" s="23"/>
      <c r="BB910" s="23"/>
      <c r="BC910" s="223"/>
      <c r="BD910" s="223"/>
      <c r="BE910" s="223"/>
      <c r="BF910" s="270">
        <v>2016</v>
      </c>
      <c r="BG910" s="270"/>
      <c r="BH910" s="420"/>
      <c r="BI910" s="682" t="s">
        <v>2376</v>
      </c>
    </row>
    <row r="911" spans="1:61" ht="15" customHeight="1">
      <c r="A911" s="160" t="s">
        <v>1</v>
      </c>
      <c r="B911" s="58" t="s">
        <v>320</v>
      </c>
      <c r="C911" s="65" t="s">
        <v>455</v>
      </c>
      <c r="D911" s="33" t="s">
        <v>319</v>
      </c>
      <c r="E911" s="33"/>
      <c r="F911" s="33"/>
      <c r="G911" s="33"/>
      <c r="H911" s="30"/>
      <c r="I911" s="30"/>
      <c r="J911" s="212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25"/>
      <c r="V911" s="23"/>
      <c r="W911" s="311"/>
      <c r="X911" s="311"/>
      <c r="Y911" s="311"/>
      <c r="Z911" s="94"/>
      <c r="AA911" s="23"/>
      <c r="AB911" s="23"/>
      <c r="AC911" s="23"/>
      <c r="AD911" s="23"/>
      <c r="AE911" s="158"/>
      <c r="AF911" s="158"/>
      <c r="AG911" s="158"/>
      <c r="AH911" s="158"/>
      <c r="AI911" s="158"/>
      <c r="AJ911" s="158"/>
      <c r="AK911" s="158"/>
      <c r="AL911" s="158"/>
      <c r="AM911" s="158"/>
      <c r="AN911" s="158"/>
      <c r="AO911" s="158"/>
      <c r="AP911" s="23"/>
      <c r="AQ911" s="23"/>
      <c r="AR911" s="23"/>
      <c r="AS911" s="23"/>
      <c r="AT911" s="2"/>
      <c r="AU911" s="58"/>
      <c r="AV911" s="105"/>
      <c r="AW911" s="23">
        <v>1</v>
      </c>
      <c r="AX911" s="23"/>
      <c r="AY911" s="23"/>
      <c r="AZ911" s="23"/>
      <c r="BA911" s="23"/>
      <c r="BB911" s="23"/>
      <c r="BC911" s="223"/>
      <c r="BD911" s="223"/>
      <c r="BE911" s="223"/>
      <c r="BF911" s="270">
        <v>2016</v>
      </c>
      <c r="BG911" s="270"/>
      <c r="BH911" s="420"/>
      <c r="BI911" s="682" t="s">
        <v>2376</v>
      </c>
    </row>
    <row r="912" spans="1:61" ht="15" customHeight="1">
      <c r="A912" s="160" t="s">
        <v>1</v>
      </c>
      <c r="B912" s="58" t="s">
        <v>320</v>
      </c>
      <c r="C912" s="65" t="s">
        <v>456</v>
      </c>
      <c r="D912" s="33" t="s">
        <v>319</v>
      </c>
      <c r="E912" s="33"/>
      <c r="F912" s="33"/>
      <c r="G912" s="33"/>
      <c r="H912" s="30"/>
      <c r="I912" s="30"/>
      <c r="J912" s="212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25"/>
      <c r="V912" s="23"/>
      <c r="W912" s="311"/>
      <c r="X912" s="311"/>
      <c r="Y912" s="311"/>
      <c r="Z912" s="94"/>
      <c r="AA912" s="23"/>
      <c r="AB912" s="23"/>
      <c r="AC912" s="23"/>
      <c r="AD912" s="23"/>
      <c r="AE912" s="158"/>
      <c r="AF912" s="158"/>
      <c r="AG912" s="158"/>
      <c r="AH912" s="158"/>
      <c r="AI912" s="158"/>
      <c r="AJ912" s="158"/>
      <c r="AK912" s="158"/>
      <c r="AL912" s="158"/>
      <c r="AM912" s="158"/>
      <c r="AN912" s="158"/>
      <c r="AO912" s="158"/>
      <c r="AP912" s="23"/>
      <c r="AQ912" s="23"/>
      <c r="AR912" s="23"/>
      <c r="AS912" s="23"/>
      <c r="AT912" s="2"/>
      <c r="AU912" s="58"/>
      <c r="AV912" s="105"/>
      <c r="AW912" s="23">
        <v>1</v>
      </c>
      <c r="AX912" s="23"/>
      <c r="AY912" s="23"/>
      <c r="AZ912" s="23"/>
      <c r="BA912" s="23"/>
      <c r="BB912" s="23"/>
      <c r="BC912" s="223"/>
      <c r="BD912" s="223"/>
      <c r="BE912" s="223"/>
      <c r="BF912" s="270">
        <v>2016</v>
      </c>
      <c r="BG912" s="270"/>
      <c r="BH912" s="420"/>
      <c r="BI912" s="682" t="s">
        <v>2376</v>
      </c>
    </row>
    <row r="913" spans="1:61" ht="15" customHeight="1">
      <c r="A913" s="160" t="s">
        <v>1</v>
      </c>
      <c r="B913" s="58" t="s">
        <v>320</v>
      </c>
      <c r="C913" s="67" t="s">
        <v>457</v>
      </c>
      <c r="D913" s="33" t="s">
        <v>319</v>
      </c>
      <c r="E913" s="33"/>
      <c r="F913" s="33"/>
      <c r="G913" s="33"/>
      <c r="H913" s="30"/>
      <c r="I913" s="30"/>
      <c r="J913" s="212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25"/>
      <c r="V913" s="23"/>
      <c r="W913" s="311"/>
      <c r="X913" s="311"/>
      <c r="Y913" s="311"/>
      <c r="Z913" s="94"/>
      <c r="AA913" s="23"/>
      <c r="AB913" s="23"/>
      <c r="AC913" s="23"/>
      <c r="AD913" s="23"/>
      <c r="AE913" s="158"/>
      <c r="AF913" s="158"/>
      <c r="AG913" s="158"/>
      <c r="AH913" s="158"/>
      <c r="AI913" s="158"/>
      <c r="AJ913" s="158"/>
      <c r="AK913" s="158"/>
      <c r="AL913" s="158"/>
      <c r="AM913" s="158"/>
      <c r="AN913" s="158"/>
      <c r="AO913" s="158"/>
      <c r="AP913" s="23"/>
      <c r="AQ913" s="23"/>
      <c r="AR913" s="23"/>
      <c r="AS913" s="23"/>
      <c r="AT913" s="2"/>
      <c r="AU913" s="58"/>
      <c r="AV913" s="105"/>
      <c r="AW913" s="23">
        <v>1</v>
      </c>
      <c r="AX913" s="23"/>
      <c r="AY913" s="23"/>
      <c r="AZ913" s="23"/>
      <c r="BA913" s="23"/>
      <c r="BB913" s="23"/>
      <c r="BC913" s="223"/>
      <c r="BD913" s="223"/>
      <c r="BE913" s="223"/>
      <c r="BF913" s="270">
        <v>2016</v>
      </c>
      <c r="BG913" s="270"/>
      <c r="BH913" s="420"/>
      <c r="BI913" s="682" t="s">
        <v>2376</v>
      </c>
    </row>
    <row r="914" spans="1:61" ht="15" customHeight="1">
      <c r="A914" s="160" t="s">
        <v>1</v>
      </c>
      <c r="B914" s="58" t="s">
        <v>320</v>
      </c>
      <c r="C914" s="65" t="s">
        <v>458</v>
      </c>
      <c r="D914" s="33" t="s">
        <v>319</v>
      </c>
      <c r="E914" s="33"/>
      <c r="F914" s="33"/>
      <c r="G914" s="33"/>
      <c r="H914" s="30"/>
      <c r="I914" s="30"/>
      <c r="J914" s="212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25"/>
      <c r="V914" s="23"/>
      <c r="W914" s="311"/>
      <c r="X914" s="311"/>
      <c r="Y914" s="311"/>
      <c r="Z914" s="94"/>
      <c r="AA914" s="23"/>
      <c r="AB914" s="23"/>
      <c r="AC914" s="23"/>
      <c r="AD914" s="23"/>
      <c r="AE914" s="158"/>
      <c r="AF914" s="158"/>
      <c r="AG914" s="158"/>
      <c r="AH914" s="158"/>
      <c r="AI914" s="158"/>
      <c r="AJ914" s="158"/>
      <c r="AK914" s="158"/>
      <c r="AL914" s="158"/>
      <c r="AM914" s="158"/>
      <c r="AN914" s="158"/>
      <c r="AO914" s="158"/>
      <c r="AP914" s="23"/>
      <c r="AQ914" s="23"/>
      <c r="AR914" s="23"/>
      <c r="AS914" s="23"/>
      <c r="AT914" s="2"/>
      <c r="AU914" s="58"/>
      <c r="AV914" s="105"/>
      <c r="AW914" s="23">
        <v>1</v>
      </c>
      <c r="AX914" s="23"/>
      <c r="AY914" s="23"/>
      <c r="AZ914" s="23"/>
      <c r="BA914" s="23"/>
      <c r="BB914" s="23"/>
      <c r="BC914" s="223"/>
      <c r="BD914" s="223"/>
      <c r="BE914" s="223"/>
      <c r="BF914" s="270">
        <v>2016</v>
      </c>
      <c r="BG914" s="270"/>
      <c r="BH914" s="420"/>
      <c r="BI914" s="682" t="s">
        <v>2376</v>
      </c>
    </row>
    <row r="915" spans="1:61" ht="15" customHeight="1">
      <c r="A915" s="160" t="s">
        <v>1</v>
      </c>
      <c r="B915" s="58" t="s">
        <v>320</v>
      </c>
      <c r="C915" s="65" t="s">
        <v>459</v>
      </c>
      <c r="D915" s="33" t="s">
        <v>319</v>
      </c>
      <c r="E915" s="33"/>
      <c r="F915" s="33"/>
      <c r="G915" s="33"/>
      <c r="H915" s="30"/>
      <c r="I915" s="30"/>
      <c r="J915" s="212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25"/>
      <c r="V915" s="23"/>
      <c r="W915" s="311"/>
      <c r="X915" s="311"/>
      <c r="Y915" s="311"/>
      <c r="Z915" s="94"/>
      <c r="AA915" s="23"/>
      <c r="AB915" s="23"/>
      <c r="AC915" s="23"/>
      <c r="AD915" s="23"/>
      <c r="AE915" s="158"/>
      <c r="AF915" s="158"/>
      <c r="AG915" s="158"/>
      <c r="AH915" s="158"/>
      <c r="AI915" s="158"/>
      <c r="AJ915" s="158"/>
      <c r="AK915" s="158"/>
      <c r="AL915" s="158"/>
      <c r="AM915" s="158"/>
      <c r="AN915" s="158"/>
      <c r="AO915" s="158"/>
      <c r="AP915" s="23"/>
      <c r="AQ915" s="23"/>
      <c r="AR915" s="23"/>
      <c r="AS915" s="23"/>
      <c r="AT915" s="2"/>
      <c r="AU915" s="58"/>
      <c r="AV915" s="105"/>
      <c r="AW915" s="23">
        <v>1</v>
      </c>
      <c r="AX915" s="23"/>
      <c r="AY915" s="23"/>
      <c r="AZ915" s="23"/>
      <c r="BA915" s="23"/>
      <c r="BB915" s="23"/>
      <c r="BC915" s="223"/>
      <c r="BD915" s="223"/>
      <c r="BE915" s="223"/>
      <c r="BF915" s="270">
        <v>2016</v>
      </c>
      <c r="BG915" s="270"/>
      <c r="BH915" s="420"/>
      <c r="BI915" s="682" t="s">
        <v>2376</v>
      </c>
    </row>
    <row r="916" spans="1:61" ht="15" customHeight="1">
      <c r="A916" s="160" t="s">
        <v>1</v>
      </c>
      <c r="B916" s="58" t="s">
        <v>320</v>
      </c>
      <c r="C916" s="65" t="s">
        <v>460</v>
      </c>
      <c r="D916" s="33" t="s">
        <v>519</v>
      </c>
      <c r="E916" s="33"/>
      <c r="F916" s="33"/>
      <c r="G916" s="33"/>
      <c r="H916" s="30" t="s">
        <v>647</v>
      </c>
      <c r="I916" s="30"/>
      <c r="J916" s="212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25"/>
      <c r="V916" s="23"/>
      <c r="W916" s="311"/>
      <c r="X916" s="311"/>
      <c r="Y916" s="311"/>
      <c r="Z916" s="94"/>
      <c r="AA916" s="23"/>
      <c r="AB916" s="23"/>
      <c r="AC916" s="23"/>
      <c r="AD916" s="23"/>
      <c r="AE916" s="158"/>
      <c r="AF916" s="158"/>
      <c r="AG916" s="158"/>
      <c r="AH916" s="158"/>
      <c r="AI916" s="158"/>
      <c r="AJ916" s="158"/>
      <c r="AK916" s="158"/>
      <c r="AL916" s="158"/>
      <c r="AM916" s="158"/>
      <c r="AN916" s="158"/>
      <c r="AO916" s="158"/>
      <c r="AP916" s="23"/>
      <c r="AQ916" s="23"/>
      <c r="AR916" s="23"/>
      <c r="AS916" s="23"/>
      <c r="AT916" s="2">
        <v>1</v>
      </c>
      <c r="AU916" s="58" t="s">
        <v>646</v>
      </c>
      <c r="AV916" s="105"/>
      <c r="AW916" s="23"/>
      <c r="AX916" s="23">
        <v>1</v>
      </c>
      <c r="AY916" s="23"/>
      <c r="AZ916" s="23"/>
      <c r="BA916" s="23"/>
      <c r="BB916" s="23"/>
      <c r="BC916" s="223"/>
      <c r="BD916" s="223"/>
      <c r="BE916" s="223"/>
      <c r="BF916" s="270">
        <v>2017</v>
      </c>
      <c r="BG916" s="270"/>
      <c r="BH916" s="420"/>
      <c r="BI916" s="682" t="s">
        <v>2376</v>
      </c>
    </row>
    <row r="917" spans="1:61" ht="15" customHeight="1">
      <c r="A917" s="160" t="s">
        <v>1</v>
      </c>
      <c r="B917" s="58" t="s">
        <v>320</v>
      </c>
      <c r="C917" s="65" t="s">
        <v>461</v>
      </c>
      <c r="D917" s="33" t="s">
        <v>319</v>
      </c>
      <c r="E917" s="33"/>
      <c r="F917" s="33"/>
      <c r="G917" s="33"/>
      <c r="H917" s="30"/>
      <c r="I917" s="30"/>
      <c r="J917" s="212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25"/>
      <c r="V917" s="23"/>
      <c r="W917" s="311"/>
      <c r="X917" s="311"/>
      <c r="Y917" s="311"/>
      <c r="Z917" s="94"/>
      <c r="AA917" s="23"/>
      <c r="AB917" s="23"/>
      <c r="AC917" s="23"/>
      <c r="AD917" s="23"/>
      <c r="AE917" s="158"/>
      <c r="AF917" s="158"/>
      <c r="AG917" s="158"/>
      <c r="AH917" s="158"/>
      <c r="AI917" s="158"/>
      <c r="AJ917" s="158"/>
      <c r="AK917" s="158"/>
      <c r="AL917" s="158"/>
      <c r="AM917" s="158"/>
      <c r="AN917" s="158"/>
      <c r="AO917" s="158"/>
      <c r="AP917" s="23"/>
      <c r="AQ917" s="23"/>
      <c r="AR917" s="23"/>
      <c r="AS917" s="23"/>
      <c r="AT917" s="2"/>
      <c r="AU917" s="58"/>
      <c r="AV917" s="105"/>
      <c r="AW917" s="23">
        <v>1</v>
      </c>
      <c r="AX917" s="23"/>
      <c r="AY917" s="23"/>
      <c r="AZ917" s="23"/>
      <c r="BA917" s="23"/>
      <c r="BB917" s="23"/>
      <c r="BC917" s="223"/>
      <c r="BD917" s="223"/>
      <c r="BE917" s="223"/>
      <c r="BF917" s="270">
        <v>2016</v>
      </c>
      <c r="BG917" s="270"/>
      <c r="BH917" s="420"/>
      <c r="BI917" s="682" t="s">
        <v>2376</v>
      </c>
    </row>
    <row r="918" spans="1:61" ht="15" customHeight="1">
      <c r="A918" s="160" t="s">
        <v>1</v>
      </c>
      <c r="B918" s="58" t="s">
        <v>320</v>
      </c>
      <c r="C918" s="65" t="s">
        <v>462</v>
      </c>
      <c r="D918" s="33" t="s">
        <v>319</v>
      </c>
      <c r="E918" s="33"/>
      <c r="F918" s="33"/>
      <c r="G918" s="33"/>
      <c r="H918" s="30"/>
      <c r="I918" s="30"/>
      <c r="J918" s="212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25"/>
      <c r="V918" s="23"/>
      <c r="W918" s="311"/>
      <c r="X918" s="311"/>
      <c r="Y918" s="311"/>
      <c r="Z918" s="94"/>
      <c r="AA918" s="23"/>
      <c r="AB918" s="23"/>
      <c r="AC918" s="23"/>
      <c r="AD918" s="23"/>
      <c r="AE918" s="158"/>
      <c r="AF918" s="158"/>
      <c r="AG918" s="158"/>
      <c r="AH918" s="158"/>
      <c r="AI918" s="158"/>
      <c r="AJ918" s="158"/>
      <c r="AK918" s="158"/>
      <c r="AL918" s="158"/>
      <c r="AM918" s="158"/>
      <c r="AN918" s="158"/>
      <c r="AO918" s="158"/>
      <c r="AP918" s="23"/>
      <c r="AQ918" s="23"/>
      <c r="AR918" s="23"/>
      <c r="AS918" s="23"/>
      <c r="AT918" s="2"/>
      <c r="AU918" s="58"/>
      <c r="AV918" s="105"/>
      <c r="AW918" s="23">
        <v>1</v>
      </c>
      <c r="AX918" s="23"/>
      <c r="AY918" s="23"/>
      <c r="AZ918" s="23"/>
      <c r="BA918" s="23"/>
      <c r="BB918" s="23"/>
      <c r="BC918" s="223"/>
      <c r="BD918" s="223"/>
      <c r="BE918" s="223"/>
      <c r="BF918" s="270">
        <v>2016</v>
      </c>
      <c r="BG918" s="270"/>
      <c r="BH918" s="420"/>
      <c r="BI918" s="682" t="s">
        <v>2376</v>
      </c>
    </row>
    <row r="919" spans="1:61" ht="15" customHeight="1">
      <c r="A919" s="160" t="s">
        <v>1</v>
      </c>
      <c r="B919" s="58" t="s">
        <v>320</v>
      </c>
      <c r="C919" s="65" t="s">
        <v>463</v>
      </c>
      <c r="D919" s="33" t="s">
        <v>319</v>
      </c>
      <c r="E919" s="33"/>
      <c r="F919" s="33"/>
      <c r="G919" s="33"/>
      <c r="H919" s="30"/>
      <c r="I919" s="30"/>
      <c r="J919" s="212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25"/>
      <c r="V919" s="23"/>
      <c r="W919" s="311"/>
      <c r="X919" s="311"/>
      <c r="Y919" s="311"/>
      <c r="Z919" s="94"/>
      <c r="AA919" s="23"/>
      <c r="AB919" s="23"/>
      <c r="AC919" s="23"/>
      <c r="AD919" s="23"/>
      <c r="AE919" s="158"/>
      <c r="AF919" s="158"/>
      <c r="AG919" s="158"/>
      <c r="AH919" s="158"/>
      <c r="AI919" s="158"/>
      <c r="AJ919" s="158"/>
      <c r="AK919" s="158"/>
      <c r="AL919" s="158"/>
      <c r="AM919" s="158"/>
      <c r="AN919" s="158"/>
      <c r="AO919" s="158"/>
      <c r="AP919" s="23"/>
      <c r="AQ919" s="23"/>
      <c r="AR919" s="23"/>
      <c r="AS919" s="23"/>
      <c r="AT919" s="2"/>
      <c r="AU919" s="58"/>
      <c r="AV919" s="105"/>
      <c r="AW919" s="23">
        <v>1</v>
      </c>
      <c r="AX919" s="23"/>
      <c r="AY919" s="23"/>
      <c r="AZ919" s="23"/>
      <c r="BA919" s="23"/>
      <c r="BB919" s="23"/>
      <c r="BC919" s="223"/>
      <c r="BD919" s="223"/>
      <c r="BE919" s="223"/>
      <c r="BF919" s="270">
        <v>2016</v>
      </c>
      <c r="BG919" s="270"/>
      <c r="BH919" s="268"/>
      <c r="BI919" s="682" t="s">
        <v>2376</v>
      </c>
    </row>
    <row r="920" spans="1:61" ht="15" customHeight="1">
      <c r="A920" s="160" t="s">
        <v>1</v>
      </c>
      <c r="B920" s="58" t="s">
        <v>320</v>
      </c>
      <c r="C920" s="65" t="s">
        <v>464</v>
      </c>
      <c r="D920" s="33" t="s">
        <v>319</v>
      </c>
      <c r="E920" s="33"/>
      <c r="F920" s="33"/>
      <c r="G920" s="33"/>
      <c r="H920" s="30"/>
      <c r="I920" s="30"/>
      <c r="J920" s="212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25"/>
      <c r="V920" s="23"/>
      <c r="W920" s="311"/>
      <c r="X920" s="311"/>
      <c r="Y920" s="311"/>
      <c r="Z920" s="94"/>
      <c r="AA920" s="23"/>
      <c r="AB920" s="23"/>
      <c r="AC920" s="23"/>
      <c r="AD920" s="23"/>
      <c r="AE920" s="158"/>
      <c r="AF920" s="158"/>
      <c r="AG920" s="158"/>
      <c r="AH920" s="158"/>
      <c r="AI920" s="158"/>
      <c r="AJ920" s="158"/>
      <c r="AK920" s="158"/>
      <c r="AL920" s="158"/>
      <c r="AM920" s="158"/>
      <c r="AN920" s="158"/>
      <c r="AO920" s="158"/>
      <c r="AP920" s="23"/>
      <c r="AQ920" s="23"/>
      <c r="AR920" s="23"/>
      <c r="AS920" s="23"/>
      <c r="AT920" s="2"/>
      <c r="AU920" s="58"/>
      <c r="AV920" s="105"/>
      <c r="AW920" s="23">
        <v>1</v>
      </c>
      <c r="AX920" s="23"/>
      <c r="AY920" s="23"/>
      <c r="AZ920" s="23"/>
      <c r="BA920" s="23"/>
      <c r="BB920" s="23"/>
      <c r="BC920" s="223"/>
      <c r="BD920" s="223"/>
      <c r="BE920" s="223"/>
      <c r="BF920" s="270">
        <v>2016</v>
      </c>
      <c r="BG920" s="270"/>
      <c r="BH920" s="268"/>
      <c r="BI920" s="682" t="s">
        <v>2376</v>
      </c>
    </row>
    <row r="921" spans="1:61" ht="15" customHeight="1">
      <c r="A921" s="160" t="s">
        <v>1</v>
      </c>
      <c r="B921" s="58" t="s">
        <v>320</v>
      </c>
      <c r="C921" s="65" t="s">
        <v>465</v>
      </c>
      <c r="D921" s="33" t="s">
        <v>319</v>
      </c>
      <c r="E921" s="33"/>
      <c r="F921" s="33"/>
      <c r="G921" s="33"/>
      <c r="H921" s="30"/>
      <c r="I921" s="30"/>
      <c r="J921" s="212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25"/>
      <c r="V921" s="23"/>
      <c r="W921" s="311"/>
      <c r="X921" s="311"/>
      <c r="Y921" s="311"/>
      <c r="Z921" s="94"/>
      <c r="AA921" s="23"/>
      <c r="AB921" s="23"/>
      <c r="AC921" s="23"/>
      <c r="AD921" s="23"/>
      <c r="AE921" s="158"/>
      <c r="AF921" s="158"/>
      <c r="AG921" s="158"/>
      <c r="AH921" s="158"/>
      <c r="AI921" s="158"/>
      <c r="AJ921" s="158"/>
      <c r="AK921" s="158"/>
      <c r="AL921" s="158"/>
      <c r="AM921" s="158"/>
      <c r="AN921" s="158"/>
      <c r="AO921" s="158"/>
      <c r="AP921" s="23"/>
      <c r="AQ921" s="23"/>
      <c r="AR921" s="23"/>
      <c r="AS921" s="23"/>
      <c r="AT921" s="2"/>
      <c r="AU921" s="58"/>
      <c r="AV921" s="105"/>
      <c r="AW921" s="23">
        <v>1</v>
      </c>
      <c r="AX921" s="23"/>
      <c r="AY921" s="23"/>
      <c r="AZ921" s="23"/>
      <c r="BA921" s="23"/>
      <c r="BB921" s="23"/>
      <c r="BC921" s="223"/>
      <c r="BD921" s="223"/>
      <c r="BE921" s="223"/>
      <c r="BF921" s="270">
        <v>2016</v>
      </c>
      <c r="BG921" s="270"/>
      <c r="BH921" s="268"/>
      <c r="BI921" s="682" t="s">
        <v>2376</v>
      </c>
    </row>
    <row r="922" spans="1:61" ht="15" customHeight="1">
      <c r="A922" s="160" t="s">
        <v>1</v>
      </c>
      <c r="B922" s="58" t="s">
        <v>320</v>
      </c>
      <c r="C922" s="65" t="s">
        <v>466</v>
      </c>
      <c r="D922" s="33" t="s">
        <v>319</v>
      </c>
      <c r="E922" s="33"/>
      <c r="F922" s="33"/>
      <c r="G922" s="33"/>
      <c r="H922" s="30"/>
      <c r="I922" s="30"/>
      <c r="J922" s="212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25"/>
      <c r="V922" s="23"/>
      <c r="W922" s="311"/>
      <c r="X922" s="311"/>
      <c r="Y922" s="311"/>
      <c r="Z922" s="94"/>
      <c r="AA922" s="23"/>
      <c r="AB922" s="23"/>
      <c r="AC922" s="23"/>
      <c r="AD922" s="23"/>
      <c r="AE922" s="158"/>
      <c r="AF922" s="158"/>
      <c r="AG922" s="158"/>
      <c r="AH922" s="158"/>
      <c r="AI922" s="158"/>
      <c r="AJ922" s="158"/>
      <c r="AK922" s="158"/>
      <c r="AL922" s="158"/>
      <c r="AM922" s="158"/>
      <c r="AN922" s="158"/>
      <c r="AO922" s="158"/>
      <c r="AP922" s="23"/>
      <c r="AQ922" s="23"/>
      <c r="AR922" s="23"/>
      <c r="AS922" s="23"/>
      <c r="AT922" s="2"/>
      <c r="AU922" s="58"/>
      <c r="AV922" s="105"/>
      <c r="AW922" s="23">
        <v>1</v>
      </c>
      <c r="AX922" s="23"/>
      <c r="AY922" s="23"/>
      <c r="AZ922" s="23"/>
      <c r="BA922" s="23"/>
      <c r="BB922" s="23"/>
      <c r="BC922" s="223"/>
      <c r="BD922" s="223"/>
      <c r="BE922" s="223"/>
      <c r="BF922" s="270">
        <v>2016</v>
      </c>
      <c r="BG922" s="270"/>
      <c r="BH922" s="268"/>
      <c r="BI922" s="682" t="s">
        <v>2376</v>
      </c>
    </row>
    <row r="923" spans="1:61" ht="15" customHeight="1">
      <c r="A923" s="160" t="s">
        <v>1</v>
      </c>
      <c r="B923" s="58" t="s">
        <v>320</v>
      </c>
      <c r="C923" s="65" t="s">
        <v>467</v>
      </c>
      <c r="D923" s="33" t="s">
        <v>319</v>
      </c>
      <c r="E923" s="33"/>
      <c r="F923" s="33"/>
      <c r="G923" s="33"/>
      <c r="H923" s="30"/>
      <c r="I923" s="30"/>
      <c r="J923" s="212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25"/>
      <c r="V923" s="23"/>
      <c r="W923" s="311"/>
      <c r="X923" s="311"/>
      <c r="Y923" s="311"/>
      <c r="Z923" s="94"/>
      <c r="AA923" s="23"/>
      <c r="AB923" s="23"/>
      <c r="AC923" s="23"/>
      <c r="AD923" s="23"/>
      <c r="AE923" s="158"/>
      <c r="AF923" s="158"/>
      <c r="AG923" s="158"/>
      <c r="AH923" s="158"/>
      <c r="AI923" s="158"/>
      <c r="AJ923" s="158"/>
      <c r="AK923" s="158"/>
      <c r="AL923" s="158"/>
      <c r="AM923" s="158"/>
      <c r="AN923" s="158"/>
      <c r="AO923" s="158"/>
      <c r="AP923" s="23"/>
      <c r="AQ923" s="23"/>
      <c r="AR923" s="23"/>
      <c r="AS923" s="23"/>
      <c r="AT923" s="2"/>
      <c r="AU923" s="58"/>
      <c r="AV923" s="105"/>
      <c r="AW923" s="23">
        <v>1</v>
      </c>
      <c r="AX923" s="23"/>
      <c r="AY923" s="23"/>
      <c r="AZ923" s="23"/>
      <c r="BA923" s="23"/>
      <c r="BB923" s="23"/>
      <c r="BC923" s="223"/>
      <c r="BD923" s="223"/>
      <c r="BE923" s="223"/>
      <c r="BF923" s="270">
        <v>2016</v>
      </c>
      <c r="BG923" s="270"/>
      <c r="BH923" s="268"/>
      <c r="BI923" s="682" t="s">
        <v>2376</v>
      </c>
    </row>
    <row r="924" spans="1:61" ht="15" customHeight="1">
      <c r="A924" s="160" t="s">
        <v>1</v>
      </c>
      <c r="B924" s="58" t="s">
        <v>320</v>
      </c>
      <c r="C924" s="65" t="s">
        <v>468</v>
      </c>
      <c r="D924" s="33" t="s">
        <v>319</v>
      </c>
      <c r="E924" s="33"/>
      <c r="F924" s="33"/>
      <c r="G924" s="33"/>
      <c r="H924" s="30"/>
      <c r="I924" s="30"/>
      <c r="J924" s="212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25"/>
      <c r="V924" s="23"/>
      <c r="W924" s="311"/>
      <c r="X924" s="311"/>
      <c r="Y924" s="311"/>
      <c r="Z924" s="94"/>
      <c r="AA924" s="23"/>
      <c r="AB924" s="23"/>
      <c r="AC924" s="23"/>
      <c r="AD924" s="23"/>
      <c r="AE924" s="158"/>
      <c r="AF924" s="158"/>
      <c r="AG924" s="158"/>
      <c r="AH924" s="158"/>
      <c r="AI924" s="158"/>
      <c r="AJ924" s="158"/>
      <c r="AK924" s="158"/>
      <c r="AL924" s="158"/>
      <c r="AM924" s="158"/>
      <c r="AN924" s="158"/>
      <c r="AO924" s="158"/>
      <c r="AP924" s="23"/>
      <c r="AQ924" s="23"/>
      <c r="AR924" s="23"/>
      <c r="AS924" s="23"/>
      <c r="AT924" s="2"/>
      <c r="AU924" s="58"/>
      <c r="AV924" s="105"/>
      <c r="AW924" s="23">
        <v>1</v>
      </c>
      <c r="AX924" s="23"/>
      <c r="AY924" s="23"/>
      <c r="AZ924" s="23"/>
      <c r="BA924" s="23"/>
      <c r="BB924" s="23"/>
      <c r="BC924" s="223"/>
      <c r="BD924" s="223"/>
      <c r="BE924" s="223"/>
      <c r="BF924" s="270">
        <v>2016</v>
      </c>
      <c r="BG924" s="270"/>
      <c r="BH924" s="268"/>
      <c r="BI924" s="682" t="s">
        <v>2376</v>
      </c>
    </row>
    <row r="925" spans="1:61" ht="15" customHeight="1">
      <c r="A925" s="160" t="s">
        <v>1</v>
      </c>
      <c r="B925" s="58" t="s">
        <v>320</v>
      </c>
      <c r="C925" s="65" t="s">
        <v>469</v>
      </c>
      <c r="D925" s="33" t="s">
        <v>319</v>
      </c>
      <c r="E925" s="33"/>
      <c r="F925" s="33"/>
      <c r="G925" s="33"/>
      <c r="H925" s="30"/>
      <c r="I925" s="30"/>
      <c r="J925" s="212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25"/>
      <c r="V925" s="23"/>
      <c r="W925" s="311"/>
      <c r="X925" s="311"/>
      <c r="Y925" s="311"/>
      <c r="Z925" s="94"/>
      <c r="AA925" s="23"/>
      <c r="AB925" s="23"/>
      <c r="AC925" s="23"/>
      <c r="AD925" s="23"/>
      <c r="AE925" s="158"/>
      <c r="AF925" s="158"/>
      <c r="AG925" s="158"/>
      <c r="AH925" s="158"/>
      <c r="AI925" s="158"/>
      <c r="AJ925" s="158"/>
      <c r="AK925" s="158"/>
      <c r="AL925" s="158"/>
      <c r="AM925" s="158"/>
      <c r="AN925" s="158"/>
      <c r="AO925" s="158"/>
      <c r="AP925" s="23"/>
      <c r="AQ925" s="23"/>
      <c r="AR925" s="23"/>
      <c r="AS925" s="23"/>
      <c r="AT925" s="2"/>
      <c r="AU925" s="58"/>
      <c r="AV925" s="105"/>
      <c r="AW925" s="23">
        <v>1</v>
      </c>
      <c r="AX925" s="23"/>
      <c r="AY925" s="23"/>
      <c r="AZ925" s="23"/>
      <c r="BA925" s="23"/>
      <c r="BB925" s="23"/>
      <c r="BC925" s="223"/>
      <c r="BD925" s="223"/>
      <c r="BE925" s="223"/>
      <c r="BF925" s="270">
        <v>2016</v>
      </c>
      <c r="BG925" s="270"/>
      <c r="BH925" s="268"/>
      <c r="BI925" s="682" t="s">
        <v>2376</v>
      </c>
    </row>
    <row r="926" spans="1:61" ht="15" customHeight="1">
      <c r="A926" s="160" t="s">
        <v>1</v>
      </c>
      <c r="B926" s="58" t="s">
        <v>320</v>
      </c>
      <c r="C926" s="65" t="s">
        <v>470</v>
      </c>
      <c r="D926" s="33" t="s">
        <v>319</v>
      </c>
      <c r="E926" s="33"/>
      <c r="F926" s="33"/>
      <c r="G926" s="33"/>
      <c r="H926" s="30"/>
      <c r="I926" s="30"/>
      <c r="J926" s="212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25"/>
      <c r="V926" s="23"/>
      <c r="W926" s="311"/>
      <c r="X926" s="311"/>
      <c r="Y926" s="311"/>
      <c r="Z926" s="94"/>
      <c r="AA926" s="23"/>
      <c r="AB926" s="23"/>
      <c r="AC926" s="23"/>
      <c r="AD926" s="23"/>
      <c r="AE926" s="158"/>
      <c r="AF926" s="158"/>
      <c r="AG926" s="158"/>
      <c r="AH926" s="158"/>
      <c r="AI926" s="158"/>
      <c r="AJ926" s="158"/>
      <c r="AK926" s="158"/>
      <c r="AL926" s="158"/>
      <c r="AM926" s="158"/>
      <c r="AN926" s="158"/>
      <c r="AO926" s="158"/>
      <c r="AP926" s="23"/>
      <c r="AQ926" s="23"/>
      <c r="AR926" s="23"/>
      <c r="AS926" s="23"/>
      <c r="AT926" s="2"/>
      <c r="AU926" s="58"/>
      <c r="AV926" s="105"/>
      <c r="AW926" s="23">
        <v>1</v>
      </c>
      <c r="AX926" s="23"/>
      <c r="AY926" s="23"/>
      <c r="AZ926" s="23"/>
      <c r="BA926" s="23"/>
      <c r="BB926" s="23"/>
      <c r="BC926" s="223"/>
      <c r="BD926" s="223"/>
      <c r="BE926" s="223"/>
      <c r="BF926" s="270">
        <v>2016</v>
      </c>
      <c r="BG926" s="270"/>
      <c r="BH926" s="268"/>
      <c r="BI926" s="682" t="s">
        <v>2376</v>
      </c>
    </row>
    <row r="927" spans="1:61" ht="15" customHeight="1">
      <c r="A927" s="160" t="s">
        <v>1</v>
      </c>
      <c r="B927" s="58" t="s">
        <v>320</v>
      </c>
      <c r="C927" s="65" t="s">
        <v>471</v>
      </c>
      <c r="D927" s="33" t="s">
        <v>319</v>
      </c>
      <c r="E927" s="33"/>
      <c r="F927" s="33"/>
      <c r="G927" s="33"/>
      <c r="H927" s="30"/>
      <c r="I927" s="30"/>
      <c r="J927" s="212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25"/>
      <c r="V927" s="23"/>
      <c r="W927" s="311"/>
      <c r="X927" s="311"/>
      <c r="Y927" s="311"/>
      <c r="Z927" s="94"/>
      <c r="AA927" s="23"/>
      <c r="AB927" s="23"/>
      <c r="AC927" s="23"/>
      <c r="AD927" s="23"/>
      <c r="AE927" s="158"/>
      <c r="AF927" s="158"/>
      <c r="AG927" s="158"/>
      <c r="AH927" s="158"/>
      <c r="AI927" s="158"/>
      <c r="AJ927" s="158"/>
      <c r="AK927" s="158"/>
      <c r="AL927" s="158"/>
      <c r="AM927" s="158"/>
      <c r="AN927" s="158"/>
      <c r="AO927" s="158"/>
      <c r="AP927" s="23"/>
      <c r="AQ927" s="23"/>
      <c r="AR927" s="23"/>
      <c r="AS927" s="23"/>
      <c r="AT927" s="2"/>
      <c r="AU927" s="58"/>
      <c r="AV927" s="105"/>
      <c r="AW927" s="23">
        <v>1</v>
      </c>
      <c r="AX927" s="23"/>
      <c r="AY927" s="23"/>
      <c r="AZ927" s="23"/>
      <c r="BA927" s="23"/>
      <c r="BB927" s="23"/>
      <c r="BC927" s="223"/>
      <c r="BD927" s="223"/>
      <c r="BE927" s="223"/>
      <c r="BF927" s="270">
        <v>2016</v>
      </c>
      <c r="BG927" s="270"/>
      <c r="BH927" s="268"/>
      <c r="BI927" s="682" t="s">
        <v>2376</v>
      </c>
    </row>
    <row r="928" spans="1:61" ht="15" customHeight="1">
      <c r="A928" s="160" t="s">
        <v>1</v>
      </c>
      <c r="B928" s="58" t="s">
        <v>320</v>
      </c>
      <c r="C928" s="65" t="s">
        <v>472</v>
      </c>
      <c r="D928" s="33" t="s">
        <v>319</v>
      </c>
      <c r="E928" s="33"/>
      <c r="F928" s="33"/>
      <c r="G928" s="33"/>
      <c r="H928" s="30"/>
      <c r="I928" s="30"/>
      <c r="J928" s="212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25"/>
      <c r="V928" s="23"/>
      <c r="W928" s="311"/>
      <c r="X928" s="311"/>
      <c r="Y928" s="311"/>
      <c r="Z928" s="94"/>
      <c r="AA928" s="23"/>
      <c r="AB928" s="23"/>
      <c r="AC928" s="23"/>
      <c r="AD928" s="23"/>
      <c r="AE928" s="158"/>
      <c r="AF928" s="158"/>
      <c r="AG928" s="158"/>
      <c r="AH928" s="158"/>
      <c r="AI928" s="158"/>
      <c r="AJ928" s="158"/>
      <c r="AK928" s="158"/>
      <c r="AL928" s="158"/>
      <c r="AM928" s="158"/>
      <c r="AN928" s="158"/>
      <c r="AO928" s="158"/>
      <c r="AP928" s="23"/>
      <c r="AQ928" s="23"/>
      <c r="AR928" s="23"/>
      <c r="AS928" s="23"/>
      <c r="AT928" s="2"/>
      <c r="AU928" s="58"/>
      <c r="AV928" s="105"/>
      <c r="AW928" s="23">
        <v>1</v>
      </c>
      <c r="AX928" s="23"/>
      <c r="AY928" s="23"/>
      <c r="AZ928" s="23"/>
      <c r="BA928" s="23"/>
      <c r="BB928" s="23"/>
      <c r="BC928" s="223"/>
      <c r="BD928" s="223"/>
      <c r="BE928" s="223"/>
      <c r="BF928" s="270">
        <v>2016</v>
      </c>
      <c r="BG928" s="270"/>
      <c r="BH928" s="268"/>
      <c r="BI928" s="682" t="s">
        <v>2376</v>
      </c>
    </row>
    <row r="929" spans="1:61" ht="15" customHeight="1">
      <c r="A929" s="160" t="s">
        <v>1</v>
      </c>
      <c r="B929" s="58" t="s">
        <v>320</v>
      </c>
      <c r="C929" s="65" t="s">
        <v>473</v>
      </c>
      <c r="D929" s="33" t="s">
        <v>319</v>
      </c>
      <c r="E929" s="33"/>
      <c r="F929" s="33"/>
      <c r="G929" s="33"/>
      <c r="H929" s="30"/>
      <c r="I929" s="30"/>
      <c r="J929" s="212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25"/>
      <c r="V929" s="23"/>
      <c r="W929" s="311"/>
      <c r="X929" s="311"/>
      <c r="Y929" s="311"/>
      <c r="Z929" s="94"/>
      <c r="AA929" s="23"/>
      <c r="AB929" s="23"/>
      <c r="AC929" s="23"/>
      <c r="AD929" s="23"/>
      <c r="AE929" s="158"/>
      <c r="AF929" s="158"/>
      <c r="AG929" s="158"/>
      <c r="AH929" s="158"/>
      <c r="AI929" s="158"/>
      <c r="AJ929" s="158"/>
      <c r="AK929" s="158"/>
      <c r="AL929" s="158"/>
      <c r="AM929" s="158"/>
      <c r="AN929" s="158"/>
      <c r="AO929" s="158"/>
      <c r="AP929" s="23"/>
      <c r="AQ929" s="23"/>
      <c r="AR929" s="23"/>
      <c r="AS929" s="23"/>
      <c r="AT929" s="2"/>
      <c r="AU929" s="58"/>
      <c r="AV929" s="105"/>
      <c r="AW929" s="23">
        <v>1</v>
      </c>
      <c r="AX929" s="23"/>
      <c r="AY929" s="23"/>
      <c r="AZ929" s="23"/>
      <c r="BA929" s="23"/>
      <c r="BB929" s="23"/>
      <c r="BC929" s="223"/>
      <c r="BD929" s="223"/>
      <c r="BE929" s="223"/>
      <c r="BF929" s="270">
        <v>2016</v>
      </c>
      <c r="BG929" s="270"/>
      <c r="BH929" s="268"/>
      <c r="BI929" s="682" t="s">
        <v>2376</v>
      </c>
    </row>
    <row r="930" spans="1:61" ht="15" customHeight="1">
      <c r="A930" s="160" t="s">
        <v>1</v>
      </c>
      <c r="B930" s="58" t="s">
        <v>320</v>
      </c>
      <c r="C930" s="65" t="s">
        <v>474</v>
      </c>
      <c r="D930" s="33" t="s">
        <v>319</v>
      </c>
      <c r="E930" s="33"/>
      <c r="F930" s="33"/>
      <c r="G930" s="33"/>
      <c r="H930" s="30"/>
      <c r="I930" s="30"/>
      <c r="J930" s="212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25"/>
      <c r="V930" s="23"/>
      <c r="W930" s="311"/>
      <c r="X930" s="311"/>
      <c r="Y930" s="311"/>
      <c r="Z930" s="94"/>
      <c r="AA930" s="23"/>
      <c r="AB930" s="23"/>
      <c r="AC930" s="23"/>
      <c r="AD930" s="23"/>
      <c r="AE930" s="158"/>
      <c r="AF930" s="158"/>
      <c r="AG930" s="158"/>
      <c r="AH930" s="158"/>
      <c r="AI930" s="158"/>
      <c r="AJ930" s="158"/>
      <c r="AK930" s="158"/>
      <c r="AL930" s="158"/>
      <c r="AM930" s="158"/>
      <c r="AN930" s="158"/>
      <c r="AO930" s="158"/>
      <c r="AP930" s="23"/>
      <c r="AQ930" s="23"/>
      <c r="AR930" s="23"/>
      <c r="AS930" s="23"/>
      <c r="AT930" s="2"/>
      <c r="AU930" s="58"/>
      <c r="AV930" s="105"/>
      <c r="AW930" s="23">
        <v>1</v>
      </c>
      <c r="AX930" s="23"/>
      <c r="AY930" s="23"/>
      <c r="AZ930" s="23"/>
      <c r="BA930" s="23"/>
      <c r="BB930" s="23"/>
      <c r="BC930" s="223"/>
      <c r="BD930" s="223"/>
      <c r="BE930" s="223"/>
      <c r="BF930" s="270">
        <v>2016</v>
      </c>
      <c r="BG930" s="270"/>
      <c r="BH930" s="268"/>
      <c r="BI930" s="682" t="s">
        <v>2376</v>
      </c>
    </row>
    <row r="931" spans="1:61" ht="15" customHeight="1">
      <c r="A931" s="160" t="s">
        <v>1</v>
      </c>
      <c r="B931" s="58" t="s">
        <v>320</v>
      </c>
      <c r="C931" s="65" t="s">
        <v>475</v>
      </c>
      <c r="D931" s="33" t="s">
        <v>319</v>
      </c>
      <c r="E931" s="33"/>
      <c r="F931" s="33"/>
      <c r="G931" s="33"/>
      <c r="H931" s="30"/>
      <c r="I931" s="30"/>
      <c r="J931" s="212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25"/>
      <c r="V931" s="23"/>
      <c r="W931" s="311"/>
      <c r="X931" s="311"/>
      <c r="Y931" s="311"/>
      <c r="Z931" s="94"/>
      <c r="AA931" s="23"/>
      <c r="AB931" s="23"/>
      <c r="AC931" s="23"/>
      <c r="AD931" s="23"/>
      <c r="AE931" s="158"/>
      <c r="AF931" s="158"/>
      <c r="AG931" s="158"/>
      <c r="AH931" s="158"/>
      <c r="AI931" s="158"/>
      <c r="AJ931" s="158"/>
      <c r="AK931" s="158"/>
      <c r="AL931" s="158"/>
      <c r="AM931" s="158"/>
      <c r="AN931" s="158"/>
      <c r="AO931" s="158"/>
      <c r="AP931" s="23"/>
      <c r="AQ931" s="23"/>
      <c r="AR931" s="23"/>
      <c r="AS931" s="23"/>
      <c r="AT931" s="2"/>
      <c r="AU931" s="58"/>
      <c r="AV931" s="105"/>
      <c r="AW931" s="23">
        <v>1</v>
      </c>
      <c r="AX931" s="23"/>
      <c r="AY931" s="23"/>
      <c r="AZ931" s="23"/>
      <c r="BA931" s="23"/>
      <c r="BB931" s="23"/>
      <c r="BC931" s="223"/>
      <c r="BD931" s="223"/>
      <c r="BE931" s="223"/>
      <c r="BF931" s="270">
        <v>2016</v>
      </c>
      <c r="BG931" s="270"/>
      <c r="BH931" s="268"/>
      <c r="BI931" s="682" t="s">
        <v>2376</v>
      </c>
    </row>
    <row r="932" spans="1:61" ht="15" customHeight="1">
      <c r="A932" s="160" t="s">
        <v>1</v>
      </c>
      <c r="B932" s="58" t="s">
        <v>320</v>
      </c>
      <c r="C932" s="65" t="s">
        <v>476</v>
      </c>
      <c r="D932" s="33" t="s">
        <v>319</v>
      </c>
      <c r="E932" s="33"/>
      <c r="F932" s="33"/>
      <c r="G932" s="33"/>
      <c r="H932" s="30"/>
      <c r="I932" s="30"/>
      <c r="J932" s="212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25"/>
      <c r="V932" s="23"/>
      <c r="W932" s="311"/>
      <c r="X932" s="311"/>
      <c r="Y932" s="311"/>
      <c r="Z932" s="94"/>
      <c r="AA932" s="23"/>
      <c r="AB932" s="23"/>
      <c r="AC932" s="23"/>
      <c r="AD932" s="23"/>
      <c r="AE932" s="158"/>
      <c r="AF932" s="158"/>
      <c r="AG932" s="158"/>
      <c r="AH932" s="158"/>
      <c r="AI932" s="158"/>
      <c r="AJ932" s="158"/>
      <c r="AK932" s="158"/>
      <c r="AL932" s="158"/>
      <c r="AM932" s="158"/>
      <c r="AN932" s="158"/>
      <c r="AO932" s="158"/>
      <c r="AP932" s="23"/>
      <c r="AQ932" s="23"/>
      <c r="AR932" s="23"/>
      <c r="AS932" s="23"/>
      <c r="AT932" s="2"/>
      <c r="AU932" s="58"/>
      <c r="AV932" s="105"/>
      <c r="AW932" s="23">
        <v>1</v>
      </c>
      <c r="AX932" s="23"/>
      <c r="AY932" s="23"/>
      <c r="AZ932" s="23"/>
      <c r="BA932" s="23"/>
      <c r="BB932" s="23"/>
      <c r="BC932" s="223"/>
      <c r="BD932" s="223"/>
      <c r="BE932" s="223"/>
      <c r="BF932" s="270">
        <v>2016</v>
      </c>
      <c r="BG932" s="270"/>
      <c r="BH932" s="268"/>
      <c r="BI932" s="682" t="s">
        <v>2376</v>
      </c>
    </row>
    <row r="933" spans="1:61" ht="15" customHeight="1">
      <c r="A933" s="160" t="s">
        <v>1</v>
      </c>
      <c r="B933" s="58" t="s">
        <v>320</v>
      </c>
      <c r="C933" s="65" t="s">
        <v>477</v>
      </c>
      <c r="D933" s="33" t="s">
        <v>319</v>
      </c>
      <c r="E933" s="33"/>
      <c r="F933" s="33"/>
      <c r="G933" s="33"/>
      <c r="H933" s="30"/>
      <c r="I933" s="30"/>
      <c r="J933" s="212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25"/>
      <c r="V933" s="23"/>
      <c r="W933" s="311"/>
      <c r="X933" s="311"/>
      <c r="Y933" s="311"/>
      <c r="Z933" s="94"/>
      <c r="AA933" s="23"/>
      <c r="AB933" s="23"/>
      <c r="AC933" s="23"/>
      <c r="AD933" s="23"/>
      <c r="AE933" s="158"/>
      <c r="AF933" s="158"/>
      <c r="AG933" s="158"/>
      <c r="AH933" s="158"/>
      <c r="AI933" s="158"/>
      <c r="AJ933" s="158"/>
      <c r="AK933" s="158"/>
      <c r="AL933" s="158"/>
      <c r="AM933" s="158"/>
      <c r="AN933" s="158"/>
      <c r="AO933" s="158"/>
      <c r="AP933" s="23"/>
      <c r="AQ933" s="23"/>
      <c r="AR933" s="23"/>
      <c r="AS933" s="23"/>
      <c r="AT933" s="2"/>
      <c r="AU933" s="58"/>
      <c r="AV933" s="105"/>
      <c r="AW933" s="23">
        <v>1</v>
      </c>
      <c r="AX933" s="23"/>
      <c r="AY933" s="23"/>
      <c r="AZ933" s="23"/>
      <c r="BA933" s="23"/>
      <c r="BB933" s="23"/>
      <c r="BC933" s="223"/>
      <c r="BD933" s="223"/>
      <c r="BE933" s="223"/>
      <c r="BF933" s="270">
        <v>2016</v>
      </c>
      <c r="BG933" s="270"/>
      <c r="BH933" s="268"/>
      <c r="BI933" s="682" t="s">
        <v>2376</v>
      </c>
    </row>
    <row r="934" spans="1:61" ht="15" customHeight="1">
      <c r="A934" s="160" t="s">
        <v>1</v>
      </c>
      <c r="B934" s="58" t="s">
        <v>320</v>
      </c>
      <c r="C934" s="65" t="s">
        <v>478</v>
      </c>
      <c r="D934" s="33" t="s">
        <v>319</v>
      </c>
      <c r="E934" s="33"/>
      <c r="F934" s="33"/>
      <c r="G934" s="33"/>
      <c r="H934" s="30"/>
      <c r="I934" s="30"/>
      <c r="J934" s="212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25"/>
      <c r="V934" s="23"/>
      <c r="W934" s="311"/>
      <c r="X934" s="311"/>
      <c r="Y934" s="311"/>
      <c r="Z934" s="94"/>
      <c r="AA934" s="23"/>
      <c r="AB934" s="23"/>
      <c r="AC934" s="23"/>
      <c r="AD934" s="23"/>
      <c r="AE934" s="158"/>
      <c r="AF934" s="158"/>
      <c r="AG934" s="158"/>
      <c r="AH934" s="158"/>
      <c r="AI934" s="158"/>
      <c r="AJ934" s="158"/>
      <c r="AK934" s="158"/>
      <c r="AL934" s="158"/>
      <c r="AM934" s="158"/>
      <c r="AN934" s="158"/>
      <c r="AO934" s="158"/>
      <c r="AP934" s="23"/>
      <c r="AQ934" s="23"/>
      <c r="AR934" s="23"/>
      <c r="AS934" s="23"/>
      <c r="AT934" s="2"/>
      <c r="AU934" s="58"/>
      <c r="AV934" s="105"/>
      <c r="AW934" s="23">
        <v>1</v>
      </c>
      <c r="AX934" s="23"/>
      <c r="AY934" s="23"/>
      <c r="AZ934" s="23"/>
      <c r="BA934" s="23"/>
      <c r="BB934" s="23"/>
      <c r="BC934" s="223"/>
      <c r="BD934" s="223"/>
      <c r="BE934" s="223"/>
      <c r="BF934" s="270">
        <v>2016</v>
      </c>
      <c r="BG934" s="270"/>
      <c r="BH934" s="268"/>
      <c r="BI934" s="682" t="s">
        <v>2376</v>
      </c>
    </row>
    <row r="935" spans="1:61" ht="15" customHeight="1">
      <c r="A935" s="160" t="s">
        <v>1</v>
      </c>
      <c r="B935" s="58" t="s">
        <v>320</v>
      </c>
      <c r="C935" s="65" t="s">
        <v>479</v>
      </c>
      <c r="D935" s="33" t="s">
        <v>387</v>
      </c>
      <c r="E935" s="33"/>
      <c r="F935" s="33"/>
      <c r="G935" s="33"/>
      <c r="H935" s="30"/>
      <c r="I935" s="30"/>
      <c r="J935" s="212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25"/>
      <c r="V935" s="23"/>
      <c r="W935" s="311"/>
      <c r="X935" s="311"/>
      <c r="Y935" s="311"/>
      <c r="Z935" s="94"/>
      <c r="AA935" s="23"/>
      <c r="AB935" s="23"/>
      <c r="AC935" s="23"/>
      <c r="AD935" s="23"/>
      <c r="AE935" s="158"/>
      <c r="AF935" s="158"/>
      <c r="AG935" s="158"/>
      <c r="AH935" s="158"/>
      <c r="AI935" s="158"/>
      <c r="AJ935" s="158"/>
      <c r="AK935" s="158"/>
      <c r="AL935" s="158"/>
      <c r="AM935" s="158"/>
      <c r="AN935" s="158"/>
      <c r="AO935" s="158"/>
      <c r="AP935" s="23"/>
      <c r="AQ935" s="23"/>
      <c r="AR935" s="23"/>
      <c r="AS935" s="23"/>
      <c r="AT935" s="2"/>
      <c r="AU935" s="58"/>
      <c r="AV935" s="105"/>
      <c r="AW935" s="23">
        <v>1</v>
      </c>
      <c r="AX935" s="23"/>
      <c r="AY935" s="23"/>
      <c r="AZ935" s="23"/>
      <c r="BA935" s="23"/>
      <c r="BB935" s="23"/>
      <c r="BC935" s="223"/>
      <c r="BD935" s="223"/>
      <c r="BE935" s="223"/>
      <c r="BF935" s="270">
        <v>2016</v>
      </c>
      <c r="BG935" s="270"/>
      <c r="BH935" s="268"/>
      <c r="BI935" s="682" t="s">
        <v>2376</v>
      </c>
    </row>
    <row r="936" spans="1:61" ht="24" customHeight="1">
      <c r="A936" s="160" t="s">
        <v>1</v>
      </c>
      <c r="B936" s="58" t="s">
        <v>320</v>
      </c>
      <c r="C936" s="65" t="s">
        <v>480</v>
      </c>
      <c r="D936" s="33" t="s">
        <v>387</v>
      </c>
      <c r="E936" s="33"/>
      <c r="F936" s="33"/>
      <c r="G936" s="33"/>
      <c r="H936" s="30" t="s">
        <v>1422</v>
      </c>
      <c r="I936" s="30"/>
      <c r="J936" s="212"/>
      <c r="K936" s="23"/>
      <c r="L936" s="23"/>
      <c r="M936" s="23"/>
      <c r="N936" s="32"/>
      <c r="O936" s="32"/>
      <c r="P936" s="23">
        <v>56837553</v>
      </c>
      <c r="Q936" s="23"/>
      <c r="R936" s="23"/>
      <c r="S936" s="23"/>
      <c r="T936" s="23"/>
      <c r="U936" s="225">
        <v>48311920</v>
      </c>
      <c r="V936" s="23"/>
      <c r="W936" s="311"/>
      <c r="X936" s="578"/>
      <c r="Y936" s="578"/>
      <c r="Z936" s="325">
        <f>8525633</f>
        <v>8525633</v>
      </c>
      <c r="AA936" s="23"/>
      <c r="AB936" s="23"/>
      <c r="AC936" s="23"/>
      <c r="AD936" s="23"/>
      <c r="AE936" s="158"/>
      <c r="AF936" s="158">
        <f>P936-U936-Z936</f>
        <v>0</v>
      </c>
      <c r="AG936" s="158"/>
      <c r="AH936" s="158"/>
      <c r="AI936" s="158"/>
      <c r="AJ936" s="158"/>
      <c r="AK936" s="158"/>
      <c r="AL936" s="158"/>
      <c r="AM936" s="158"/>
      <c r="AN936" s="158"/>
      <c r="AO936" s="158"/>
      <c r="AP936" s="23"/>
      <c r="AQ936" s="23"/>
      <c r="AR936" s="23"/>
      <c r="AS936" s="23"/>
      <c r="AT936" s="2"/>
      <c r="AU936" s="58"/>
      <c r="AV936" s="154" t="s">
        <v>1845</v>
      </c>
      <c r="AW936" s="23">
        <v>1</v>
      </c>
      <c r="AX936" s="23"/>
      <c r="AY936" s="23"/>
      <c r="AZ936" s="23"/>
      <c r="BA936" s="23"/>
      <c r="BB936" s="23"/>
      <c r="BC936" s="223"/>
      <c r="BD936" s="223"/>
      <c r="BE936" s="223"/>
      <c r="BF936" s="270">
        <v>2016</v>
      </c>
      <c r="BG936" s="270"/>
      <c r="BH936" s="268"/>
      <c r="BI936" s="682" t="s">
        <v>2376</v>
      </c>
    </row>
    <row r="937" spans="1:61" ht="15" customHeight="1">
      <c r="A937" s="160" t="s">
        <v>1</v>
      </c>
      <c r="B937" s="58" t="s">
        <v>320</v>
      </c>
      <c r="C937" s="65" t="s">
        <v>481</v>
      </c>
      <c r="D937" s="33" t="s">
        <v>387</v>
      </c>
      <c r="E937" s="33"/>
      <c r="F937" s="33"/>
      <c r="G937" s="33"/>
      <c r="H937" s="30"/>
      <c r="I937" s="30"/>
      <c r="J937" s="212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25"/>
      <c r="V937" s="23"/>
      <c r="W937" s="311"/>
      <c r="X937" s="311"/>
      <c r="Y937" s="311"/>
      <c r="Z937" s="94"/>
      <c r="AA937" s="23"/>
      <c r="AB937" s="23"/>
      <c r="AC937" s="23"/>
      <c r="AD937" s="23"/>
      <c r="AE937" s="158"/>
      <c r="AF937" s="158"/>
      <c r="AG937" s="158"/>
      <c r="AH937" s="158"/>
      <c r="AI937" s="158"/>
      <c r="AJ937" s="158"/>
      <c r="AK937" s="158"/>
      <c r="AL937" s="158"/>
      <c r="AM937" s="158"/>
      <c r="AN937" s="158"/>
      <c r="AO937" s="158"/>
      <c r="AP937" s="23"/>
      <c r="AQ937" s="23"/>
      <c r="AR937" s="23"/>
      <c r="AS937" s="23"/>
      <c r="AT937" s="2"/>
      <c r="AU937" s="58"/>
      <c r="AV937" s="105"/>
      <c r="AW937" s="23">
        <v>1</v>
      </c>
      <c r="AX937" s="23"/>
      <c r="AY937" s="23"/>
      <c r="AZ937" s="23"/>
      <c r="BA937" s="23"/>
      <c r="BB937" s="23"/>
      <c r="BC937" s="223"/>
      <c r="BD937" s="223"/>
      <c r="BE937" s="223"/>
      <c r="BF937" s="270">
        <v>2016</v>
      </c>
      <c r="BG937" s="270"/>
      <c r="BH937" s="268"/>
      <c r="BI937" s="682" t="s">
        <v>2376</v>
      </c>
    </row>
    <row r="938" spans="1:61" ht="15" customHeight="1">
      <c r="A938" s="160" t="s">
        <v>1</v>
      </c>
      <c r="B938" s="58" t="s">
        <v>320</v>
      </c>
      <c r="C938" s="65" t="s">
        <v>482</v>
      </c>
      <c r="D938" s="33" t="s">
        <v>319</v>
      </c>
      <c r="E938" s="33"/>
      <c r="F938" s="33"/>
      <c r="G938" s="33"/>
      <c r="H938" s="30"/>
      <c r="I938" s="30"/>
      <c r="J938" s="212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25"/>
      <c r="V938" s="23"/>
      <c r="W938" s="311"/>
      <c r="X938" s="311"/>
      <c r="Y938" s="311"/>
      <c r="Z938" s="94"/>
      <c r="AA938" s="23"/>
      <c r="AB938" s="23"/>
      <c r="AC938" s="23"/>
      <c r="AD938" s="23"/>
      <c r="AE938" s="158"/>
      <c r="AF938" s="158"/>
      <c r="AG938" s="158"/>
      <c r="AH938" s="158"/>
      <c r="AI938" s="158"/>
      <c r="AJ938" s="158"/>
      <c r="AK938" s="158"/>
      <c r="AL938" s="158"/>
      <c r="AM938" s="158"/>
      <c r="AN938" s="158"/>
      <c r="AO938" s="158"/>
      <c r="AP938" s="23"/>
      <c r="AQ938" s="23"/>
      <c r="AR938" s="23"/>
      <c r="AS938" s="23"/>
      <c r="AT938" s="2"/>
      <c r="AU938" s="58"/>
      <c r="AV938" s="105"/>
      <c r="AW938" s="23">
        <v>1</v>
      </c>
      <c r="AX938" s="23"/>
      <c r="AY938" s="23"/>
      <c r="AZ938" s="23"/>
      <c r="BA938" s="23"/>
      <c r="BB938" s="23"/>
      <c r="BC938" s="223"/>
      <c r="BD938" s="223"/>
      <c r="BE938" s="223"/>
      <c r="BF938" s="270">
        <v>2016</v>
      </c>
      <c r="BG938" s="270"/>
      <c r="BH938" s="268"/>
      <c r="BI938" s="682" t="s">
        <v>2376</v>
      </c>
    </row>
    <row r="939" spans="1:61" ht="15" customHeight="1">
      <c r="A939" s="160" t="s">
        <v>1</v>
      </c>
      <c r="B939" s="58" t="s">
        <v>320</v>
      </c>
      <c r="C939" s="65" t="s">
        <v>483</v>
      </c>
      <c r="D939" s="33" t="s">
        <v>319</v>
      </c>
      <c r="E939" s="33"/>
      <c r="F939" s="33"/>
      <c r="G939" s="33"/>
      <c r="H939" s="30"/>
      <c r="I939" s="30"/>
      <c r="J939" s="212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25"/>
      <c r="V939" s="23"/>
      <c r="W939" s="311"/>
      <c r="X939" s="311"/>
      <c r="Y939" s="311"/>
      <c r="Z939" s="94"/>
      <c r="AA939" s="23"/>
      <c r="AB939" s="23"/>
      <c r="AC939" s="23"/>
      <c r="AD939" s="23"/>
      <c r="AE939" s="158"/>
      <c r="AF939" s="158"/>
      <c r="AG939" s="158"/>
      <c r="AH939" s="158"/>
      <c r="AI939" s="158"/>
      <c r="AJ939" s="158"/>
      <c r="AK939" s="158"/>
      <c r="AL939" s="158"/>
      <c r="AM939" s="158"/>
      <c r="AN939" s="158"/>
      <c r="AO939" s="158"/>
      <c r="AP939" s="23"/>
      <c r="AQ939" s="23"/>
      <c r="AR939" s="23"/>
      <c r="AS939" s="23"/>
      <c r="AT939" s="2"/>
      <c r="AU939" s="58"/>
      <c r="AV939" s="105"/>
      <c r="AW939" s="23">
        <v>1</v>
      </c>
      <c r="AX939" s="23"/>
      <c r="AY939" s="23"/>
      <c r="AZ939" s="23"/>
      <c r="BA939" s="23"/>
      <c r="BB939" s="23"/>
      <c r="BC939" s="223"/>
      <c r="BD939" s="223"/>
      <c r="BE939" s="223"/>
      <c r="BF939" s="270">
        <v>2016</v>
      </c>
      <c r="BG939" s="270"/>
      <c r="BH939" s="268"/>
      <c r="BI939" s="682" t="s">
        <v>2376</v>
      </c>
    </row>
    <row r="940" spans="1:61" ht="15" customHeight="1">
      <c r="A940" s="160" t="s">
        <v>1</v>
      </c>
      <c r="B940" s="58" t="s">
        <v>320</v>
      </c>
      <c r="C940" s="65" t="s">
        <v>484</v>
      </c>
      <c r="D940" s="33" t="s">
        <v>319</v>
      </c>
      <c r="E940" s="33"/>
      <c r="F940" s="33"/>
      <c r="G940" s="33"/>
      <c r="H940" s="30"/>
      <c r="I940" s="30"/>
      <c r="J940" s="212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25"/>
      <c r="V940" s="23"/>
      <c r="W940" s="311"/>
      <c r="X940" s="311"/>
      <c r="Y940" s="311"/>
      <c r="Z940" s="94"/>
      <c r="AA940" s="23"/>
      <c r="AB940" s="23"/>
      <c r="AC940" s="23"/>
      <c r="AD940" s="23"/>
      <c r="AE940" s="158"/>
      <c r="AF940" s="158"/>
      <c r="AG940" s="158"/>
      <c r="AH940" s="158"/>
      <c r="AI940" s="158"/>
      <c r="AJ940" s="158"/>
      <c r="AK940" s="158"/>
      <c r="AL940" s="158"/>
      <c r="AM940" s="158"/>
      <c r="AN940" s="158"/>
      <c r="AO940" s="158"/>
      <c r="AP940" s="23"/>
      <c r="AQ940" s="23"/>
      <c r="AR940" s="23"/>
      <c r="AS940" s="23"/>
      <c r="AT940" s="2"/>
      <c r="AU940" s="58"/>
      <c r="AV940" s="105"/>
      <c r="AW940" s="23">
        <v>1</v>
      </c>
      <c r="AX940" s="23"/>
      <c r="AY940" s="23"/>
      <c r="AZ940" s="23"/>
      <c r="BA940" s="23"/>
      <c r="BB940" s="23"/>
      <c r="BC940" s="223"/>
      <c r="BD940" s="223"/>
      <c r="BE940" s="223"/>
      <c r="BF940" s="270">
        <v>2016</v>
      </c>
      <c r="BG940" s="270"/>
      <c r="BH940" s="268"/>
      <c r="BI940" s="682" t="s">
        <v>2376</v>
      </c>
    </row>
    <row r="941" spans="1:61" ht="15" customHeight="1">
      <c r="A941" s="160" t="s">
        <v>1</v>
      </c>
      <c r="B941" s="58" t="s">
        <v>320</v>
      </c>
      <c r="C941" s="65" t="s">
        <v>485</v>
      </c>
      <c r="D941" s="33" t="s">
        <v>319</v>
      </c>
      <c r="E941" s="33"/>
      <c r="F941" s="33"/>
      <c r="G941" s="33"/>
      <c r="H941" s="30"/>
      <c r="I941" s="30"/>
      <c r="J941" s="212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25"/>
      <c r="V941" s="23"/>
      <c r="W941" s="311"/>
      <c r="X941" s="311"/>
      <c r="Y941" s="311"/>
      <c r="Z941" s="94"/>
      <c r="AA941" s="23"/>
      <c r="AB941" s="23"/>
      <c r="AC941" s="23"/>
      <c r="AD941" s="23"/>
      <c r="AE941" s="158"/>
      <c r="AF941" s="158"/>
      <c r="AG941" s="158"/>
      <c r="AH941" s="158"/>
      <c r="AI941" s="158"/>
      <c r="AJ941" s="158"/>
      <c r="AK941" s="158"/>
      <c r="AL941" s="158"/>
      <c r="AM941" s="158"/>
      <c r="AN941" s="158"/>
      <c r="AO941" s="158"/>
      <c r="AP941" s="23"/>
      <c r="AQ941" s="23"/>
      <c r="AR941" s="23"/>
      <c r="AS941" s="23"/>
      <c r="AT941" s="2"/>
      <c r="AU941" s="58"/>
      <c r="AV941" s="105"/>
      <c r="AW941" s="23">
        <v>1</v>
      </c>
      <c r="AX941" s="23"/>
      <c r="AY941" s="23"/>
      <c r="AZ941" s="23"/>
      <c r="BA941" s="23"/>
      <c r="BB941" s="23"/>
      <c r="BC941" s="223"/>
      <c r="BD941" s="223"/>
      <c r="BE941" s="223"/>
      <c r="BF941" s="270">
        <v>2016</v>
      </c>
      <c r="BG941" s="270"/>
      <c r="BH941" s="268"/>
      <c r="BI941" s="682" t="s">
        <v>2376</v>
      </c>
    </row>
    <row r="942" spans="1:61" ht="15" customHeight="1">
      <c r="A942" s="160" t="s">
        <v>1</v>
      </c>
      <c r="B942" s="58" t="s">
        <v>320</v>
      </c>
      <c r="C942" s="65" t="s">
        <v>486</v>
      </c>
      <c r="D942" s="33" t="s">
        <v>319</v>
      </c>
      <c r="E942" s="33"/>
      <c r="F942" s="33"/>
      <c r="G942" s="33"/>
      <c r="H942" s="30"/>
      <c r="I942" s="30"/>
      <c r="J942" s="212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25"/>
      <c r="V942" s="23"/>
      <c r="W942" s="311"/>
      <c r="X942" s="311"/>
      <c r="Y942" s="311"/>
      <c r="Z942" s="94"/>
      <c r="AA942" s="23"/>
      <c r="AB942" s="23"/>
      <c r="AC942" s="23"/>
      <c r="AD942" s="23"/>
      <c r="AE942" s="158"/>
      <c r="AF942" s="158"/>
      <c r="AG942" s="158"/>
      <c r="AH942" s="158"/>
      <c r="AI942" s="158"/>
      <c r="AJ942" s="158"/>
      <c r="AK942" s="158"/>
      <c r="AL942" s="158"/>
      <c r="AM942" s="158"/>
      <c r="AN942" s="158"/>
      <c r="AO942" s="158"/>
      <c r="AP942" s="23"/>
      <c r="AQ942" s="23"/>
      <c r="AR942" s="23"/>
      <c r="AS942" s="23"/>
      <c r="AT942" s="2"/>
      <c r="AU942" s="58"/>
      <c r="AV942" s="105"/>
      <c r="AW942" s="23">
        <v>1</v>
      </c>
      <c r="AX942" s="23"/>
      <c r="AY942" s="23"/>
      <c r="AZ942" s="23"/>
      <c r="BA942" s="23"/>
      <c r="BB942" s="23"/>
      <c r="BC942" s="223"/>
      <c r="BD942" s="223"/>
      <c r="BE942" s="223"/>
      <c r="BF942" s="270">
        <v>2016</v>
      </c>
      <c r="BG942" s="270"/>
      <c r="BH942" s="268"/>
      <c r="BI942" s="682" t="s">
        <v>2376</v>
      </c>
    </row>
    <row r="943" spans="1:61" ht="15" customHeight="1">
      <c r="A943" s="160" t="s">
        <v>1</v>
      </c>
      <c r="B943" s="58" t="s">
        <v>320</v>
      </c>
      <c r="C943" s="65" t="s">
        <v>487</v>
      </c>
      <c r="D943" s="33" t="s">
        <v>319</v>
      </c>
      <c r="E943" s="33"/>
      <c r="F943" s="33"/>
      <c r="G943" s="33"/>
      <c r="H943" s="30"/>
      <c r="I943" s="30"/>
      <c r="J943" s="212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25"/>
      <c r="V943" s="23"/>
      <c r="W943" s="311"/>
      <c r="X943" s="311"/>
      <c r="Y943" s="311"/>
      <c r="Z943" s="94"/>
      <c r="AA943" s="23"/>
      <c r="AB943" s="23"/>
      <c r="AC943" s="23"/>
      <c r="AD943" s="23"/>
      <c r="AE943" s="158"/>
      <c r="AF943" s="158"/>
      <c r="AG943" s="158"/>
      <c r="AH943" s="158"/>
      <c r="AI943" s="158"/>
      <c r="AJ943" s="158"/>
      <c r="AK943" s="158"/>
      <c r="AL943" s="158"/>
      <c r="AM943" s="158"/>
      <c r="AN943" s="158"/>
      <c r="AO943" s="158"/>
      <c r="AP943" s="23"/>
      <c r="AQ943" s="23"/>
      <c r="AR943" s="23"/>
      <c r="AS943" s="23"/>
      <c r="AT943" s="2"/>
      <c r="AU943" s="58"/>
      <c r="AV943" s="105"/>
      <c r="AW943" s="23">
        <v>1</v>
      </c>
      <c r="AX943" s="23"/>
      <c r="AY943" s="23"/>
      <c r="AZ943" s="23"/>
      <c r="BA943" s="23"/>
      <c r="BB943" s="23"/>
      <c r="BC943" s="223"/>
      <c r="BD943" s="223"/>
      <c r="BE943" s="223"/>
      <c r="BF943" s="270">
        <v>2016</v>
      </c>
      <c r="BG943" s="270"/>
      <c r="BH943" s="268"/>
      <c r="BI943" s="682" t="s">
        <v>2376</v>
      </c>
    </row>
    <row r="944" spans="1:61" ht="15" customHeight="1">
      <c r="A944" s="160" t="s">
        <v>1</v>
      </c>
      <c r="B944" s="58" t="s">
        <v>320</v>
      </c>
      <c r="C944" s="65" t="s">
        <v>488</v>
      </c>
      <c r="D944" s="33" t="s">
        <v>319</v>
      </c>
      <c r="E944" s="33"/>
      <c r="F944" s="33"/>
      <c r="G944" s="33"/>
      <c r="H944" s="30"/>
      <c r="I944" s="30"/>
      <c r="J944" s="212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25"/>
      <c r="V944" s="23"/>
      <c r="W944" s="311"/>
      <c r="X944" s="311"/>
      <c r="Y944" s="311"/>
      <c r="Z944" s="94"/>
      <c r="AA944" s="23"/>
      <c r="AB944" s="23"/>
      <c r="AC944" s="23"/>
      <c r="AD944" s="23"/>
      <c r="AE944" s="158"/>
      <c r="AF944" s="158"/>
      <c r="AG944" s="158"/>
      <c r="AH944" s="158"/>
      <c r="AI944" s="158"/>
      <c r="AJ944" s="158"/>
      <c r="AK944" s="158"/>
      <c r="AL944" s="158"/>
      <c r="AM944" s="158"/>
      <c r="AN944" s="158"/>
      <c r="AO944" s="158"/>
      <c r="AP944" s="23"/>
      <c r="AQ944" s="23"/>
      <c r="AR944" s="23"/>
      <c r="AS944" s="23"/>
      <c r="AT944" s="2"/>
      <c r="AU944" s="58"/>
      <c r="AV944" s="105"/>
      <c r="AW944" s="23">
        <v>1</v>
      </c>
      <c r="AX944" s="23"/>
      <c r="AY944" s="23"/>
      <c r="AZ944" s="23"/>
      <c r="BA944" s="23"/>
      <c r="BB944" s="23"/>
      <c r="BC944" s="223"/>
      <c r="BD944" s="223"/>
      <c r="BE944" s="223"/>
      <c r="BF944" s="270">
        <v>2016</v>
      </c>
      <c r="BG944" s="270"/>
      <c r="BH944" s="268"/>
      <c r="BI944" s="682" t="s">
        <v>2376</v>
      </c>
    </row>
    <row r="945" spans="1:61" ht="15" customHeight="1">
      <c r="A945" s="160" t="s">
        <v>1</v>
      </c>
      <c r="B945" s="58" t="s">
        <v>320</v>
      </c>
      <c r="C945" s="65" t="s">
        <v>489</v>
      </c>
      <c r="D945" s="33" t="s">
        <v>319</v>
      </c>
      <c r="E945" s="33"/>
      <c r="F945" s="33"/>
      <c r="G945" s="33"/>
      <c r="H945" s="30"/>
      <c r="I945" s="30"/>
      <c r="J945" s="212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25"/>
      <c r="V945" s="23"/>
      <c r="W945" s="311"/>
      <c r="X945" s="311"/>
      <c r="Y945" s="311"/>
      <c r="Z945" s="94"/>
      <c r="AA945" s="23"/>
      <c r="AB945" s="23"/>
      <c r="AC945" s="23"/>
      <c r="AD945" s="23"/>
      <c r="AE945" s="158"/>
      <c r="AF945" s="158"/>
      <c r="AG945" s="158"/>
      <c r="AH945" s="158"/>
      <c r="AI945" s="158"/>
      <c r="AJ945" s="158"/>
      <c r="AK945" s="158"/>
      <c r="AL945" s="158"/>
      <c r="AM945" s="158"/>
      <c r="AN945" s="158"/>
      <c r="AO945" s="158"/>
      <c r="AP945" s="23"/>
      <c r="AQ945" s="23"/>
      <c r="AR945" s="23"/>
      <c r="AS945" s="23"/>
      <c r="AT945" s="2"/>
      <c r="AU945" s="58"/>
      <c r="AV945" s="105"/>
      <c r="AW945" s="23">
        <v>1</v>
      </c>
      <c r="AX945" s="23"/>
      <c r="AY945" s="23"/>
      <c r="AZ945" s="23"/>
      <c r="BA945" s="23"/>
      <c r="BB945" s="23"/>
      <c r="BC945" s="223"/>
      <c r="BD945" s="223"/>
      <c r="BE945" s="223"/>
      <c r="BF945" s="270">
        <v>2016</v>
      </c>
      <c r="BG945" s="270"/>
      <c r="BH945" s="268"/>
      <c r="BI945" s="682" t="s">
        <v>2376</v>
      </c>
    </row>
    <row r="946" spans="1:61" ht="15" customHeight="1">
      <c r="A946" s="160" t="s">
        <v>1</v>
      </c>
      <c r="B946" s="58" t="s">
        <v>320</v>
      </c>
      <c r="C946" s="65" t="s">
        <v>490</v>
      </c>
      <c r="D946" s="33" t="s">
        <v>319</v>
      </c>
      <c r="E946" s="33"/>
      <c r="F946" s="33"/>
      <c r="G946" s="33"/>
      <c r="H946" s="30"/>
      <c r="I946" s="30"/>
      <c r="J946" s="212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25"/>
      <c r="V946" s="23"/>
      <c r="W946" s="311"/>
      <c r="X946" s="311"/>
      <c r="Y946" s="311"/>
      <c r="Z946" s="94"/>
      <c r="AA946" s="23"/>
      <c r="AB946" s="23"/>
      <c r="AC946" s="23"/>
      <c r="AD946" s="23"/>
      <c r="AE946" s="158"/>
      <c r="AF946" s="158"/>
      <c r="AG946" s="158"/>
      <c r="AH946" s="158"/>
      <c r="AI946" s="158"/>
      <c r="AJ946" s="158"/>
      <c r="AK946" s="158"/>
      <c r="AL946" s="158"/>
      <c r="AM946" s="158"/>
      <c r="AN946" s="158"/>
      <c r="AO946" s="158"/>
      <c r="AP946" s="23"/>
      <c r="AQ946" s="23"/>
      <c r="AR946" s="23"/>
      <c r="AS946" s="23"/>
      <c r="AT946" s="2"/>
      <c r="AU946" s="58"/>
      <c r="AV946" s="105"/>
      <c r="AW946" s="23">
        <v>1</v>
      </c>
      <c r="AX946" s="23"/>
      <c r="AY946" s="23"/>
      <c r="AZ946" s="23"/>
      <c r="BA946" s="23"/>
      <c r="BB946" s="23"/>
      <c r="BC946" s="223"/>
      <c r="BD946" s="223"/>
      <c r="BE946" s="223"/>
      <c r="BF946" s="270">
        <v>2016</v>
      </c>
      <c r="BG946" s="270"/>
      <c r="BH946" s="268"/>
      <c r="BI946" s="682" t="s">
        <v>2376</v>
      </c>
    </row>
    <row r="947" spans="1:61" ht="15" customHeight="1">
      <c r="A947" s="160" t="s">
        <v>1</v>
      </c>
      <c r="B947" s="58" t="s">
        <v>320</v>
      </c>
      <c r="C947" s="65" t="s">
        <v>491</v>
      </c>
      <c r="D947" s="33" t="s">
        <v>319</v>
      </c>
      <c r="E947" s="33"/>
      <c r="F947" s="33"/>
      <c r="G947" s="33"/>
      <c r="H947" s="30"/>
      <c r="I947" s="30"/>
      <c r="J947" s="212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25"/>
      <c r="V947" s="23"/>
      <c r="W947" s="311"/>
      <c r="X947" s="311"/>
      <c r="Y947" s="311"/>
      <c r="Z947" s="94"/>
      <c r="AA947" s="23"/>
      <c r="AB947" s="23"/>
      <c r="AC947" s="23"/>
      <c r="AD947" s="23"/>
      <c r="AE947" s="158"/>
      <c r="AF947" s="158"/>
      <c r="AG947" s="158"/>
      <c r="AH947" s="158"/>
      <c r="AI947" s="158"/>
      <c r="AJ947" s="158"/>
      <c r="AK947" s="158"/>
      <c r="AL947" s="158"/>
      <c r="AM947" s="158"/>
      <c r="AN947" s="158"/>
      <c r="AO947" s="158"/>
      <c r="AP947" s="23"/>
      <c r="AQ947" s="23"/>
      <c r="AR947" s="23"/>
      <c r="AS947" s="23"/>
      <c r="AT947" s="2"/>
      <c r="AU947" s="58"/>
      <c r="AV947" s="105"/>
      <c r="AW947" s="23">
        <v>1</v>
      </c>
      <c r="AX947" s="23"/>
      <c r="AY947" s="23"/>
      <c r="AZ947" s="23"/>
      <c r="BA947" s="23"/>
      <c r="BB947" s="23"/>
      <c r="BC947" s="223"/>
      <c r="BD947" s="223"/>
      <c r="BE947" s="223"/>
      <c r="BF947" s="270">
        <v>2016</v>
      </c>
      <c r="BG947" s="270"/>
      <c r="BH947" s="268"/>
      <c r="BI947" s="682" t="s">
        <v>2376</v>
      </c>
    </row>
    <row r="948" spans="1:61" ht="15" customHeight="1">
      <c r="A948" s="160" t="s">
        <v>1</v>
      </c>
      <c r="B948" s="58" t="s">
        <v>320</v>
      </c>
      <c r="C948" s="65" t="s">
        <v>492</v>
      </c>
      <c r="D948" s="33" t="s">
        <v>319</v>
      </c>
      <c r="E948" s="33"/>
      <c r="F948" s="33"/>
      <c r="G948" s="33"/>
      <c r="H948" s="30"/>
      <c r="I948" s="30"/>
      <c r="J948" s="212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25"/>
      <c r="V948" s="23"/>
      <c r="W948" s="311"/>
      <c r="X948" s="311"/>
      <c r="Y948" s="311"/>
      <c r="Z948" s="94"/>
      <c r="AA948" s="23"/>
      <c r="AB948" s="23"/>
      <c r="AC948" s="23"/>
      <c r="AD948" s="23"/>
      <c r="AE948" s="158"/>
      <c r="AF948" s="158"/>
      <c r="AG948" s="158"/>
      <c r="AH948" s="158"/>
      <c r="AI948" s="158"/>
      <c r="AJ948" s="158"/>
      <c r="AK948" s="158"/>
      <c r="AL948" s="158"/>
      <c r="AM948" s="158"/>
      <c r="AN948" s="158"/>
      <c r="AO948" s="158"/>
      <c r="AP948" s="23"/>
      <c r="AQ948" s="23"/>
      <c r="AR948" s="23"/>
      <c r="AS948" s="23"/>
      <c r="AT948" s="2"/>
      <c r="AU948" s="58"/>
      <c r="AV948" s="105"/>
      <c r="AW948" s="23">
        <v>1</v>
      </c>
      <c r="AX948" s="23"/>
      <c r="AY948" s="23"/>
      <c r="AZ948" s="23"/>
      <c r="BA948" s="23"/>
      <c r="BB948" s="23"/>
      <c r="BC948" s="223"/>
      <c r="BD948" s="223"/>
      <c r="BE948" s="223"/>
      <c r="BF948" s="270">
        <v>2016</v>
      </c>
      <c r="BG948" s="270"/>
      <c r="BH948" s="268"/>
      <c r="BI948" s="682" t="s">
        <v>2376</v>
      </c>
    </row>
    <row r="949" spans="1:61" ht="15" customHeight="1">
      <c r="A949" s="160" t="s">
        <v>1</v>
      </c>
      <c r="B949" s="58" t="s">
        <v>320</v>
      </c>
      <c r="C949" s="65" t="s">
        <v>493</v>
      </c>
      <c r="D949" s="33" t="s">
        <v>319</v>
      </c>
      <c r="E949" s="33"/>
      <c r="F949" s="33"/>
      <c r="G949" s="33"/>
      <c r="H949" s="30"/>
      <c r="I949" s="30"/>
      <c r="J949" s="212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25"/>
      <c r="V949" s="23"/>
      <c r="W949" s="311"/>
      <c r="X949" s="311"/>
      <c r="Y949" s="311"/>
      <c r="Z949" s="94"/>
      <c r="AA949" s="23"/>
      <c r="AB949" s="23"/>
      <c r="AC949" s="23"/>
      <c r="AD949" s="23"/>
      <c r="AE949" s="158"/>
      <c r="AF949" s="158"/>
      <c r="AG949" s="158"/>
      <c r="AH949" s="158"/>
      <c r="AI949" s="158"/>
      <c r="AJ949" s="158"/>
      <c r="AK949" s="158"/>
      <c r="AL949" s="158"/>
      <c r="AM949" s="158"/>
      <c r="AN949" s="158"/>
      <c r="AO949" s="158"/>
      <c r="AP949" s="23"/>
      <c r="AQ949" s="23"/>
      <c r="AR949" s="23"/>
      <c r="AS949" s="23"/>
      <c r="AT949" s="2"/>
      <c r="AU949" s="58"/>
      <c r="AV949" s="105"/>
      <c r="AW949" s="23">
        <v>1</v>
      </c>
      <c r="AX949" s="23"/>
      <c r="AY949" s="23"/>
      <c r="AZ949" s="23"/>
      <c r="BA949" s="23"/>
      <c r="BB949" s="23"/>
      <c r="BC949" s="223"/>
      <c r="BD949" s="223"/>
      <c r="BE949" s="223"/>
      <c r="BF949" s="270">
        <v>2016</v>
      </c>
      <c r="BG949" s="270"/>
      <c r="BH949" s="268"/>
      <c r="BI949" s="682" t="s">
        <v>2376</v>
      </c>
    </row>
    <row r="950" spans="1:61" ht="15" customHeight="1">
      <c r="A950" s="160" t="s">
        <v>1</v>
      </c>
      <c r="B950" s="58" t="s">
        <v>320</v>
      </c>
      <c r="C950" s="65" t="s">
        <v>494</v>
      </c>
      <c r="D950" s="33" t="s">
        <v>319</v>
      </c>
      <c r="E950" s="33"/>
      <c r="F950" s="33"/>
      <c r="G950" s="33"/>
      <c r="H950" s="30"/>
      <c r="I950" s="30"/>
      <c r="J950" s="212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25"/>
      <c r="V950" s="23"/>
      <c r="W950" s="311"/>
      <c r="X950" s="311"/>
      <c r="Y950" s="311"/>
      <c r="Z950" s="94"/>
      <c r="AA950" s="23"/>
      <c r="AB950" s="23"/>
      <c r="AC950" s="23"/>
      <c r="AD950" s="23"/>
      <c r="AE950" s="158"/>
      <c r="AF950" s="158"/>
      <c r="AG950" s="158"/>
      <c r="AH950" s="158"/>
      <c r="AI950" s="158"/>
      <c r="AJ950" s="158"/>
      <c r="AK950" s="158"/>
      <c r="AL950" s="158"/>
      <c r="AM950" s="158"/>
      <c r="AN950" s="158"/>
      <c r="AO950" s="158"/>
      <c r="AP950" s="23"/>
      <c r="AQ950" s="23"/>
      <c r="AR950" s="23"/>
      <c r="AS950" s="23"/>
      <c r="AT950" s="2"/>
      <c r="AU950" s="58"/>
      <c r="AV950" s="105"/>
      <c r="AW950" s="23">
        <v>1</v>
      </c>
      <c r="AX950" s="23"/>
      <c r="AY950" s="23"/>
      <c r="AZ950" s="23"/>
      <c r="BA950" s="23"/>
      <c r="BB950" s="23"/>
      <c r="BC950" s="223"/>
      <c r="BD950" s="223"/>
      <c r="BE950" s="223"/>
      <c r="BF950" s="270">
        <v>2016</v>
      </c>
      <c r="BG950" s="270"/>
      <c r="BH950" s="268"/>
      <c r="BI950" s="682" t="s">
        <v>2376</v>
      </c>
    </row>
    <row r="951" spans="1:61" ht="15" customHeight="1">
      <c r="A951" s="160" t="s">
        <v>1</v>
      </c>
      <c r="B951" s="58" t="s">
        <v>320</v>
      </c>
      <c r="C951" s="65" t="s">
        <v>495</v>
      </c>
      <c r="D951" s="33" t="s">
        <v>319</v>
      </c>
      <c r="E951" s="33"/>
      <c r="F951" s="33"/>
      <c r="G951" s="33"/>
      <c r="H951" s="30"/>
      <c r="I951" s="30"/>
      <c r="J951" s="212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25"/>
      <c r="V951" s="23"/>
      <c r="W951" s="311"/>
      <c r="X951" s="311"/>
      <c r="Y951" s="311"/>
      <c r="Z951" s="94"/>
      <c r="AA951" s="23"/>
      <c r="AB951" s="23"/>
      <c r="AC951" s="23"/>
      <c r="AD951" s="23"/>
      <c r="AE951" s="158"/>
      <c r="AF951" s="158"/>
      <c r="AG951" s="158"/>
      <c r="AH951" s="158"/>
      <c r="AI951" s="158"/>
      <c r="AJ951" s="158"/>
      <c r="AK951" s="158"/>
      <c r="AL951" s="158"/>
      <c r="AM951" s="158"/>
      <c r="AN951" s="158"/>
      <c r="AO951" s="158"/>
      <c r="AP951" s="23"/>
      <c r="AQ951" s="23"/>
      <c r="AR951" s="23"/>
      <c r="AS951" s="23"/>
      <c r="AT951" s="2"/>
      <c r="AU951" s="58"/>
      <c r="AV951" s="105"/>
      <c r="AW951" s="23">
        <v>1</v>
      </c>
      <c r="AX951" s="23"/>
      <c r="AY951" s="23"/>
      <c r="AZ951" s="23"/>
      <c r="BA951" s="23"/>
      <c r="BB951" s="23"/>
      <c r="BC951" s="223"/>
      <c r="BD951" s="223"/>
      <c r="BE951" s="223"/>
      <c r="BF951" s="270">
        <v>2016</v>
      </c>
      <c r="BG951" s="270"/>
      <c r="BH951" s="268"/>
      <c r="BI951" s="682" t="s">
        <v>2376</v>
      </c>
    </row>
    <row r="952" spans="1:61" ht="15" customHeight="1">
      <c r="A952" s="160" t="s">
        <v>1</v>
      </c>
      <c r="B952" s="58" t="s">
        <v>320</v>
      </c>
      <c r="C952" s="65" t="s">
        <v>496</v>
      </c>
      <c r="D952" s="33" t="s">
        <v>319</v>
      </c>
      <c r="E952" s="33"/>
      <c r="F952" s="33"/>
      <c r="G952" s="33"/>
      <c r="H952" s="30"/>
      <c r="I952" s="30"/>
      <c r="J952" s="212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25"/>
      <c r="V952" s="23"/>
      <c r="W952" s="311"/>
      <c r="X952" s="311"/>
      <c r="Y952" s="311"/>
      <c r="Z952" s="94"/>
      <c r="AA952" s="23"/>
      <c r="AB952" s="23"/>
      <c r="AC952" s="23"/>
      <c r="AD952" s="23"/>
      <c r="AE952" s="158"/>
      <c r="AF952" s="158"/>
      <c r="AG952" s="158"/>
      <c r="AH952" s="158"/>
      <c r="AI952" s="158"/>
      <c r="AJ952" s="158"/>
      <c r="AK952" s="158"/>
      <c r="AL952" s="158"/>
      <c r="AM952" s="158"/>
      <c r="AN952" s="158"/>
      <c r="AO952" s="158"/>
      <c r="AP952" s="23"/>
      <c r="AQ952" s="23"/>
      <c r="AR952" s="23"/>
      <c r="AS952" s="23"/>
      <c r="AT952" s="2"/>
      <c r="AU952" s="58"/>
      <c r="AV952" s="105"/>
      <c r="AW952" s="23">
        <v>1</v>
      </c>
      <c r="AX952" s="23"/>
      <c r="AY952" s="23"/>
      <c r="AZ952" s="23"/>
      <c r="BA952" s="23"/>
      <c r="BB952" s="23"/>
      <c r="BC952" s="223"/>
      <c r="BD952" s="223"/>
      <c r="BE952" s="223"/>
      <c r="BF952" s="270">
        <v>2016</v>
      </c>
      <c r="BG952" s="270"/>
      <c r="BH952" s="268"/>
      <c r="BI952" s="682" t="s">
        <v>2376</v>
      </c>
    </row>
    <row r="953" spans="1:61" ht="15" customHeight="1">
      <c r="A953" s="160" t="s">
        <v>1</v>
      </c>
      <c r="B953" s="58" t="s">
        <v>320</v>
      </c>
      <c r="C953" s="65" t="s">
        <v>497</v>
      </c>
      <c r="D953" s="33" t="s">
        <v>319</v>
      </c>
      <c r="E953" s="33"/>
      <c r="F953" s="33"/>
      <c r="G953" s="33"/>
      <c r="H953" s="30"/>
      <c r="I953" s="30"/>
      <c r="J953" s="212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25"/>
      <c r="V953" s="23"/>
      <c r="W953" s="311"/>
      <c r="X953" s="311"/>
      <c r="Y953" s="311"/>
      <c r="Z953" s="94"/>
      <c r="AA953" s="23"/>
      <c r="AB953" s="23"/>
      <c r="AC953" s="23"/>
      <c r="AD953" s="23"/>
      <c r="AE953" s="158"/>
      <c r="AF953" s="158"/>
      <c r="AG953" s="158"/>
      <c r="AH953" s="158"/>
      <c r="AI953" s="158"/>
      <c r="AJ953" s="158"/>
      <c r="AK953" s="158"/>
      <c r="AL953" s="158"/>
      <c r="AM953" s="158"/>
      <c r="AN953" s="158"/>
      <c r="AO953" s="158"/>
      <c r="AP953" s="23"/>
      <c r="AQ953" s="23"/>
      <c r="AR953" s="23"/>
      <c r="AS953" s="23"/>
      <c r="AT953" s="2"/>
      <c r="AU953" s="58"/>
      <c r="AV953" s="105"/>
      <c r="AW953" s="23">
        <v>1</v>
      </c>
      <c r="AX953" s="23"/>
      <c r="AY953" s="23"/>
      <c r="AZ953" s="23"/>
      <c r="BA953" s="23"/>
      <c r="BB953" s="23"/>
      <c r="BC953" s="223"/>
      <c r="BD953" s="223"/>
      <c r="BE953" s="223"/>
      <c r="BF953" s="270">
        <v>2016</v>
      </c>
      <c r="BG953" s="270"/>
      <c r="BH953" s="268"/>
      <c r="BI953" s="682" t="s">
        <v>2376</v>
      </c>
    </row>
    <row r="954" spans="1:61" ht="15" customHeight="1">
      <c r="A954" s="160" t="s">
        <v>1</v>
      </c>
      <c r="B954" s="58" t="s">
        <v>320</v>
      </c>
      <c r="C954" s="65" t="s">
        <v>498</v>
      </c>
      <c r="D954" s="33" t="s">
        <v>319</v>
      </c>
      <c r="E954" s="33"/>
      <c r="F954" s="33"/>
      <c r="G954" s="33"/>
      <c r="H954" s="30"/>
      <c r="I954" s="30"/>
      <c r="J954" s="212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25"/>
      <c r="V954" s="23"/>
      <c r="W954" s="311"/>
      <c r="X954" s="311"/>
      <c r="Y954" s="311"/>
      <c r="Z954" s="94"/>
      <c r="AA954" s="23"/>
      <c r="AB954" s="23"/>
      <c r="AC954" s="23"/>
      <c r="AD954" s="23"/>
      <c r="AE954" s="158"/>
      <c r="AF954" s="158"/>
      <c r="AG954" s="158"/>
      <c r="AH954" s="158"/>
      <c r="AI954" s="158"/>
      <c r="AJ954" s="158"/>
      <c r="AK954" s="158"/>
      <c r="AL954" s="158"/>
      <c r="AM954" s="158"/>
      <c r="AN954" s="158"/>
      <c r="AO954" s="158"/>
      <c r="AP954" s="23"/>
      <c r="AQ954" s="23"/>
      <c r="AR954" s="23"/>
      <c r="AS954" s="23"/>
      <c r="AT954" s="2"/>
      <c r="AU954" s="58"/>
      <c r="AV954" s="105"/>
      <c r="AW954" s="23">
        <v>1</v>
      </c>
      <c r="AX954" s="23"/>
      <c r="AY954" s="23"/>
      <c r="AZ954" s="23"/>
      <c r="BA954" s="23"/>
      <c r="BB954" s="23"/>
      <c r="BC954" s="223"/>
      <c r="BD954" s="223"/>
      <c r="BE954" s="223"/>
      <c r="BF954" s="270">
        <v>2016</v>
      </c>
      <c r="BG954" s="270"/>
      <c r="BH954" s="268"/>
      <c r="BI954" s="682" t="s">
        <v>2376</v>
      </c>
    </row>
    <row r="955" spans="1:61" ht="15" customHeight="1">
      <c r="A955" s="160" t="s">
        <v>1</v>
      </c>
      <c r="B955" s="58" t="s">
        <v>320</v>
      </c>
      <c r="C955" s="65" t="s">
        <v>499</v>
      </c>
      <c r="D955" s="33" t="s">
        <v>319</v>
      </c>
      <c r="E955" s="33"/>
      <c r="F955" s="33"/>
      <c r="G955" s="33"/>
      <c r="H955" s="30"/>
      <c r="I955" s="30"/>
      <c r="J955" s="212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25"/>
      <c r="V955" s="23"/>
      <c r="W955" s="311"/>
      <c r="X955" s="311"/>
      <c r="Y955" s="311"/>
      <c r="Z955" s="94"/>
      <c r="AA955" s="23"/>
      <c r="AB955" s="23"/>
      <c r="AC955" s="23"/>
      <c r="AD955" s="23"/>
      <c r="AE955" s="158"/>
      <c r="AF955" s="158"/>
      <c r="AG955" s="158"/>
      <c r="AH955" s="158"/>
      <c r="AI955" s="158"/>
      <c r="AJ955" s="158"/>
      <c r="AK955" s="158"/>
      <c r="AL955" s="158"/>
      <c r="AM955" s="158"/>
      <c r="AN955" s="158"/>
      <c r="AO955" s="158"/>
      <c r="AP955" s="23"/>
      <c r="AQ955" s="23"/>
      <c r="AR955" s="23"/>
      <c r="AS955" s="23"/>
      <c r="AT955" s="2"/>
      <c r="AU955" s="58"/>
      <c r="AV955" s="105"/>
      <c r="AW955" s="23">
        <v>1</v>
      </c>
      <c r="AX955" s="23"/>
      <c r="AY955" s="23"/>
      <c r="AZ955" s="23"/>
      <c r="BA955" s="23"/>
      <c r="BB955" s="23"/>
      <c r="BC955" s="223"/>
      <c r="BD955" s="223"/>
      <c r="BE955" s="223"/>
      <c r="BF955" s="270">
        <v>2016</v>
      </c>
      <c r="BG955" s="270"/>
      <c r="BH955" s="268"/>
      <c r="BI955" s="682" t="s">
        <v>2376</v>
      </c>
    </row>
    <row r="956" spans="1:61" ht="18" customHeight="1">
      <c r="A956" s="160" t="s">
        <v>1</v>
      </c>
      <c r="B956" s="58" t="s">
        <v>320</v>
      </c>
      <c r="C956" s="122" t="s">
        <v>525</v>
      </c>
      <c r="D956" s="33" t="s">
        <v>387</v>
      </c>
      <c r="E956" s="33"/>
      <c r="F956" s="33"/>
      <c r="G956" s="33"/>
      <c r="H956" s="30" t="s">
        <v>650</v>
      </c>
      <c r="I956" s="30">
        <v>2893</v>
      </c>
      <c r="J956" s="212">
        <v>42726</v>
      </c>
      <c r="K956" s="23"/>
      <c r="L956" s="23">
        <v>1</v>
      </c>
      <c r="M956" s="23"/>
      <c r="N956" s="23"/>
      <c r="O956" s="23"/>
      <c r="P956" s="23">
        <v>51937305</v>
      </c>
      <c r="Q956" s="23"/>
      <c r="R956" s="23"/>
      <c r="S956" s="23"/>
      <c r="T956" s="23"/>
      <c r="U956" s="225">
        <v>23371787</v>
      </c>
      <c r="V956" s="23"/>
      <c r="W956" s="311"/>
      <c r="X956" s="311"/>
      <c r="Y956" s="311"/>
      <c r="Z956" s="94">
        <v>28565518</v>
      </c>
      <c r="AA956" s="23"/>
      <c r="AB956" s="23"/>
      <c r="AC956" s="23"/>
      <c r="AD956" s="23"/>
      <c r="AE956" s="158"/>
      <c r="AF956" s="158">
        <f t="shared" ref="AF956:AF962" si="232">P956-U956-Z956</f>
        <v>0</v>
      </c>
      <c r="AG956" s="158"/>
      <c r="AH956" s="94">
        <v>0</v>
      </c>
      <c r="AI956" s="94">
        <v>0</v>
      </c>
      <c r="AJ956" s="94"/>
      <c r="AK956" s="158">
        <f t="shared" ref="AK956:AK960" si="233">AF956+AH956</f>
        <v>0</v>
      </c>
      <c r="AL956" s="158"/>
      <c r="AM956" s="158"/>
      <c r="AN956" s="158"/>
      <c r="AO956" s="158"/>
      <c r="AP956" s="23"/>
      <c r="AQ956" s="23"/>
      <c r="AR956" s="23"/>
      <c r="AS956" s="23"/>
      <c r="AT956" s="24">
        <v>1</v>
      </c>
      <c r="AU956" s="58" t="s">
        <v>646</v>
      </c>
      <c r="AV956" s="388" t="s">
        <v>1386</v>
      </c>
      <c r="AW956" s="23"/>
      <c r="AX956" s="23"/>
      <c r="AY956" s="23"/>
      <c r="AZ956" s="23">
        <v>1</v>
      </c>
      <c r="BA956" s="23"/>
      <c r="BB956" s="23"/>
      <c r="BC956" s="223"/>
      <c r="BD956" s="223">
        <v>1</v>
      </c>
      <c r="BE956" s="223"/>
      <c r="BF956" s="270">
        <v>2019</v>
      </c>
      <c r="BG956" s="270">
        <v>2019</v>
      </c>
      <c r="BH956" s="271"/>
      <c r="BI956" s="271" t="s">
        <v>2375</v>
      </c>
    </row>
    <row r="957" spans="1:61" ht="18" customHeight="1">
      <c r="A957" s="160" t="s">
        <v>1</v>
      </c>
      <c r="B957" s="58" t="s">
        <v>320</v>
      </c>
      <c r="C957" s="122" t="s">
        <v>526</v>
      </c>
      <c r="D957" s="33" t="s">
        <v>387</v>
      </c>
      <c r="E957" s="33"/>
      <c r="F957" s="33"/>
      <c r="G957" s="33"/>
      <c r="H957" s="30" t="s">
        <v>650</v>
      </c>
      <c r="I957" s="30">
        <v>2893</v>
      </c>
      <c r="J957" s="212">
        <v>42726</v>
      </c>
      <c r="K957" s="23"/>
      <c r="L957" s="23">
        <v>1</v>
      </c>
      <c r="M957" s="23"/>
      <c r="N957" s="23"/>
      <c r="O957" s="23"/>
      <c r="P957" s="23">
        <v>56747504</v>
      </c>
      <c r="Q957" s="23"/>
      <c r="R957" s="23"/>
      <c r="S957" s="23"/>
      <c r="T957" s="23"/>
      <c r="U957" s="225">
        <v>25536377</v>
      </c>
      <c r="V957" s="23"/>
      <c r="W957" s="311"/>
      <c r="X957" s="311"/>
      <c r="Y957" s="311"/>
      <c r="Z957" s="94">
        <v>31211127</v>
      </c>
      <c r="AA957" s="23"/>
      <c r="AB957" s="23"/>
      <c r="AC957" s="23"/>
      <c r="AD957" s="23"/>
      <c r="AE957" s="158"/>
      <c r="AF957" s="158">
        <f t="shared" si="232"/>
        <v>0</v>
      </c>
      <c r="AG957" s="158"/>
      <c r="AH957" s="94">
        <v>0</v>
      </c>
      <c r="AI957" s="94">
        <v>0</v>
      </c>
      <c r="AJ957" s="94"/>
      <c r="AK957" s="158">
        <f t="shared" si="233"/>
        <v>0</v>
      </c>
      <c r="AL957" s="158"/>
      <c r="AM957" s="158"/>
      <c r="AN957" s="158"/>
      <c r="AO957" s="158"/>
      <c r="AP957" s="23"/>
      <c r="AQ957" s="23"/>
      <c r="AR957" s="23"/>
      <c r="AS957" s="23"/>
      <c r="AT957" s="24">
        <v>1</v>
      </c>
      <c r="AU957" s="58" t="s">
        <v>646</v>
      </c>
      <c r="AV957" s="388" t="s">
        <v>1387</v>
      </c>
      <c r="AW957" s="23"/>
      <c r="AX957" s="23"/>
      <c r="AY957" s="23"/>
      <c r="AZ957" s="23">
        <v>1</v>
      </c>
      <c r="BA957" s="23"/>
      <c r="BB957" s="23"/>
      <c r="BC957" s="223"/>
      <c r="BD957" s="223">
        <v>1</v>
      </c>
      <c r="BE957" s="223"/>
      <c r="BF957" s="270">
        <v>2019</v>
      </c>
      <c r="BG957" s="270">
        <v>2019</v>
      </c>
      <c r="BH957" s="271"/>
      <c r="BI957" s="271" t="s">
        <v>2375</v>
      </c>
    </row>
    <row r="958" spans="1:61" s="204" customFormat="1" ht="18" customHeight="1">
      <c r="A958" s="230" t="s">
        <v>1</v>
      </c>
      <c r="B958" s="58" t="s">
        <v>320</v>
      </c>
      <c r="C958" s="236" t="s">
        <v>527</v>
      </c>
      <c r="D958" s="33" t="s">
        <v>387</v>
      </c>
      <c r="E958" s="33"/>
      <c r="F958" s="33"/>
      <c r="G958" s="33"/>
      <c r="H958" s="30" t="s">
        <v>650</v>
      </c>
      <c r="I958" s="228">
        <v>2893</v>
      </c>
      <c r="J958" s="212">
        <v>42726</v>
      </c>
      <c r="K958" s="23"/>
      <c r="L958" s="23"/>
      <c r="M958" s="23">
        <v>1</v>
      </c>
      <c r="N958" s="23">
        <v>1</v>
      </c>
      <c r="O958" s="23"/>
      <c r="P958" s="23">
        <v>56837553</v>
      </c>
      <c r="Q958" s="23"/>
      <c r="R958" s="23"/>
      <c r="S958" s="23"/>
      <c r="T958" s="23"/>
      <c r="U958" s="225">
        <v>56837553</v>
      </c>
      <c r="V958" s="23"/>
      <c r="W958" s="311"/>
      <c r="X958" s="311"/>
      <c r="Y958" s="311"/>
      <c r="Z958" s="94"/>
      <c r="AA958" s="23"/>
      <c r="AB958" s="57"/>
      <c r="AC958" s="57"/>
      <c r="AD958" s="57"/>
      <c r="AE958" s="158"/>
      <c r="AF958" s="158">
        <f t="shared" si="232"/>
        <v>0</v>
      </c>
      <c r="AG958" s="158"/>
      <c r="AH958" s="94">
        <v>0</v>
      </c>
      <c r="AI958" s="94">
        <v>0</v>
      </c>
      <c r="AJ958" s="94"/>
      <c r="AK958" s="691">
        <f>P958-R958-U958-Z958</f>
        <v>0</v>
      </c>
      <c r="AL958" s="158">
        <v>877</v>
      </c>
      <c r="AM958" s="158"/>
      <c r="AN958" s="158"/>
      <c r="AO958" s="158">
        <v>1</v>
      </c>
      <c r="AP958" s="23"/>
      <c r="AQ958" s="23"/>
      <c r="AR958" s="23"/>
      <c r="AS958" s="23"/>
      <c r="AT958" s="2">
        <v>0.45</v>
      </c>
      <c r="AU958" s="58" t="s">
        <v>38</v>
      </c>
      <c r="AV958" s="386" t="s">
        <v>1388</v>
      </c>
      <c r="AW958" s="23"/>
      <c r="AX958" s="23"/>
      <c r="AY958" s="23"/>
      <c r="AZ958" s="23"/>
      <c r="BA958" s="23"/>
      <c r="BB958" s="23"/>
      <c r="BC958" s="223"/>
      <c r="BD958" s="223"/>
      <c r="BE958" s="223"/>
      <c r="BF958" s="271"/>
      <c r="BG958" s="271">
        <v>2019</v>
      </c>
      <c r="BH958" s="271">
        <v>2020</v>
      </c>
      <c r="BI958" s="271" t="s">
        <v>2375</v>
      </c>
    </row>
    <row r="959" spans="1:61" s="204" customFormat="1" ht="18" customHeight="1">
      <c r="A959" s="160" t="s">
        <v>1</v>
      </c>
      <c r="B959" s="58" t="s">
        <v>320</v>
      </c>
      <c r="C959" s="122" t="s">
        <v>528</v>
      </c>
      <c r="D959" s="33" t="s">
        <v>387</v>
      </c>
      <c r="E959" s="33"/>
      <c r="F959" s="33">
        <v>4</v>
      </c>
      <c r="G959" s="33"/>
      <c r="H959" s="30" t="s">
        <v>650</v>
      </c>
      <c r="I959" s="228">
        <v>2893</v>
      </c>
      <c r="J959" s="212">
        <v>42726</v>
      </c>
      <c r="K959" s="23"/>
      <c r="L959" s="23"/>
      <c r="M959" s="23">
        <v>1</v>
      </c>
      <c r="N959" s="23">
        <v>1</v>
      </c>
      <c r="O959" s="23"/>
      <c r="P959" s="23">
        <v>52070058</v>
      </c>
      <c r="Q959" s="23"/>
      <c r="R959" s="23"/>
      <c r="S959" s="23"/>
      <c r="T959" s="23"/>
      <c r="U959" s="225">
        <v>26097750</v>
      </c>
      <c r="V959" s="23">
        <v>10</v>
      </c>
      <c r="W959" s="311">
        <v>43980</v>
      </c>
      <c r="X959" s="311"/>
      <c r="Y959" s="311"/>
      <c r="Z959" s="94"/>
      <c r="AA959" s="223"/>
      <c r="AB959" s="223"/>
      <c r="AC959" s="223"/>
      <c r="AD959" s="223"/>
      <c r="AE959" s="158"/>
      <c r="AF959" s="158">
        <f>P959</f>
        <v>52070058</v>
      </c>
      <c r="AG959" s="158"/>
      <c r="AH959" s="94">
        <v>0</v>
      </c>
      <c r="AI959" s="94">
        <v>52070058</v>
      </c>
      <c r="AJ959" s="94"/>
      <c r="AK959" s="602">
        <f t="shared" ref="AK959" si="234">P959-R959-U959-Z959</f>
        <v>25972308</v>
      </c>
      <c r="AL959" s="72">
        <v>877</v>
      </c>
      <c r="AM959" s="72">
        <v>10</v>
      </c>
      <c r="AN959" s="158"/>
      <c r="AO959" s="158">
        <v>1</v>
      </c>
      <c r="AP959" s="23"/>
      <c r="AQ959" s="23"/>
      <c r="AR959" s="23"/>
      <c r="AS959" s="23"/>
      <c r="AT959" s="24">
        <v>0</v>
      </c>
      <c r="AU959" s="58" t="s">
        <v>38</v>
      </c>
      <c r="AV959" s="386"/>
      <c r="AW959" s="23"/>
      <c r="AX959" s="23"/>
      <c r="AY959" s="23"/>
      <c r="AZ959" s="23"/>
      <c r="BA959" s="23"/>
      <c r="BB959" s="23"/>
      <c r="BC959" s="223"/>
      <c r="BD959" s="223"/>
      <c r="BE959" s="223"/>
      <c r="BF959" s="271"/>
      <c r="BG959" s="271">
        <v>2019</v>
      </c>
      <c r="BH959" s="271">
        <v>2020</v>
      </c>
      <c r="BI959" s="271" t="s">
        <v>2375</v>
      </c>
    </row>
    <row r="960" spans="1:61" ht="18" customHeight="1">
      <c r="A960" s="243" t="s">
        <v>1</v>
      </c>
      <c r="B960" s="58" t="s">
        <v>320</v>
      </c>
      <c r="C960" s="267" t="s">
        <v>529</v>
      </c>
      <c r="D960" s="33" t="s">
        <v>387</v>
      </c>
      <c r="E960" s="33"/>
      <c r="F960" s="33"/>
      <c r="G960" s="33"/>
      <c r="H960" s="30" t="s">
        <v>650</v>
      </c>
      <c r="I960" s="30">
        <v>2893</v>
      </c>
      <c r="J960" s="212">
        <v>42726</v>
      </c>
      <c r="K960" s="23"/>
      <c r="L960" s="23">
        <v>1</v>
      </c>
      <c r="M960" s="23"/>
      <c r="N960" s="23"/>
      <c r="O960" s="23"/>
      <c r="P960" s="23">
        <v>56747504</v>
      </c>
      <c r="Q960" s="23"/>
      <c r="R960" s="23"/>
      <c r="S960" s="23"/>
      <c r="T960" s="23"/>
      <c r="U960" s="225">
        <v>25536377</v>
      </c>
      <c r="V960" s="23"/>
      <c r="W960" s="311"/>
      <c r="X960" s="311"/>
      <c r="Y960" s="311"/>
      <c r="Z960" s="94">
        <v>31211127</v>
      </c>
      <c r="AA960" s="23"/>
      <c r="AB960" s="80"/>
      <c r="AC960" s="80"/>
      <c r="AD960" s="80"/>
      <c r="AE960" s="158"/>
      <c r="AF960" s="158">
        <f t="shared" si="232"/>
        <v>0</v>
      </c>
      <c r="AG960" s="158"/>
      <c r="AH960" s="94">
        <v>0</v>
      </c>
      <c r="AI960" s="94">
        <v>0</v>
      </c>
      <c r="AJ960" s="94"/>
      <c r="AK960" s="158">
        <f t="shared" si="233"/>
        <v>0</v>
      </c>
      <c r="AL960" s="158"/>
      <c r="AM960" s="158"/>
      <c r="AN960" s="158"/>
      <c r="AO960" s="158"/>
      <c r="AP960" s="23"/>
      <c r="AQ960" s="23"/>
      <c r="AR960" s="23"/>
      <c r="AS960" s="23"/>
      <c r="AT960" s="24">
        <v>1</v>
      </c>
      <c r="AU960" s="58" t="s">
        <v>646</v>
      </c>
      <c r="AV960" s="386" t="s">
        <v>1414</v>
      </c>
      <c r="AW960" s="23"/>
      <c r="AX960" s="23"/>
      <c r="AY960" s="23"/>
      <c r="AZ960" s="23">
        <v>1</v>
      </c>
      <c r="BA960" s="23"/>
      <c r="BB960" s="23"/>
      <c r="BC960" s="223"/>
      <c r="BD960" s="223">
        <v>1</v>
      </c>
      <c r="BE960" s="223"/>
      <c r="BF960" s="270">
        <v>2019</v>
      </c>
      <c r="BG960" s="270">
        <v>2019</v>
      </c>
      <c r="BH960" s="271"/>
      <c r="BI960" s="271" t="s">
        <v>2375</v>
      </c>
    </row>
    <row r="961" spans="1:61" s="204" customFormat="1" ht="18" customHeight="1">
      <c r="A961" s="160" t="s">
        <v>1</v>
      </c>
      <c r="B961" s="58" t="s">
        <v>320</v>
      </c>
      <c r="C961" s="122" t="s">
        <v>530</v>
      </c>
      <c r="D961" s="33" t="s">
        <v>438</v>
      </c>
      <c r="E961" s="33"/>
      <c r="F961" s="33"/>
      <c r="G961" s="33"/>
      <c r="H961" s="30" t="s">
        <v>650</v>
      </c>
      <c r="I961" s="228">
        <v>2955</v>
      </c>
      <c r="J961" s="212">
        <v>42731</v>
      </c>
      <c r="K961" s="23"/>
      <c r="L961" s="23"/>
      <c r="M961" s="23">
        <v>1</v>
      </c>
      <c r="N961" s="23"/>
      <c r="O961" s="23">
        <v>1</v>
      </c>
      <c r="P961" s="23">
        <v>66007435</v>
      </c>
      <c r="Q961" s="23"/>
      <c r="R961" s="23"/>
      <c r="S961" s="23"/>
      <c r="T961" s="23"/>
      <c r="U961" s="225"/>
      <c r="V961" s="23"/>
      <c r="W961" s="311"/>
      <c r="X961" s="311"/>
      <c r="Y961" s="311"/>
      <c r="Z961" s="94"/>
      <c r="AA961" s="223"/>
      <c r="AB961" s="223"/>
      <c r="AC961" s="223"/>
      <c r="AD961" s="223"/>
      <c r="AE961" s="158"/>
      <c r="AF961" s="158">
        <f t="shared" si="232"/>
        <v>66007435</v>
      </c>
      <c r="AG961" s="158"/>
      <c r="AH961" s="94">
        <v>0</v>
      </c>
      <c r="AI961" s="94">
        <v>66007435</v>
      </c>
      <c r="AJ961" s="94"/>
      <c r="AK961" s="602">
        <f t="shared" ref="AK961:AK962" si="235">P961-R961-U961-Z961</f>
        <v>66007435</v>
      </c>
      <c r="AL961" s="72">
        <v>877</v>
      </c>
      <c r="AM961" s="72">
        <v>10</v>
      </c>
      <c r="AN961" s="158">
        <v>1</v>
      </c>
      <c r="AO961" s="158"/>
      <c r="AP961" s="23"/>
      <c r="AQ961" s="23"/>
      <c r="AR961" s="23"/>
      <c r="AS961" s="23"/>
      <c r="AT961" s="24">
        <v>0</v>
      </c>
      <c r="AU961" s="58" t="s">
        <v>521</v>
      </c>
      <c r="AV961" s="386"/>
      <c r="AW961" s="23"/>
      <c r="AX961" s="23"/>
      <c r="AY961" s="23"/>
      <c r="AZ961" s="23"/>
      <c r="BA961" s="23"/>
      <c r="BB961" s="23"/>
      <c r="BC961" s="223"/>
      <c r="BD961" s="223"/>
      <c r="BE961" s="223"/>
      <c r="BF961" s="271"/>
      <c r="BG961" s="271">
        <v>2019</v>
      </c>
      <c r="BH961" s="271">
        <v>2020</v>
      </c>
      <c r="BI961" s="271" t="s">
        <v>2375</v>
      </c>
    </row>
    <row r="962" spans="1:61" s="204" customFormat="1" ht="18" customHeight="1">
      <c r="A962" s="160" t="s">
        <v>1</v>
      </c>
      <c r="B962" s="58" t="s">
        <v>320</v>
      </c>
      <c r="C962" s="122" t="s">
        <v>531</v>
      </c>
      <c r="D962" s="33" t="s">
        <v>438</v>
      </c>
      <c r="E962" s="33"/>
      <c r="F962" s="33"/>
      <c r="G962" s="33"/>
      <c r="H962" s="30" t="s">
        <v>650</v>
      </c>
      <c r="I962" s="228">
        <v>2955</v>
      </c>
      <c r="J962" s="212">
        <v>42731</v>
      </c>
      <c r="K962" s="23"/>
      <c r="L962" s="23"/>
      <c r="M962" s="23">
        <v>1</v>
      </c>
      <c r="N962" s="23">
        <v>1</v>
      </c>
      <c r="O962" s="23"/>
      <c r="P962" s="23">
        <v>74651266</v>
      </c>
      <c r="Q962" s="23"/>
      <c r="R962" s="23"/>
      <c r="S962" s="23"/>
      <c r="T962" s="23"/>
      <c r="U962" s="225"/>
      <c r="V962" s="23"/>
      <c r="W962" s="311"/>
      <c r="X962" s="311"/>
      <c r="Y962" s="311"/>
      <c r="Z962" s="94"/>
      <c r="AA962" s="223"/>
      <c r="AB962" s="223"/>
      <c r="AC962" s="223"/>
      <c r="AD962" s="223"/>
      <c r="AE962" s="158"/>
      <c r="AF962" s="158">
        <f t="shared" si="232"/>
        <v>74651266</v>
      </c>
      <c r="AG962" s="158"/>
      <c r="AH962" s="94">
        <v>0</v>
      </c>
      <c r="AI962" s="94">
        <v>74651266</v>
      </c>
      <c r="AJ962" s="94"/>
      <c r="AK962" s="602">
        <f t="shared" si="235"/>
        <v>74651266</v>
      </c>
      <c r="AL962" s="72">
        <v>877</v>
      </c>
      <c r="AM962" s="72">
        <v>10</v>
      </c>
      <c r="AN962" s="158">
        <v>1</v>
      </c>
      <c r="AO962" s="158"/>
      <c r="AP962" s="23"/>
      <c r="AQ962" s="23"/>
      <c r="AR962" s="23"/>
      <c r="AS962" s="23"/>
      <c r="AT962" s="24">
        <v>0</v>
      </c>
      <c r="AU962" s="58" t="s">
        <v>521</v>
      </c>
      <c r="AV962" s="386"/>
      <c r="AW962" s="23"/>
      <c r="AX962" s="23"/>
      <c r="AY962" s="23"/>
      <c r="AZ962" s="23"/>
      <c r="BA962" s="23"/>
      <c r="BB962" s="23"/>
      <c r="BC962" s="223"/>
      <c r="BD962" s="223"/>
      <c r="BE962" s="223"/>
      <c r="BF962" s="271"/>
      <c r="BG962" s="271">
        <v>2019</v>
      </c>
      <c r="BH962" s="271">
        <v>2020</v>
      </c>
      <c r="BI962" s="271" t="s">
        <v>2375</v>
      </c>
    </row>
    <row r="963" spans="1:61" ht="23.25" customHeight="1">
      <c r="A963" s="243" t="s">
        <v>1</v>
      </c>
      <c r="B963" s="58" t="s">
        <v>320</v>
      </c>
      <c r="C963" s="246" t="s">
        <v>532</v>
      </c>
      <c r="D963" s="33" t="s">
        <v>438</v>
      </c>
      <c r="E963" s="33"/>
      <c r="F963" s="33"/>
      <c r="G963" s="33"/>
      <c r="H963" s="30" t="s">
        <v>650</v>
      </c>
      <c r="I963" s="228"/>
      <c r="J963" s="212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25"/>
      <c r="V963" s="23"/>
      <c r="W963" s="311"/>
      <c r="X963" s="311"/>
      <c r="Y963" s="311"/>
      <c r="Z963" s="94"/>
      <c r="AA963" s="23"/>
      <c r="AB963" s="80"/>
      <c r="AC963" s="80"/>
      <c r="AD963" s="80"/>
      <c r="AE963" s="158"/>
      <c r="AF963" s="158"/>
      <c r="AG963" s="158"/>
      <c r="AH963" s="158"/>
      <c r="AI963" s="158"/>
      <c r="AJ963" s="158"/>
      <c r="AK963" s="158"/>
      <c r="AL963" s="158"/>
      <c r="AM963" s="158"/>
      <c r="AN963" s="158"/>
      <c r="AO963" s="158"/>
      <c r="AP963" s="23"/>
      <c r="AQ963" s="23"/>
      <c r="AR963" s="23"/>
      <c r="AS963" s="23"/>
      <c r="AT963" s="24">
        <v>1</v>
      </c>
      <c r="AU963" s="58" t="s">
        <v>646</v>
      </c>
      <c r="AV963" s="105"/>
      <c r="AW963" s="23"/>
      <c r="AX963" s="23"/>
      <c r="AY963" s="514">
        <v>1</v>
      </c>
      <c r="AZ963" s="23"/>
      <c r="BA963" s="23"/>
      <c r="BB963" s="23">
        <v>1</v>
      </c>
      <c r="BC963" s="223"/>
      <c r="BD963" s="223"/>
      <c r="BE963" s="223"/>
      <c r="BF963" s="270">
        <v>2018</v>
      </c>
      <c r="BG963" s="270"/>
      <c r="BI963" s="681" t="s">
        <v>2376</v>
      </c>
    </row>
    <row r="964" spans="1:61" s="204" customFormat="1" ht="18" customHeight="1">
      <c r="A964" s="160" t="s">
        <v>1</v>
      </c>
      <c r="B964" s="58" t="s">
        <v>320</v>
      </c>
      <c r="C964" s="122" t="s">
        <v>533</v>
      </c>
      <c r="D964" s="33" t="s">
        <v>438</v>
      </c>
      <c r="E964" s="33"/>
      <c r="F964" s="33"/>
      <c r="G964" s="33"/>
      <c r="H964" s="30" t="s">
        <v>650</v>
      </c>
      <c r="I964" s="228">
        <v>2955</v>
      </c>
      <c r="J964" s="212">
        <v>42731</v>
      </c>
      <c r="K964" s="23"/>
      <c r="L964" s="23"/>
      <c r="M964" s="23">
        <v>1</v>
      </c>
      <c r="N964" s="23">
        <v>1</v>
      </c>
      <c r="O964" s="23"/>
      <c r="P964" s="23">
        <v>74651266</v>
      </c>
      <c r="Q964" s="23"/>
      <c r="R964" s="23"/>
      <c r="S964" s="23"/>
      <c r="T964" s="23"/>
      <c r="U964" s="225"/>
      <c r="V964" s="23"/>
      <c r="W964" s="311"/>
      <c r="X964" s="311"/>
      <c r="Y964" s="311"/>
      <c r="Z964" s="94"/>
      <c r="AA964" s="223"/>
      <c r="AB964" s="223"/>
      <c r="AC964" s="223"/>
      <c r="AD964" s="223"/>
      <c r="AE964" s="158"/>
      <c r="AF964" s="158">
        <f>P964-U964-Z964</f>
        <v>74651266</v>
      </c>
      <c r="AG964" s="158"/>
      <c r="AH964" s="94">
        <v>0</v>
      </c>
      <c r="AI964" s="94">
        <v>74651266</v>
      </c>
      <c r="AJ964" s="94"/>
      <c r="AK964" s="602">
        <f>P964-R964-U964-Z964</f>
        <v>74651266</v>
      </c>
      <c r="AL964" s="72">
        <v>877</v>
      </c>
      <c r="AM964" s="72">
        <v>10</v>
      </c>
      <c r="AN964" s="158">
        <v>1</v>
      </c>
      <c r="AO964" s="158"/>
      <c r="AP964" s="23"/>
      <c r="AQ964" s="23"/>
      <c r="AR964" s="23"/>
      <c r="AS964" s="23"/>
      <c r="AT964" s="24">
        <v>0</v>
      </c>
      <c r="AU964" s="58" t="s">
        <v>521</v>
      </c>
      <c r="AV964" s="386"/>
      <c r="AW964" s="23"/>
      <c r="AX964" s="23"/>
      <c r="AY964" s="23"/>
      <c r="AZ964" s="23"/>
      <c r="BA964" s="23"/>
      <c r="BB964" s="23"/>
      <c r="BC964" s="223"/>
      <c r="BD964" s="223"/>
      <c r="BE964" s="223"/>
      <c r="BF964" s="271"/>
      <c r="BG964" s="271">
        <v>2019</v>
      </c>
      <c r="BH964" s="271">
        <v>2020</v>
      </c>
      <c r="BI964" s="271" t="s">
        <v>2375</v>
      </c>
    </row>
    <row r="965" spans="1:61" ht="26.25" customHeight="1">
      <c r="A965" s="248" t="s">
        <v>1</v>
      </c>
      <c r="B965" s="58" t="s">
        <v>320</v>
      </c>
      <c r="C965" s="258" t="s">
        <v>534</v>
      </c>
      <c r="D965" s="33" t="s">
        <v>438</v>
      </c>
      <c r="E965" s="33"/>
      <c r="F965" s="33"/>
      <c r="G965" s="33"/>
      <c r="H965" s="30" t="s">
        <v>650</v>
      </c>
      <c r="I965" s="30"/>
      <c r="J965" s="212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25"/>
      <c r="V965" s="23"/>
      <c r="W965" s="311"/>
      <c r="X965" s="311"/>
      <c r="Y965" s="311"/>
      <c r="Z965" s="94"/>
      <c r="AA965" s="23"/>
      <c r="AB965" s="265"/>
      <c r="AC965" s="265"/>
      <c r="AD965" s="265"/>
      <c r="AE965" s="158"/>
      <c r="AF965" s="158"/>
      <c r="AG965" s="158"/>
      <c r="AH965" s="158"/>
      <c r="AI965" s="158"/>
      <c r="AJ965" s="158"/>
      <c r="AK965" s="158"/>
      <c r="AL965" s="158"/>
      <c r="AM965" s="158"/>
      <c r="AN965" s="158"/>
      <c r="AO965" s="158"/>
      <c r="AP965" s="23"/>
      <c r="AQ965" s="23"/>
      <c r="AR965" s="23"/>
      <c r="AS965" s="23"/>
      <c r="AT965" s="24">
        <v>1</v>
      </c>
      <c r="AU965" s="58" t="s">
        <v>646</v>
      </c>
      <c r="AV965" s="105"/>
      <c r="AW965" s="23"/>
      <c r="AX965" s="23"/>
      <c r="AY965" s="514">
        <v>1</v>
      </c>
      <c r="AZ965" s="23"/>
      <c r="BA965" s="23"/>
      <c r="BB965" s="23">
        <v>1</v>
      </c>
      <c r="BC965" s="223"/>
      <c r="BD965" s="223"/>
      <c r="BE965" s="223"/>
      <c r="BF965" s="270">
        <v>2018</v>
      </c>
      <c r="BG965" s="270"/>
      <c r="BI965" s="682" t="s">
        <v>2376</v>
      </c>
    </row>
    <row r="966" spans="1:61" ht="18" customHeight="1">
      <c r="A966" s="160" t="s">
        <v>1</v>
      </c>
      <c r="B966" s="58" t="s">
        <v>320</v>
      </c>
      <c r="C966" s="150" t="s">
        <v>536</v>
      </c>
      <c r="D966" s="33" t="s">
        <v>387</v>
      </c>
      <c r="E966" s="33"/>
      <c r="F966" s="33"/>
      <c r="G966" s="33"/>
      <c r="H966" s="30" t="s">
        <v>663</v>
      </c>
      <c r="I966" s="228">
        <v>1287</v>
      </c>
      <c r="J966" s="212">
        <v>42913</v>
      </c>
      <c r="K966" s="23"/>
      <c r="L966" s="23"/>
      <c r="M966" s="23">
        <v>1</v>
      </c>
      <c r="N966" s="23"/>
      <c r="O966" s="23"/>
      <c r="P966" s="23">
        <v>56837553</v>
      </c>
      <c r="Q966" s="23"/>
      <c r="R966" s="23"/>
      <c r="S966" s="23"/>
      <c r="T966" s="23"/>
      <c r="U966" s="225">
        <v>25576899</v>
      </c>
      <c r="V966" s="23"/>
      <c r="W966" s="311"/>
      <c r="X966" s="311"/>
      <c r="Y966" s="311"/>
      <c r="Z966" s="94">
        <f>26093610+5167044</f>
        <v>31260654</v>
      </c>
      <c r="AA966" s="23">
        <v>10</v>
      </c>
      <c r="AB966" s="311">
        <v>43249</v>
      </c>
      <c r="AC966" s="23"/>
      <c r="AD966" s="23"/>
      <c r="AE966" s="158"/>
      <c r="AF966" s="158">
        <f>P966-U966-Z966</f>
        <v>0</v>
      </c>
      <c r="AG966" s="158"/>
      <c r="AH966" s="94">
        <v>0</v>
      </c>
      <c r="AI966" s="94">
        <v>0</v>
      </c>
      <c r="AJ966" s="94"/>
      <c r="AK966" s="158">
        <f t="shared" ref="AK966:AK969" si="236">AF966+AH966</f>
        <v>0</v>
      </c>
      <c r="AL966" s="158" t="s">
        <v>2406</v>
      </c>
      <c r="AM966" s="158">
        <v>10</v>
      </c>
      <c r="AN966" s="158"/>
      <c r="AO966" s="158"/>
      <c r="AP966" s="23"/>
      <c r="AQ966" s="50"/>
      <c r="AR966" s="50"/>
      <c r="AS966" s="50"/>
      <c r="AT966" s="24">
        <v>1</v>
      </c>
      <c r="AU966" s="58" t="s">
        <v>646</v>
      </c>
      <c r="AV966" s="400" t="s">
        <v>1847</v>
      </c>
      <c r="AW966" s="23"/>
      <c r="AX966" s="50"/>
      <c r="AY966" s="50"/>
      <c r="AZ966" s="23">
        <v>1</v>
      </c>
      <c r="BA966" s="23"/>
      <c r="BB966" s="50"/>
      <c r="BC966" s="293"/>
      <c r="BD966" s="223">
        <v>1</v>
      </c>
      <c r="BE966" s="223"/>
      <c r="BF966" s="270">
        <v>2019</v>
      </c>
      <c r="BG966" s="270">
        <v>2019</v>
      </c>
      <c r="BH966" s="271"/>
      <c r="BI966" s="271" t="s">
        <v>2375</v>
      </c>
    </row>
    <row r="967" spans="1:61" ht="18" customHeight="1">
      <c r="A967" s="160" t="s">
        <v>1</v>
      </c>
      <c r="B967" s="58" t="s">
        <v>320</v>
      </c>
      <c r="C967" s="63" t="s">
        <v>537</v>
      </c>
      <c r="D967" s="33" t="s">
        <v>387</v>
      </c>
      <c r="E967" s="33"/>
      <c r="F967" s="33"/>
      <c r="G967" s="33"/>
      <c r="H967" s="30" t="s">
        <v>657</v>
      </c>
      <c r="I967" s="30">
        <v>1525</v>
      </c>
      <c r="J967" s="212">
        <v>41479</v>
      </c>
      <c r="K967" s="23"/>
      <c r="L967" s="23"/>
      <c r="M967" s="23">
        <v>1</v>
      </c>
      <c r="N967" s="23"/>
      <c r="O967" s="23"/>
      <c r="P967" s="23">
        <v>52095010</v>
      </c>
      <c r="Q967" s="23"/>
      <c r="R967" s="23"/>
      <c r="S967" s="23"/>
      <c r="T967" s="23"/>
      <c r="U967" s="225">
        <v>23442754</v>
      </c>
      <c r="V967" s="23"/>
      <c r="W967" s="311"/>
      <c r="X967" s="311"/>
      <c r="Y967" s="311"/>
      <c r="Z967" s="94">
        <v>28652256</v>
      </c>
      <c r="AA967" s="23"/>
      <c r="AB967" s="23"/>
      <c r="AC967" s="23"/>
      <c r="AD967" s="23"/>
      <c r="AE967" s="158"/>
      <c r="AF967" s="158">
        <f>P967-U967-Z967</f>
        <v>0</v>
      </c>
      <c r="AG967" s="158"/>
      <c r="AH967" s="94">
        <v>0</v>
      </c>
      <c r="AI967" s="94">
        <v>0</v>
      </c>
      <c r="AJ967" s="94"/>
      <c r="AK967" s="158">
        <f t="shared" si="236"/>
        <v>0</v>
      </c>
      <c r="AL967" s="158"/>
      <c r="AM967" s="158"/>
      <c r="AN967" s="158"/>
      <c r="AO967" s="158"/>
      <c r="AP967" s="23"/>
      <c r="AQ967" s="50"/>
      <c r="AR967" s="50"/>
      <c r="AS967" s="50"/>
      <c r="AT967" s="24">
        <v>1</v>
      </c>
      <c r="AU967" s="58" t="s">
        <v>646</v>
      </c>
      <c r="AV967" s="399" t="s">
        <v>1858</v>
      </c>
      <c r="AW967" s="23"/>
      <c r="AX967" s="50"/>
      <c r="AY967" s="50"/>
      <c r="AZ967" s="23">
        <v>1</v>
      </c>
      <c r="BA967" s="23"/>
      <c r="BB967" s="50"/>
      <c r="BC967" s="50"/>
      <c r="BD967" s="23">
        <v>1</v>
      </c>
      <c r="BE967" s="23"/>
      <c r="BF967" s="270">
        <v>2019</v>
      </c>
      <c r="BG967" s="270">
        <v>2019</v>
      </c>
      <c r="BH967" s="271"/>
      <c r="BI967" s="271" t="s">
        <v>2375</v>
      </c>
    </row>
    <row r="968" spans="1:61" ht="18" customHeight="1">
      <c r="A968" s="160" t="s">
        <v>1</v>
      </c>
      <c r="B968" s="58" t="s">
        <v>320</v>
      </c>
      <c r="C968" s="150" t="s">
        <v>1418</v>
      </c>
      <c r="D968" s="33" t="s">
        <v>387</v>
      </c>
      <c r="E968" s="33"/>
      <c r="F968" s="33"/>
      <c r="G968" s="33"/>
      <c r="H968" s="30" t="s">
        <v>659</v>
      </c>
      <c r="I968" s="30">
        <v>440</v>
      </c>
      <c r="J968" s="212">
        <v>41001</v>
      </c>
      <c r="K968" s="23"/>
      <c r="L968" s="23">
        <v>1</v>
      </c>
      <c r="M968" s="23"/>
      <c r="N968" s="23"/>
      <c r="O968" s="23"/>
      <c r="P968" s="23">
        <v>47358523</v>
      </c>
      <c r="Q968" s="23"/>
      <c r="R968" s="23"/>
      <c r="S968" s="23"/>
      <c r="T968" s="23"/>
      <c r="U968" s="225">
        <v>47358523</v>
      </c>
      <c r="V968" s="23"/>
      <c r="W968" s="311"/>
      <c r="X968" s="311"/>
      <c r="Y968" s="311"/>
      <c r="Z968" s="94"/>
      <c r="AA968" s="23"/>
      <c r="AB968" s="23"/>
      <c r="AC968" s="23"/>
      <c r="AD968" s="23"/>
      <c r="AE968" s="158"/>
      <c r="AF968" s="158">
        <f>P968-U968-Z968</f>
        <v>0</v>
      </c>
      <c r="AG968" s="158"/>
      <c r="AH968" s="94">
        <v>0</v>
      </c>
      <c r="AI968" s="94">
        <v>0</v>
      </c>
      <c r="AJ968" s="94"/>
      <c r="AK968" s="158">
        <f t="shared" si="236"/>
        <v>0</v>
      </c>
      <c r="AL968" s="158"/>
      <c r="AM968" s="158"/>
      <c r="AN968" s="158"/>
      <c r="AO968" s="158"/>
      <c r="AP968" s="23"/>
      <c r="AQ968" s="50"/>
      <c r="AR968" s="50"/>
      <c r="AS968" s="50"/>
      <c r="AT968" s="2">
        <v>1</v>
      </c>
      <c r="AU968" s="58" t="s">
        <v>646</v>
      </c>
      <c r="AV968" s="400" t="s">
        <v>1952</v>
      </c>
      <c r="AW968" s="23"/>
      <c r="AX968" s="50"/>
      <c r="AY968" s="50"/>
      <c r="AZ968" s="23">
        <v>1</v>
      </c>
      <c r="BA968" s="23"/>
      <c r="BB968" s="50"/>
      <c r="BC968" s="293"/>
      <c r="BD968" s="223">
        <v>1</v>
      </c>
      <c r="BE968" s="223"/>
      <c r="BF968" s="270">
        <v>2019</v>
      </c>
      <c r="BG968" s="270">
        <v>2019</v>
      </c>
      <c r="BH968" s="271"/>
      <c r="BI968" s="271" t="s">
        <v>2375</v>
      </c>
    </row>
    <row r="969" spans="1:61" ht="18" customHeight="1">
      <c r="A969" s="160" t="s">
        <v>1</v>
      </c>
      <c r="B969" s="58" t="s">
        <v>320</v>
      </c>
      <c r="C969" s="150" t="s">
        <v>538</v>
      </c>
      <c r="D969" s="33" t="s">
        <v>387</v>
      </c>
      <c r="E969" s="33"/>
      <c r="F969" s="33"/>
      <c r="G969" s="33"/>
      <c r="H969" s="30" t="s">
        <v>659</v>
      </c>
      <c r="I969" s="30">
        <v>1749</v>
      </c>
      <c r="J969" s="212">
        <v>42968</v>
      </c>
      <c r="K969" s="23"/>
      <c r="L969" s="23"/>
      <c r="M969" s="23">
        <v>1</v>
      </c>
      <c r="N969" s="23"/>
      <c r="O969" s="23"/>
      <c r="P969" s="23">
        <v>56837553</v>
      </c>
      <c r="Q969" s="23"/>
      <c r="R969" s="23"/>
      <c r="S969" s="23"/>
      <c r="T969" s="23"/>
      <c r="U969" s="225">
        <v>25576899</v>
      </c>
      <c r="V969" s="23"/>
      <c r="W969" s="311"/>
      <c r="X969" s="311"/>
      <c r="Y969" s="311"/>
      <c r="Z969" s="94">
        <v>31260654</v>
      </c>
      <c r="AA969" s="23"/>
      <c r="AB969" s="23"/>
      <c r="AC969" s="23"/>
      <c r="AD969" s="23"/>
      <c r="AE969" s="158"/>
      <c r="AF969" s="158">
        <f>P969-U969-Z969</f>
        <v>0</v>
      </c>
      <c r="AG969" s="158"/>
      <c r="AH969" s="94">
        <v>0</v>
      </c>
      <c r="AI969" s="94">
        <v>0</v>
      </c>
      <c r="AJ969" s="94"/>
      <c r="AK969" s="158">
        <f t="shared" si="236"/>
        <v>0</v>
      </c>
      <c r="AL969" s="158"/>
      <c r="AM969" s="158"/>
      <c r="AN969" s="158"/>
      <c r="AO969" s="158"/>
      <c r="AP969" s="23"/>
      <c r="AQ969" s="50"/>
      <c r="AR969" s="50"/>
      <c r="AS969" s="50"/>
      <c r="AT969" s="2">
        <v>1</v>
      </c>
      <c r="AU969" s="58" t="s">
        <v>646</v>
      </c>
      <c r="AV969" s="401" t="s">
        <v>1953</v>
      </c>
      <c r="AW969" s="23"/>
      <c r="AX969" s="50"/>
      <c r="AY969" s="50"/>
      <c r="AZ969" s="23">
        <v>1</v>
      </c>
      <c r="BA969" s="23"/>
      <c r="BB969" s="50"/>
      <c r="BC969" s="293"/>
      <c r="BD969" s="223">
        <v>1</v>
      </c>
      <c r="BE969" s="223"/>
      <c r="BF969" s="270">
        <v>2019</v>
      </c>
      <c r="BG969" s="270">
        <v>2019</v>
      </c>
      <c r="BH969" s="271"/>
      <c r="BI969" s="271" t="s">
        <v>2375</v>
      </c>
    </row>
    <row r="970" spans="1:61" ht="15" customHeight="1">
      <c r="A970" s="160" t="s">
        <v>1</v>
      </c>
      <c r="B970" s="58" t="s">
        <v>320</v>
      </c>
      <c r="C970" s="58" t="s">
        <v>903</v>
      </c>
      <c r="D970" s="33" t="s">
        <v>387</v>
      </c>
      <c r="E970" s="33"/>
      <c r="F970" s="33"/>
      <c r="G970" s="33"/>
      <c r="H970" s="30" t="s">
        <v>657</v>
      </c>
      <c r="I970" s="30"/>
      <c r="J970" s="212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25"/>
      <c r="V970" s="23"/>
      <c r="W970" s="311"/>
      <c r="X970" s="311"/>
      <c r="Y970" s="311"/>
      <c r="Z970" s="94"/>
      <c r="AA970" s="23"/>
      <c r="AB970" s="23"/>
      <c r="AC970" s="23"/>
      <c r="AD970" s="23"/>
      <c r="AE970" s="158"/>
      <c r="AF970" s="158"/>
      <c r="AG970" s="158"/>
      <c r="AH970" s="158"/>
      <c r="AI970" s="158"/>
      <c r="AJ970" s="158"/>
      <c r="AK970" s="158"/>
      <c r="AL970" s="158"/>
      <c r="AM970" s="158"/>
      <c r="AN970" s="158"/>
      <c r="AO970" s="158"/>
      <c r="AP970" s="23"/>
      <c r="AQ970" s="23"/>
      <c r="AR970" s="23"/>
      <c r="AS970" s="23"/>
      <c r="AT970" s="2">
        <v>1</v>
      </c>
      <c r="AU970" s="58" t="s">
        <v>646</v>
      </c>
      <c r="AV970" s="105"/>
      <c r="AW970" s="23"/>
      <c r="AX970" s="23">
        <v>1</v>
      </c>
      <c r="AY970" s="23"/>
      <c r="AZ970" s="23"/>
      <c r="BA970" s="23"/>
      <c r="BB970" s="23"/>
      <c r="BC970" s="223"/>
      <c r="BD970" s="223"/>
      <c r="BE970" s="223"/>
      <c r="BF970" s="270">
        <v>2017</v>
      </c>
      <c r="BG970" s="270"/>
      <c r="BH970" s="269"/>
      <c r="BI970" s="682" t="s">
        <v>2376</v>
      </c>
    </row>
    <row r="971" spans="1:61" ht="15" customHeight="1">
      <c r="A971" s="160" t="s">
        <v>1</v>
      </c>
      <c r="B971" s="58" t="s">
        <v>320</v>
      </c>
      <c r="C971" s="58" t="s">
        <v>549</v>
      </c>
      <c r="D971" s="33" t="s">
        <v>319</v>
      </c>
      <c r="E971" s="33"/>
      <c r="F971" s="33"/>
      <c r="G971" s="33"/>
      <c r="H971" s="30" t="s">
        <v>663</v>
      </c>
      <c r="I971" s="30"/>
      <c r="J971" s="212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25"/>
      <c r="V971" s="23"/>
      <c r="W971" s="311"/>
      <c r="X971" s="311"/>
      <c r="Y971" s="311"/>
      <c r="Z971" s="94"/>
      <c r="AA971" s="23"/>
      <c r="AB971" s="23"/>
      <c r="AC971" s="23"/>
      <c r="AD971" s="23"/>
      <c r="AE971" s="158"/>
      <c r="AF971" s="158"/>
      <c r="AG971" s="158"/>
      <c r="AH971" s="158"/>
      <c r="AI971" s="158"/>
      <c r="AJ971" s="158"/>
      <c r="AK971" s="158"/>
      <c r="AL971" s="158"/>
      <c r="AM971" s="158"/>
      <c r="AN971" s="158"/>
      <c r="AO971" s="158"/>
      <c r="AP971" s="23"/>
      <c r="AQ971" s="23"/>
      <c r="AR971" s="23"/>
      <c r="AS971" s="23"/>
      <c r="AT971" s="2">
        <v>1</v>
      </c>
      <c r="AU971" s="58" t="s">
        <v>646</v>
      </c>
      <c r="AV971" s="105" t="s">
        <v>563</v>
      </c>
      <c r="AW971" s="23"/>
      <c r="AX971" s="23">
        <v>1</v>
      </c>
      <c r="AY971" s="23"/>
      <c r="AZ971" s="23"/>
      <c r="BA971" s="23"/>
      <c r="BB971" s="23"/>
      <c r="BC971" s="223"/>
      <c r="BD971" s="223"/>
      <c r="BE971" s="223"/>
      <c r="BF971" s="270">
        <v>2017</v>
      </c>
      <c r="BG971" s="270"/>
      <c r="BH971" s="269"/>
      <c r="BI971" s="682" t="s">
        <v>2376</v>
      </c>
    </row>
    <row r="972" spans="1:61" ht="15" customHeight="1">
      <c r="A972" s="160" t="s">
        <v>1</v>
      </c>
      <c r="B972" s="58" t="s">
        <v>320</v>
      </c>
      <c r="C972" s="58" t="s">
        <v>809</v>
      </c>
      <c r="D972" s="33" t="s">
        <v>319</v>
      </c>
      <c r="E972" s="33"/>
      <c r="F972" s="33"/>
      <c r="G972" s="33"/>
      <c r="H972" s="30" t="s">
        <v>647</v>
      </c>
      <c r="I972" s="30"/>
      <c r="J972" s="212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25"/>
      <c r="V972" s="23"/>
      <c r="W972" s="311"/>
      <c r="X972" s="311"/>
      <c r="Y972" s="311"/>
      <c r="Z972" s="94"/>
      <c r="AA972" s="23"/>
      <c r="AB972" s="23"/>
      <c r="AC972" s="23"/>
      <c r="AD972" s="23"/>
      <c r="AE972" s="158"/>
      <c r="AF972" s="158"/>
      <c r="AG972" s="158"/>
      <c r="AH972" s="158"/>
      <c r="AI972" s="158"/>
      <c r="AJ972" s="158"/>
      <c r="AK972" s="158"/>
      <c r="AL972" s="158"/>
      <c r="AM972" s="158"/>
      <c r="AN972" s="158"/>
      <c r="AO972" s="158"/>
      <c r="AP972" s="23"/>
      <c r="AQ972" s="23"/>
      <c r="AR972" s="23"/>
      <c r="AS972" s="23"/>
      <c r="AT972" s="2">
        <v>1</v>
      </c>
      <c r="AU972" s="58" t="s">
        <v>646</v>
      </c>
      <c r="AV972" s="105"/>
      <c r="AW972" s="23"/>
      <c r="AX972" s="23">
        <v>1</v>
      </c>
      <c r="AY972" s="23"/>
      <c r="AZ972" s="23"/>
      <c r="BA972" s="23"/>
      <c r="BB972" s="23"/>
      <c r="BC972" s="223"/>
      <c r="BD972" s="223"/>
      <c r="BE972" s="223"/>
      <c r="BF972" s="270">
        <v>2017</v>
      </c>
      <c r="BG972" s="270"/>
      <c r="BH972" s="269"/>
      <c r="BI972" s="682" t="s">
        <v>2376</v>
      </c>
    </row>
    <row r="973" spans="1:61" ht="22.5" customHeight="1">
      <c r="A973" s="160" t="s">
        <v>1</v>
      </c>
      <c r="B973" s="58" t="s">
        <v>320</v>
      </c>
      <c r="C973" s="58" t="s">
        <v>929</v>
      </c>
      <c r="D973" s="33" t="s">
        <v>519</v>
      </c>
      <c r="E973" s="33"/>
      <c r="F973" s="33"/>
      <c r="G973" s="33"/>
      <c r="H973" s="30" t="s">
        <v>647</v>
      </c>
      <c r="I973" s="30"/>
      <c r="J973" s="212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25"/>
      <c r="V973" s="23"/>
      <c r="W973" s="311"/>
      <c r="X973" s="311"/>
      <c r="Y973" s="311"/>
      <c r="Z973" s="94"/>
      <c r="AA973" s="23"/>
      <c r="AB973" s="23"/>
      <c r="AC973" s="23"/>
      <c r="AD973" s="23"/>
      <c r="AE973" s="158"/>
      <c r="AF973" s="158"/>
      <c r="AG973" s="158"/>
      <c r="AH973" s="158"/>
      <c r="AI973" s="158"/>
      <c r="AJ973" s="158"/>
      <c r="AK973" s="158"/>
      <c r="AL973" s="158"/>
      <c r="AM973" s="158"/>
      <c r="AN973" s="158"/>
      <c r="AO973" s="158"/>
      <c r="AP973" s="23"/>
      <c r="AQ973" s="23"/>
      <c r="AR973" s="23"/>
      <c r="AS973" s="23"/>
      <c r="AT973" s="2">
        <v>1</v>
      </c>
      <c r="AU973" s="58" t="s">
        <v>646</v>
      </c>
      <c r="AV973" s="105"/>
      <c r="AW973" s="23"/>
      <c r="AX973" s="23">
        <v>1</v>
      </c>
      <c r="AY973" s="23"/>
      <c r="AZ973" s="23"/>
      <c r="BA973" s="23"/>
      <c r="BB973" s="23"/>
      <c r="BC973" s="223"/>
      <c r="BD973" s="223"/>
      <c r="BE973" s="223"/>
      <c r="BF973" s="270">
        <v>2017</v>
      </c>
      <c r="BG973" s="270"/>
      <c r="BH973" s="269"/>
      <c r="BI973" s="682" t="s">
        <v>2376</v>
      </c>
    </row>
    <row r="974" spans="1:61" ht="21.75" customHeight="1">
      <c r="A974" s="160" t="s">
        <v>1</v>
      </c>
      <c r="B974" s="58" t="s">
        <v>320</v>
      </c>
      <c r="C974" s="58" t="s">
        <v>805</v>
      </c>
      <c r="D974" s="33" t="s">
        <v>519</v>
      </c>
      <c r="E974" s="33"/>
      <c r="F974" s="33"/>
      <c r="G974" s="33"/>
      <c r="H974" s="30" t="s">
        <v>647</v>
      </c>
      <c r="I974" s="30"/>
      <c r="J974" s="212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25"/>
      <c r="V974" s="23"/>
      <c r="W974" s="311"/>
      <c r="X974" s="311"/>
      <c r="Y974" s="311"/>
      <c r="Z974" s="94"/>
      <c r="AA974" s="23"/>
      <c r="AB974" s="23"/>
      <c r="AC974" s="23"/>
      <c r="AD974" s="23"/>
      <c r="AE974" s="158"/>
      <c r="AF974" s="158"/>
      <c r="AG974" s="158"/>
      <c r="AH974" s="158"/>
      <c r="AI974" s="158"/>
      <c r="AJ974" s="158"/>
      <c r="AK974" s="158"/>
      <c r="AL974" s="158"/>
      <c r="AM974" s="158"/>
      <c r="AN974" s="158"/>
      <c r="AO974" s="158"/>
      <c r="AP974" s="23"/>
      <c r="AQ974" s="23"/>
      <c r="AR974" s="23"/>
      <c r="AS974" s="23"/>
      <c r="AT974" s="2">
        <v>1</v>
      </c>
      <c r="AU974" s="58" t="s">
        <v>646</v>
      </c>
      <c r="AV974" s="105"/>
      <c r="AW974" s="23"/>
      <c r="AX974" s="23">
        <v>1</v>
      </c>
      <c r="AY974" s="23"/>
      <c r="AZ974" s="23"/>
      <c r="BA974" s="23"/>
      <c r="BB974" s="23"/>
      <c r="BC974" s="223"/>
      <c r="BD974" s="223"/>
      <c r="BE974" s="223"/>
      <c r="BF974" s="270">
        <v>2017</v>
      </c>
      <c r="BG974" s="270"/>
      <c r="BH974" s="269"/>
      <c r="BI974" s="682" t="s">
        <v>2376</v>
      </c>
    </row>
    <row r="975" spans="1:61" ht="27.75" customHeight="1">
      <c r="A975" s="160" t="s">
        <v>1</v>
      </c>
      <c r="B975" s="58" t="s">
        <v>320</v>
      </c>
      <c r="C975" s="58" t="s">
        <v>806</v>
      </c>
      <c r="D975" s="33" t="s">
        <v>319</v>
      </c>
      <c r="E975" s="33"/>
      <c r="F975" s="33"/>
      <c r="G975" s="33"/>
      <c r="H975" s="30" t="s">
        <v>657</v>
      </c>
      <c r="I975" s="30"/>
      <c r="J975" s="212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25"/>
      <c r="V975" s="23"/>
      <c r="W975" s="311"/>
      <c r="X975" s="311"/>
      <c r="Y975" s="311"/>
      <c r="Z975" s="94"/>
      <c r="AA975" s="23"/>
      <c r="AB975" s="23"/>
      <c r="AC975" s="23"/>
      <c r="AD975" s="23"/>
      <c r="AE975" s="158"/>
      <c r="AF975" s="158"/>
      <c r="AG975" s="158"/>
      <c r="AH975" s="158"/>
      <c r="AI975" s="158"/>
      <c r="AJ975" s="158"/>
      <c r="AK975" s="158"/>
      <c r="AL975" s="158"/>
      <c r="AM975" s="158"/>
      <c r="AN975" s="158"/>
      <c r="AO975" s="158"/>
      <c r="AP975" s="23"/>
      <c r="AQ975" s="23"/>
      <c r="AR975" s="23"/>
      <c r="AS975" s="23"/>
      <c r="AT975" s="2">
        <v>1</v>
      </c>
      <c r="AU975" s="58" t="s">
        <v>646</v>
      </c>
      <c r="AV975" s="105"/>
      <c r="AW975" s="23"/>
      <c r="AX975" s="23">
        <v>1</v>
      </c>
      <c r="AY975" s="23"/>
      <c r="AZ975" s="23"/>
      <c r="BA975" s="23"/>
      <c r="BB975" s="23"/>
      <c r="BC975" s="223"/>
      <c r="BD975" s="223"/>
      <c r="BE975" s="223"/>
      <c r="BF975" s="270">
        <v>2017</v>
      </c>
      <c r="BG975" s="270"/>
      <c r="BH975" s="269"/>
      <c r="BI975" s="682" t="s">
        <v>2376</v>
      </c>
    </row>
    <row r="976" spans="1:61" ht="15" customHeight="1">
      <c r="A976" s="160" t="s">
        <v>1</v>
      </c>
      <c r="B976" s="58" t="s">
        <v>320</v>
      </c>
      <c r="C976" s="58" t="s">
        <v>561</v>
      </c>
      <c r="D976" s="33" t="s">
        <v>387</v>
      </c>
      <c r="E976" s="33"/>
      <c r="F976" s="33"/>
      <c r="G976" s="33"/>
      <c r="H976" s="30" t="s">
        <v>647</v>
      </c>
      <c r="I976" s="30"/>
      <c r="J976" s="212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25"/>
      <c r="V976" s="23"/>
      <c r="W976" s="311"/>
      <c r="X976" s="311"/>
      <c r="Y976" s="311"/>
      <c r="Z976" s="94"/>
      <c r="AA976" s="23"/>
      <c r="AB976" s="23"/>
      <c r="AC976" s="23"/>
      <c r="AD976" s="23"/>
      <c r="AE976" s="158"/>
      <c r="AF976" s="158"/>
      <c r="AG976" s="158"/>
      <c r="AH976" s="158"/>
      <c r="AI976" s="158"/>
      <c r="AJ976" s="158"/>
      <c r="AK976" s="158"/>
      <c r="AL976" s="158"/>
      <c r="AM976" s="158"/>
      <c r="AN976" s="158"/>
      <c r="AO976" s="158"/>
      <c r="AP976" s="23"/>
      <c r="AQ976" s="23"/>
      <c r="AR976" s="23"/>
      <c r="AS976" s="23"/>
      <c r="AT976" s="2">
        <v>1</v>
      </c>
      <c r="AU976" s="58" t="s">
        <v>646</v>
      </c>
      <c r="AV976" s="105"/>
      <c r="AW976" s="23"/>
      <c r="AX976" s="23">
        <v>1</v>
      </c>
      <c r="AY976" s="23"/>
      <c r="AZ976" s="23"/>
      <c r="BA976" s="23"/>
      <c r="BB976" s="23"/>
      <c r="BC976" s="223"/>
      <c r="BD976" s="223"/>
      <c r="BE976" s="223"/>
      <c r="BF976" s="270">
        <v>2017</v>
      </c>
      <c r="BG976" s="270"/>
      <c r="BH976" s="269"/>
      <c r="BI976" s="682" t="s">
        <v>2376</v>
      </c>
    </row>
    <row r="977" spans="1:61" ht="15" customHeight="1">
      <c r="A977" s="230" t="s">
        <v>1</v>
      </c>
      <c r="B977" s="58" t="s">
        <v>320</v>
      </c>
      <c r="C977" s="28" t="s">
        <v>535</v>
      </c>
      <c r="D977" s="33" t="s">
        <v>589</v>
      </c>
      <c r="E977" s="33"/>
      <c r="F977" s="33"/>
      <c r="G977" s="33"/>
      <c r="H977" s="30" t="s">
        <v>657</v>
      </c>
      <c r="I977" s="30"/>
      <c r="J977" s="212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25"/>
      <c r="V977" s="23"/>
      <c r="W977" s="311"/>
      <c r="X977" s="311"/>
      <c r="Y977" s="311"/>
      <c r="Z977" s="94"/>
      <c r="AA977" s="23"/>
      <c r="AB977" s="57"/>
      <c r="AC977" s="57"/>
      <c r="AD977" s="57"/>
      <c r="AE977" s="158"/>
      <c r="AF977" s="158"/>
      <c r="AG977" s="158"/>
      <c r="AH977" s="158"/>
      <c r="AI977" s="158"/>
      <c r="AJ977" s="158"/>
      <c r="AK977" s="158"/>
      <c r="AL977" s="158"/>
      <c r="AM977" s="158"/>
      <c r="AN977" s="158"/>
      <c r="AO977" s="158"/>
      <c r="AP977" s="23"/>
      <c r="AQ977" s="23"/>
      <c r="AR977" s="23"/>
      <c r="AS977" s="23"/>
      <c r="AT977" s="2">
        <v>1</v>
      </c>
      <c r="AU977" s="58" t="s">
        <v>646</v>
      </c>
      <c r="AV977" s="105"/>
      <c r="AW977" s="23"/>
      <c r="AX977" s="23">
        <v>1</v>
      </c>
      <c r="AY977" s="23"/>
      <c r="AZ977" s="23"/>
      <c r="BA977" s="23"/>
      <c r="BB977" s="23"/>
      <c r="BC977" s="223"/>
      <c r="BD977" s="223"/>
      <c r="BE977" s="223"/>
      <c r="BF977" s="270">
        <v>2017</v>
      </c>
      <c r="BG977" s="270"/>
      <c r="BH977" s="269"/>
      <c r="BI977" s="682" t="s">
        <v>2376</v>
      </c>
    </row>
    <row r="978" spans="1:61" s="204" customFormat="1" ht="18" customHeight="1">
      <c r="A978" s="160" t="s">
        <v>1</v>
      </c>
      <c r="B978" s="58" t="s">
        <v>320</v>
      </c>
      <c r="C978" s="122" t="s">
        <v>1389</v>
      </c>
      <c r="D978" s="33" t="s">
        <v>438</v>
      </c>
      <c r="E978" s="33"/>
      <c r="F978" s="33"/>
      <c r="G978" s="33"/>
      <c r="H978" s="30" t="s">
        <v>630</v>
      </c>
      <c r="I978" s="228" t="s">
        <v>1485</v>
      </c>
      <c r="J978" s="215" t="s">
        <v>1484</v>
      </c>
      <c r="K978" s="23"/>
      <c r="L978" s="23"/>
      <c r="M978" s="23">
        <v>1</v>
      </c>
      <c r="N978" s="23">
        <v>1</v>
      </c>
      <c r="O978" s="23"/>
      <c r="P978" s="568">
        <f>64435830-925030</f>
        <v>63510800</v>
      </c>
      <c r="Q978" s="158" t="e">
        <f t="shared" ref="Q978:Q985" si="237">P978/AY978</f>
        <v>#DIV/0!</v>
      </c>
      <c r="R978" s="23"/>
      <c r="S978" s="23"/>
      <c r="T978" s="23"/>
      <c r="U978" s="225">
        <v>63510800</v>
      </c>
      <c r="V978" s="23">
        <v>10</v>
      </c>
      <c r="W978" s="311">
        <v>43951</v>
      </c>
      <c r="X978" s="311"/>
      <c r="Y978" s="311"/>
      <c r="Z978" s="94"/>
      <c r="AA978" s="223"/>
      <c r="AB978" s="223"/>
      <c r="AC978" s="223"/>
      <c r="AD978" s="223"/>
      <c r="AE978" s="158"/>
      <c r="AF978" s="158">
        <f>P978</f>
        <v>63510800</v>
      </c>
      <c r="AG978" s="158"/>
      <c r="AH978" s="94">
        <v>0</v>
      </c>
      <c r="AI978" s="94">
        <v>63510800</v>
      </c>
      <c r="AJ978" s="94"/>
      <c r="AK978" s="72">
        <f t="shared" ref="AK978:AK979" si="238">P978-R978-U978-Z978</f>
        <v>0</v>
      </c>
      <c r="AL978" s="72">
        <v>877</v>
      </c>
      <c r="AM978" s="72">
        <v>10</v>
      </c>
      <c r="AN978" s="158"/>
      <c r="AO978" s="158"/>
      <c r="AP978" s="23">
        <v>1</v>
      </c>
      <c r="AQ978" s="23"/>
      <c r="AR978" s="23"/>
      <c r="AS978" s="23"/>
      <c r="AT978" s="2">
        <v>1</v>
      </c>
      <c r="AU978" s="58" t="s">
        <v>646</v>
      </c>
      <c r="AV978" s="462" t="s">
        <v>2335</v>
      </c>
      <c r="AW978" s="23"/>
      <c r="AX978" s="23"/>
      <c r="AY978" s="23"/>
      <c r="AZ978" s="23"/>
      <c r="BA978" s="671">
        <v>1</v>
      </c>
      <c r="BB978" s="23"/>
      <c r="BC978" s="223"/>
      <c r="BD978" s="223">
        <v>1</v>
      </c>
      <c r="BE978" s="223"/>
      <c r="BF978" s="271">
        <v>2020</v>
      </c>
      <c r="BG978" s="271">
        <v>2019</v>
      </c>
      <c r="BH978" s="271">
        <v>2020</v>
      </c>
      <c r="BI978" s="271" t="s">
        <v>2375</v>
      </c>
    </row>
    <row r="979" spans="1:61" s="204" customFormat="1" ht="18" customHeight="1">
      <c r="A979" s="160" t="s">
        <v>1</v>
      </c>
      <c r="B979" s="58" t="s">
        <v>320</v>
      </c>
      <c r="C979" s="122" t="s">
        <v>572</v>
      </c>
      <c r="D979" s="33" t="s">
        <v>438</v>
      </c>
      <c r="E979" s="33"/>
      <c r="F979" s="33"/>
      <c r="G979" s="33"/>
      <c r="H979" s="30" t="s">
        <v>630</v>
      </c>
      <c r="I979" s="228" t="s">
        <v>1485</v>
      </c>
      <c r="J979" s="215" t="s">
        <v>1484</v>
      </c>
      <c r="K979" s="23"/>
      <c r="L979" s="23"/>
      <c r="M979" s="23">
        <v>1</v>
      </c>
      <c r="N979" s="23">
        <v>1</v>
      </c>
      <c r="O979" s="23"/>
      <c r="P979" s="23">
        <v>74651266</v>
      </c>
      <c r="Q979" s="158" t="e">
        <f t="shared" si="237"/>
        <v>#DIV/0!</v>
      </c>
      <c r="R979" s="23"/>
      <c r="S979" s="23"/>
      <c r="T979" s="23"/>
      <c r="U979" s="225"/>
      <c r="V979" s="23"/>
      <c r="W979" s="311"/>
      <c r="X979" s="311"/>
      <c r="Y979" s="311"/>
      <c r="Z979" s="94"/>
      <c r="AA979" s="223"/>
      <c r="AB979" s="223"/>
      <c r="AC979" s="223"/>
      <c r="AD979" s="223"/>
      <c r="AE979" s="158"/>
      <c r="AF979" s="158">
        <f t="shared" ref="AF979:AF985" si="239">P979-U979-Z979</f>
        <v>74651266</v>
      </c>
      <c r="AG979" s="158"/>
      <c r="AH979" s="94">
        <v>0</v>
      </c>
      <c r="AI979" s="94">
        <v>74651266</v>
      </c>
      <c r="AJ979" s="94"/>
      <c r="AK979" s="602">
        <f t="shared" si="238"/>
        <v>74651266</v>
      </c>
      <c r="AL979" s="72">
        <v>877</v>
      </c>
      <c r="AM979" s="72">
        <v>10</v>
      </c>
      <c r="AN979" s="158">
        <v>1</v>
      </c>
      <c r="AO979" s="158"/>
      <c r="AP979" s="23"/>
      <c r="AQ979" s="23"/>
      <c r="AR979" s="23"/>
      <c r="AS979" s="23"/>
      <c r="AT979" s="2">
        <v>0</v>
      </c>
      <c r="AU979" s="58" t="s">
        <v>521</v>
      </c>
      <c r="AV979" s="386"/>
      <c r="AW979" s="23"/>
      <c r="AX979" s="23"/>
      <c r="AY979" s="23"/>
      <c r="AZ979" s="23"/>
      <c r="BA979" s="23"/>
      <c r="BB979" s="23"/>
      <c r="BC979" s="223"/>
      <c r="BD979" s="223"/>
      <c r="BE979" s="223"/>
      <c r="BF979" s="271"/>
      <c r="BG979" s="271">
        <v>2019</v>
      </c>
      <c r="BH979" s="271">
        <v>2020</v>
      </c>
      <c r="BI979" s="271" t="s">
        <v>2375</v>
      </c>
    </row>
    <row r="980" spans="1:61" ht="18" customHeight="1">
      <c r="A980" s="160" t="s">
        <v>1</v>
      </c>
      <c r="B980" s="58" t="s">
        <v>320</v>
      </c>
      <c r="C980" s="122" t="s">
        <v>573</v>
      </c>
      <c r="D980" s="33" t="s">
        <v>438</v>
      </c>
      <c r="E980" s="33"/>
      <c r="F980" s="33"/>
      <c r="G980" s="33"/>
      <c r="H980" s="30" t="s">
        <v>630</v>
      </c>
      <c r="I980" s="228" t="s">
        <v>1485</v>
      </c>
      <c r="J980" s="215" t="s">
        <v>1484</v>
      </c>
      <c r="K980" s="23"/>
      <c r="L980" s="23">
        <v>1</v>
      </c>
      <c r="M980" s="23"/>
      <c r="N980" s="23"/>
      <c r="O980" s="23"/>
      <c r="P980" s="23">
        <f>74651266+5626090</f>
        <v>80277356</v>
      </c>
      <c r="Q980" s="158" t="e">
        <f t="shared" si="237"/>
        <v>#DIV/0!</v>
      </c>
      <c r="R980" s="274"/>
      <c r="S980" s="23"/>
      <c r="T980" s="23"/>
      <c r="U980" s="225">
        <f>74651266+5626090</f>
        <v>80277356</v>
      </c>
      <c r="V980" s="23" t="s">
        <v>1657</v>
      </c>
      <c r="W980" s="311">
        <v>43617</v>
      </c>
      <c r="X980" s="311"/>
      <c r="Y980" s="311"/>
      <c r="Z980" s="94"/>
      <c r="AA980" s="23"/>
      <c r="AB980" s="80"/>
      <c r="AC980" s="80"/>
      <c r="AD980" s="80"/>
      <c r="AE980" s="158"/>
      <c r="AF980" s="158">
        <f t="shared" si="239"/>
        <v>0</v>
      </c>
      <c r="AG980" s="158"/>
      <c r="AH980" s="94">
        <v>0</v>
      </c>
      <c r="AI980" s="94">
        <v>0</v>
      </c>
      <c r="AJ980" s="94"/>
      <c r="AK980" s="158">
        <f t="shared" ref="AK980:AK984" si="240">AF980+AH980</f>
        <v>0</v>
      </c>
      <c r="AL980" s="158">
        <v>877</v>
      </c>
      <c r="AM980" s="158" t="s">
        <v>1657</v>
      </c>
      <c r="AN980" s="158"/>
      <c r="AO980" s="158"/>
      <c r="AP980" s="23"/>
      <c r="AQ980" s="23"/>
      <c r="AR980" s="23"/>
      <c r="AS980" s="23"/>
      <c r="AT980" s="24">
        <v>1</v>
      </c>
      <c r="AU980" s="58" t="s">
        <v>646</v>
      </c>
      <c r="AV980" s="388" t="s">
        <v>1714</v>
      </c>
      <c r="AW980" s="23"/>
      <c r="AX980" s="23"/>
      <c r="AY980" s="23"/>
      <c r="AZ980" s="23">
        <v>1</v>
      </c>
      <c r="BA980" s="23"/>
      <c r="BB980" s="23"/>
      <c r="BC980" s="23"/>
      <c r="BD980" s="23">
        <v>1</v>
      </c>
      <c r="BE980" s="23"/>
      <c r="BF980" s="270">
        <v>2019</v>
      </c>
      <c r="BG980" s="270">
        <v>2019</v>
      </c>
      <c r="BH980" s="271"/>
      <c r="BI980" s="271" t="s">
        <v>2375</v>
      </c>
    </row>
    <row r="981" spans="1:61" s="204" customFormat="1" ht="18" customHeight="1">
      <c r="A981" s="160" t="s">
        <v>1</v>
      </c>
      <c r="B981" s="58" t="s">
        <v>320</v>
      </c>
      <c r="C981" s="122" t="s">
        <v>574</v>
      </c>
      <c r="D981" s="33" t="s">
        <v>438</v>
      </c>
      <c r="E981" s="33"/>
      <c r="F981" s="33"/>
      <c r="G981" s="33"/>
      <c r="H981" s="30" t="s">
        <v>630</v>
      </c>
      <c r="I981" s="228" t="s">
        <v>1485</v>
      </c>
      <c r="J981" s="215" t="s">
        <v>1484</v>
      </c>
      <c r="K981" s="23"/>
      <c r="L981" s="23"/>
      <c r="M981" s="23">
        <v>1</v>
      </c>
      <c r="N981" s="23">
        <v>1</v>
      </c>
      <c r="O981" s="23"/>
      <c r="P981" s="23">
        <v>74651266</v>
      </c>
      <c r="Q981" s="158" t="e">
        <f t="shared" si="237"/>
        <v>#DIV/0!</v>
      </c>
      <c r="R981" s="23"/>
      <c r="S981" s="23"/>
      <c r="T981" s="23"/>
      <c r="U981" s="225"/>
      <c r="V981" s="23"/>
      <c r="W981" s="311"/>
      <c r="X981" s="311"/>
      <c r="Y981" s="311"/>
      <c r="Z981" s="94"/>
      <c r="AA981" s="223"/>
      <c r="AB981" s="223"/>
      <c r="AC981" s="223"/>
      <c r="AD981" s="223"/>
      <c r="AE981" s="158"/>
      <c r="AF981" s="158">
        <f t="shared" si="239"/>
        <v>74651266</v>
      </c>
      <c r="AG981" s="158"/>
      <c r="AH981" s="94">
        <v>0</v>
      </c>
      <c r="AI981" s="94">
        <v>74651266</v>
      </c>
      <c r="AJ981" s="94"/>
      <c r="AK981" s="602">
        <f>P981-R981-U981-Z981</f>
        <v>74651266</v>
      </c>
      <c r="AL981" s="72">
        <v>877</v>
      </c>
      <c r="AM981" s="72">
        <v>10</v>
      </c>
      <c r="AN981" s="158">
        <v>1</v>
      </c>
      <c r="AO981" s="158"/>
      <c r="AP981" s="23"/>
      <c r="AQ981" s="23"/>
      <c r="AR981" s="23"/>
      <c r="AS981" s="23"/>
      <c r="AT981" s="2">
        <v>0</v>
      </c>
      <c r="AU981" s="58" t="s">
        <v>521</v>
      </c>
      <c r="AV981" s="386"/>
      <c r="AW981" s="23"/>
      <c r="AX981" s="23"/>
      <c r="AY981" s="23"/>
      <c r="AZ981" s="23"/>
      <c r="BA981" s="23"/>
      <c r="BB981" s="23"/>
      <c r="BC981" s="223"/>
      <c r="BD981" s="223"/>
      <c r="BE981" s="223"/>
      <c r="BF981" s="271"/>
      <c r="BG981" s="271">
        <v>2019</v>
      </c>
      <c r="BH981" s="271">
        <v>2020</v>
      </c>
      <c r="BI981" s="271" t="s">
        <v>2375</v>
      </c>
    </row>
    <row r="982" spans="1:61" ht="18" customHeight="1">
      <c r="A982" s="160" t="s">
        <v>1</v>
      </c>
      <c r="B982" s="58" t="s">
        <v>320</v>
      </c>
      <c r="C982" s="122" t="s">
        <v>575</v>
      </c>
      <c r="D982" s="33" t="s">
        <v>438</v>
      </c>
      <c r="E982" s="33"/>
      <c r="F982" s="33"/>
      <c r="G982" s="33"/>
      <c r="H982" s="30" t="s">
        <v>630</v>
      </c>
      <c r="I982" s="228" t="s">
        <v>1783</v>
      </c>
      <c r="J982" s="215" t="s">
        <v>1784</v>
      </c>
      <c r="K982" s="23"/>
      <c r="L982" s="23"/>
      <c r="M982" s="23">
        <v>1</v>
      </c>
      <c r="N982" s="23"/>
      <c r="O982" s="23"/>
      <c r="P982" s="23">
        <f>74651266+2298734</f>
        <v>76950000</v>
      </c>
      <c r="Q982" s="158" t="e">
        <f t="shared" si="237"/>
        <v>#DIV/0!</v>
      </c>
      <c r="R982" s="23"/>
      <c r="S982" s="23"/>
      <c r="T982" s="23"/>
      <c r="U982" s="225">
        <f>74651266+2298734</f>
        <v>76950000</v>
      </c>
      <c r="V982" s="23">
        <v>20</v>
      </c>
      <c r="W982" s="311">
        <v>43770</v>
      </c>
      <c r="X982" s="311"/>
      <c r="Y982" s="311"/>
      <c r="Z982" s="94"/>
      <c r="AA982" s="223"/>
      <c r="AB982" s="223"/>
      <c r="AC982" s="223"/>
      <c r="AD982" s="223"/>
      <c r="AE982" s="158"/>
      <c r="AF982" s="158">
        <f t="shared" si="239"/>
        <v>0</v>
      </c>
      <c r="AG982" s="158"/>
      <c r="AH982" s="94">
        <v>0</v>
      </c>
      <c r="AI982" s="94">
        <v>0</v>
      </c>
      <c r="AJ982" s="94"/>
      <c r="AK982" s="158">
        <f t="shared" si="240"/>
        <v>0</v>
      </c>
      <c r="AL982" s="158">
        <v>877</v>
      </c>
      <c r="AM982" s="158">
        <v>20</v>
      </c>
      <c r="AN982" s="158"/>
      <c r="AO982" s="158"/>
      <c r="AP982" s="23"/>
      <c r="AQ982" s="23"/>
      <c r="AR982" s="23"/>
      <c r="AS982" s="23"/>
      <c r="AT982" s="24">
        <v>1</v>
      </c>
      <c r="AU982" s="58" t="s">
        <v>646</v>
      </c>
      <c r="AV982" s="388" t="s">
        <v>1954</v>
      </c>
      <c r="AW982" s="23"/>
      <c r="AX982" s="23"/>
      <c r="AY982" s="23"/>
      <c r="AZ982" s="23">
        <v>1</v>
      </c>
      <c r="BA982" s="23"/>
      <c r="BB982" s="23"/>
      <c r="BC982" s="223"/>
      <c r="BD982" s="223">
        <v>1</v>
      </c>
      <c r="BE982" s="223"/>
      <c r="BF982" s="270">
        <v>2019</v>
      </c>
      <c r="BG982" s="270">
        <v>2019</v>
      </c>
      <c r="BH982" s="271"/>
      <c r="BI982" s="271" t="s">
        <v>2375</v>
      </c>
    </row>
    <row r="983" spans="1:61" s="204" customFormat="1" ht="18" customHeight="1">
      <c r="A983" s="160" t="s">
        <v>1</v>
      </c>
      <c r="B983" s="58" t="s">
        <v>320</v>
      </c>
      <c r="C983" s="122" t="s">
        <v>576</v>
      </c>
      <c r="D983" s="33" t="s">
        <v>438</v>
      </c>
      <c r="E983" s="33"/>
      <c r="F983" s="33"/>
      <c r="G983" s="33"/>
      <c r="H983" s="30" t="s">
        <v>630</v>
      </c>
      <c r="I983" s="228" t="s">
        <v>1485</v>
      </c>
      <c r="J983" s="215" t="s">
        <v>1484</v>
      </c>
      <c r="K983" s="23"/>
      <c r="L983" s="23"/>
      <c r="M983" s="23">
        <v>1</v>
      </c>
      <c r="N983" s="23">
        <v>1</v>
      </c>
      <c r="O983" s="23"/>
      <c r="P983" s="23">
        <v>74651266</v>
      </c>
      <c r="Q983" s="158" t="e">
        <f t="shared" si="237"/>
        <v>#DIV/0!</v>
      </c>
      <c r="R983" s="23"/>
      <c r="S983" s="23"/>
      <c r="T983" s="23"/>
      <c r="U983" s="225"/>
      <c r="V983" s="23"/>
      <c r="W983" s="311"/>
      <c r="X983" s="311"/>
      <c r="Y983" s="311"/>
      <c r="Z983" s="94"/>
      <c r="AA983" s="223"/>
      <c r="AB983" s="223"/>
      <c r="AC983" s="223"/>
      <c r="AD983" s="223"/>
      <c r="AE983" s="158"/>
      <c r="AF983" s="158">
        <f t="shared" si="239"/>
        <v>74651266</v>
      </c>
      <c r="AG983" s="158"/>
      <c r="AH983" s="94">
        <v>0</v>
      </c>
      <c r="AI983" s="94">
        <v>74651266</v>
      </c>
      <c r="AJ983" s="94"/>
      <c r="AK983" s="602">
        <f>P983-R983-U983-Z983</f>
        <v>74651266</v>
      </c>
      <c r="AL983" s="72">
        <v>877</v>
      </c>
      <c r="AM983" s="72">
        <v>10</v>
      </c>
      <c r="AN983" s="158">
        <v>1</v>
      </c>
      <c r="AO983" s="158"/>
      <c r="AP983" s="23"/>
      <c r="AQ983" s="23"/>
      <c r="AR983" s="23"/>
      <c r="AS983" s="23"/>
      <c r="AT983" s="2">
        <v>0</v>
      </c>
      <c r="AU983" s="58" t="s">
        <v>521</v>
      </c>
      <c r="AV983" s="386"/>
      <c r="AW983" s="23"/>
      <c r="AX983" s="23"/>
      <c r="AY983" s="23"/>
      <c r="AZ983" s="23"/>
      <c r="BA983" s="23"/>
      <c r="BB983" s="23"/>
      <c r="BC983" s="223"/>
      <c r="BD983" s="223"/>
      <c r="BE983" s="223"/>
      <c r="BF983" s="271"/>
      <c r="BG983" s="271">
        <v>2019</v>
      </c>
      <c r="BH983" s="271">
        <v>2020</v>
      </c>
      <c r="BI983" s="271" t="s">
        <v>2375</v>
      </c>
    </row>
    <row r="984" spans="1:61" ht="18" customHeight="1">
      <c r="A984" s="243" t="s">
        <v>1</v>
      </c>
      <c r="B984" s="58" t="s">
        <v>320</v>
      </c>
      <c r="C984" s="267" t="s">
        <v>577</v>
      </c>
      <c r="D984" s="33" t="s">
        <v>387</v>
      </c>
      <c r="E984" s="33"/>
      <c r="F984" s="33"/>
      <c r="G984" s="33"/>
      <c r="H984" s="30" t="s">
        <v>630</v>
      </c>
      <c r="I984" s="30">
        <v>1260</v>
      </c>
      <c r="J984" s="212">
        <v>42909</v>
      </c>
      <c r="K984" s="23"/>
      <c r="L984" s="23">
        <v>1</v>
      </c>
      <c r="M984" s="23"/>
      <c r="N984" s="23"/>
      <c r="O984" s="23"/>
      <c r="P984" s="23">
        <v>56106320</v>
      </c>
      <c r="Q984" s="158" t="e">
        <f t="shared" si="237"/>
        <v>#DIV/0!</v>
      </c>
      <c r="R984" s="23"/>
      <c r="S984" s="23"/>
      <c r="T984" s="23"/>
      <c r="U984" s="225">
        <v>25247844</v>
      </c>
      <c r="V984" s="23"/>
      <c r="W984" s="311"/>
      <c r="X984" s="311"/>
      <c r="Y984" s="311"/>
      <c r="Z984" s="94">
        <v>30858476</v>
      </c>
      <c r="AA984" s="23"/>
      <c r="AB984" s="80"/>
      <c r="AC984" s="80"/>
      <c r="AD984" s="80"/>
      <c r="AE984" s="158"/>
      <c r="AF984" s="158">
        <f t="shared" si="239"/>
        <v>0</v>
      </c>
      <c r="AG984" s="158"/>
      <c r="AH984" s="94">
        <v>0</v>
      </c>
      <c r="AI984" s="94">
        <v>0</v>
      </c>
      <c r="AJ984" s="94"/>
      <c r="AK984" s="158">
        <f t="shared" si="240"/>
        <v>0</v>
      </c>
      <c r="AL984" s="158"/>
      <c r="AM984" s="158"/>
      <c r="AN984" s="158"/>
      <c r="AO984" s="158"/>
      <c r="AP984" s="23"/>
      <c r="AQ984" s="23"/>
      <c r="AR984" s="23"/>
      <c r="AS984" s="23"/>
      <c r="AT984" s="2">
        <v>1</v>
      </c>
      <c r="AU984" s="58" t="s">
        <v>646</v>
      </c>
      <c r="AV984" s="388" t="s">
        <v>1850</v>
      </c>
      <c r="AW984" s="23"/>
      <c r="AX984" s="23"/>
      <c r="AY984" s="23"/>
      <c r="AZ984" s="23">
        <v>1</v>
      </c>
      <c r="BA984" s="23"/>
      <c r="BB984" s="23"/>
      <c r="BC984" s="223"/>
      <c r="BD984" s="223">
        <v>1</v>
      </c>
      <c r="BE984" s="223"/>
      <c r="BF984" s="270">
        <v>2019</v>
      </c>
      <c r="BG984" s="270">
        <v>2019</v>
      </c>
      <c r="BH984" s="271"/>
      <c r="BI984" s="271" t="s">
        <v>2375</v>
      </c>
    </row>
    <row r="985" spans="1:61" s="204" customFormat="1" ht="18" customHeight="1">
      <c r="A985" s="160" t="s">
        <v>1</v>
      </c>
      <c r="B985" s="58" t="s">
        <v>320</v>
      </c>
      <c r="C985" s="122" t="s">
        <v>914</v>
      </c>
      <c r="D985" s="33" t="s">
        <v>387</v>
      </c>
      <c r="E985" s="33"/>
      <c r="F985" s="33"/>
      <c r="G985" s="33"/>
      <c r="H985" s="30" t="s">
        <v>630</v>
      </c>
      <c r="I985" s="228" t="s">
        <v>1518</v>
      </c>
      <c r="J985" s="215" t="s">
        <v>1498</v>
      </c>
      <c r="K985" s="23"/>
      <c r="L985" s="23"/>
      <c r="M985" s="23">
        <v>1</v>
      </c>
      <c r="N985" s="23">
        <v>1</v>
      </c>
      <c r="O985" s="23"/>
      <c r="P985" s="23">
        <v>61214038</v>
      </c>
      <c r="Q985" s="158" t="e">
        <f t="shared" si="237"/>
        <v>#DIV/0!</v>
      </c>
      <c r="R985" s="23"/>
      <c r="S985" s="23"/>
      <c r="T985" s="23"/>
      <c r="U985" s="225"/>
      <c r="V985" s="23"/>
      <c r="W985" s="311"/>
      <c r="X985" s="311"/>
      <c r="Y985" s="311"/>
      <c r="Z985" s="94"/>
      <c r="AA985" s="223"/>
      <c r="AB985" s="223"/>
      <c r="AC985" s="223"/>
      <c r="AD985" s="223"/>
      <c r="AE985" s="158"/>
      <c r="AF985" s="158">
        <f t="shared" si="239"/>
        <v>61214038</v>
      </c>
      <c r="AG985" s="158"/>
      <c r="AH985" s="94">
        <v>0</v>
      </c>
      <c r="AI985" s="94">
        <v>61214038</v>
      </c>
      <c r="AJ985" s="94"/>
      <c r="AK985" s="602">
        <f>P985-R985-U985-Z985</f>
        <v>61214038</v>
      </c>
      <c r="AL985" s="72">
        <v>877</v>
      </c>
      <c r="AM985" s="72">
        <v>10</v>
      </c>
      <c r="AN985" s="158">
        <v>1</v>
      </c>
      <c r="AO985" s="158"/>
      <c r="AP985" s="23"/>
      <c r="AQ985" s="23"/>
      <c r="AR985" s="23"/>
      <c r="AS985" s="23"/>
      <c r="AT985" s="2">
        <v>0</v>
      </c>
      <c r="AU985" s="58" t="s">
        <v>521</v>
      </c>
      <c r="AV985" s="386"/>
      <c r="AW985" s="23"/>
      <c r="AX985" s="23"/>
      <c r="AY985" s="23"/>
      <c r="AZ985" s="23"/>
      <c r="BA985" s="23"/>
      <c r="BB985" s="23"/>
      <c r="BC985" s="223"/>
      <c r="BD985" s="223"/>
      <c r="BE985" s="223"/>
      <c r="BF985" s="271"/>
      <c r="BG985" s="271">
        <v>2019</v>
      </c>
      <c r="BH985" s="271">
        <v>2020</v>
      </c>
      <c r="BI985" s="271" t="s">
        <v>2375</v>
      </c>
    </row>
    <row r="986" spans="1:61" ht="15" customHeight="1">
      <c r="A986" s="248" t="s">
        <v>1</v>
      </c>
      <c r="B986" s="58" t="s">
        <v>320</v>
      </c>
      <c r="C986" s="258" t="s">
        <v>580</v>
      </c>
      <c r="D986" s="33" t="s">
        <v>588</v>
      </c>
      <c r="E986" s="33"/>
      <c r="F986" s="33"/>
      <c r="G986" s="33"/>
      <c r="H986" s="30" t="s">
        <v>661</v>
      </c>
      <c r="I986" s="30"/>
      <c r="J986" s="212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25"/>
      <c r="V986" s="23"/>
      <c r="W986" s="311"/>
      <c r="X986" s="311"/>
      <c r="Y986" s="311"/>
      <c r="Z986" s="94"/>
      <c r="AA986" s="23"/>
      <c r="AB986" s="265"/>
      <c r="AC986" s="265"/>
      <c r="AD986" s="265"/>
      <c r="AE986" s="158"/>
      <c r="AF986" s="158"/>
      <c r="AG986" s="158"/>
      <c r="AH986" s="158"/>
      <c r="AI986" s="158"/>
      <c r="AJ986" s="158"/>
      <c r="AK986" s="158"/>
      <c r="AL986" s="158"/>
      <c r="AM986" s="158"/>
      <c r="AN986" s="158"/>
      <c r="AO986" s="158"/>
      <c r="AP986" s="23"/>
      <c r="AQ986" s="23"/>
      <c r="AR986" s="23"/>
      <c r="AS986" s="23"/>
      <c r="AT986" s="2">
        <v>1</v>
      </c>
      <c r="AU986" s="58" t="s">
        <v>646</v>
      </c>
      <c r="AV986" s="105"/>
      <c r="AW986" s="23"/>
      <c r="AX986" s="23">
        <v>1</v>
      </c>
      <c r="AY986" s="23"/>
      <c r="AZ986" s="23"/>
      <c r="BA986" s="23"/>
      <c r="BB986" s="23"/>
      <c r="BC986" s="223"/>
      <c r="BD986" s="223"/>
      <c r="BE986" s="223"/>
      <c r="BF986" s="270">
        <v>2017</v>
      </c>
      <c r="BG986" s="270"/>
      <c r="BH986" s="268"/>
      <c r="BI986" s="682" t="s">
        <v>2376</v>
      </c>
    </row>
    <row r="987" spans="1:61" ht="15" customHeight="1">
      <c r="A987" s="160" t="s">
        <v>1</v>
      </c>
      <c r="B987" s="58" t="s">
        <v>320</v>
      </c>
      <c r="C987" s="122" t="s">
        <v>582</v>
      </c>
      <c r="D987" s="33" t="s">
        <v>588</v>
      </c>
      <c r="E987" s="33"/>
      <c r="F987" s="33"/>
      <c r="G987" s="33"/>
      <c r="H987" s="30" t="s">
        <v>661</v>
      </c>
      <c r="I987" s="30"/>
      <c r="J987" s="212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25"/>
      <c r="V987" s="23"/>
      <c r="W987" s="311"/>
      <c r="X987" s="311"/>
      <c r="Y987" s="311"/>
      <c r="Z987" s="94"/>
      <c r="AA987" s="23"/>
      <c r="AB987" s="23"/>
      <c r="AC987" s="23"/>
      <c r="AD987" s="23"/>
      <c r="AE987" s="158"/>
      <c r="AF987" s="158"/>
      <c r="AG987" s="158"/>
      <c r="AH987" s="158"/>
      <c r="AI987" s="158"/>
      <c r="AJ987" s="158"/>
      <c r="AK987" s="158"/>
      <c r="AL987" s="158"/>
      <c r="AM987" s="158"/>
      <c r="AN987" s="158"/>
      <c r="AO987" s="158"/>
      <c r="AP987" s="23"/>
      <c r="AQ987" s="50"/>
      <c r="AR987" s="50"/>
      <c r="AS987" s="50"/>
      <c r="AT987" s="2">
        <v>1</v>
      </c>
      <c r="AU987" s="58" t="s">
        <v>646</v>
      </c>
      <c r="AV987" s="58" t="s">
        <v>581</v>
      </c>
      <c r="AW987" s="23"/>
      <c r="AX987" s="50"/>
      <c r="AY987" s="514">
        <v>1</v>
      </c>
      <c r="AZ987" s="23"/>
      <c r="BA987" s="23"/>
      <c r="BB987" s="23">
        <v>1</v>
      </c>
      <c r="BC987" s="223"/>
      <c r="BD987" s="223"/>
      <c r="BE987" s="223"/>
      <c r="BF987" s="270">
        <v>2018</v>
      </c>
      <c r="BG987" s="270"/>
      <c r="BH987" s="269"/>
      <c r="BI987" s="682" t="s">
        <v>2376</v>
      </c>
    </row>
    <row r="988" spans="1:61" ht="15" customHeight="1">
      <c r="A988" s="160" t="s">
        <v>1</v>
      </c>
      <c r="B988" s="58" t="s">
        <v>320</v>
      </c>
      <c r="C988" s="122" t="s">
        <v>583</v>
      </c>
      <c r="D988" s="33" t="s">
        <v>588</v>
      </c>
      <c r="E988" s="33"/>
      <c r="F988" s="33"/>
      <c r="G988" s="33"/>
      <c r="H988" s="30" t="s">
        <v>661</v>
      </c>
      <c r="I988" s="30"/>
      <c r="J988" s="212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25"/>
      <c r="V988" s="23"/>
      <c r="W988" s="311"/>
      <c r="X988" s="311"/>
      <c r="Y988" s="311"/>
      <c r="Z988" s="94"/>
      <c r="AA988" s="23"/>
      <c r="AB988" s="23"/>
      <c r="AC988" s="23"/>
      <c r="AD988" s="23"/>
      <c r="AE988" s="158"/>
      <c r="AF988" s="158"/>
      <c r="AG988" s="158"/>
      <c r="AH988" s="158"/>
      <c r="AI988" s="158"/>
      <c r="AJ988" s="158"/>
      <c r="AK988" s="158"/>
      <c r="AL988" s="158"/>
      <c r="AM988" s="158"/>
      <c r="AN988" s="158"/>
      <c r="AO988" s="158"/>
      <c r="AP988" s="23"/>
      <c r="AQ988" s="50"/>
      <c r="AR988" s="50"/>
      <c r="AS988" s="50"/>
      <c r="AT988" s="2">
        <v>1</v>
      </c>
      <c r="AU988" s="58" t="s">
        <v>646</v>
      </c>
      <c r="AV988" s="110" t="s">
        <v>638</v>
      </c>
      <c r="AW988" s="23"/>
      <c r="AX988" s="23"/>
      <c r="AY988" s="514">
        <v>1</v>
      </c>
      <c r="AZ988" s="23"/>
      <c r="BA988" s="23"/>
      <c r="BB988" s="23">
        <v>1</v>
      </c>
      <c r="BC988" s="223"/>
      <c r="BD988" s="223"/>
      <c r="BE988" s="223"/>
      <c r="BF988" s="270">
        <v>2018</v>
      </c>
      <c r="BG988" s="270"/>
      <c r="BH988" s="269"/>
      <c r="BI988" s="682" t="s">
        <v>2376</v>
      </c>
    </row>
    <row r="989" spans="1:61" ht="15" customHeight="1">
      <c r="A989" s="160" t="s">
        <v>1</v>
      </c>
      <c r="B989" s="58" t="s">
        <v>320</v>
      </c>
      <c r="C989" s="122" t="s">
        <v>584</v>
      </c>
      <c r="D989" s="33" t="s">
        <v>588</v>
      </c>
      <c r="E989" s="33"/>
      <c r="F989" s="33"/>
      <c r="G989" s="33"/>
      <c r="H989" s="30" t="s">
        <v>661</v>
      </c>
      <c r="I989" s="30"/>
      <c r="J989" s="212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25"/>
      <c r="V989" s="23"/>
      <c r="W989" s="311"/>
      <c r="X989" s="311"/>
      <c r="Y989" s="311"/>
      <c r="Z989" s="94"/>
      <c r="AA989" s="23"/>
      <c r="AB989" s="23"/>
      <c r="AC989" s="23"/>
      <c r="AD989" s="23"/>
      <c r="AE989" s="158"/>
      <c r="AF989" s="158"/>
      <c r="AG989" s="158"/>
      <c r="AH989" s="158"/>
      <c r="AI989" s="158"/>
      <c r="AJ989" s="158"/>
      <c r="AK989" s="158"/>
      <c r="AL989" s="158"/>
      <c r="AM989" s="158"/>
      <c r="AN989" s="158"/>
      <c r="AO989" s="158"/>
      <c r="AP989" s="50"/>
      <c r="AQ989" s="50"/>
      <c r="AR989" s="50"/>
      <c r="AS989" s="50"/>
      <c r="AT989" s="2">
        <v>1</v>
      </c>
      <c r="AU989" s="58" t="s">
        <v>646</v>
      </c>
      <c r="AV989" s="110" t="s">
        <v>810</v>
      </c>
      <c r="AW989" s="23"/>
      <c r="AX989" s="23">
        <v>1</v>
      </c>
      <c r="AY989" s="50"/>
      <c r="AZ989" s="50"/>
      <c r="BA989" s="50"/>
      <c r="BB989" s="50"/>
      <c r="BC989" s="293"/>
      <c r="BD989" s="293"/>
      <c r="BE989" s="293"/>
      <c r="BF989" s="270">
        <v>2017</v>
      </c>
      <c r="BG989" s="270"/>
      <c r="BH989" s="269"/>
      <c r="BI989" s="682" t="s">
        <v>2376</v>
      </c>
    </row>
    <row r="990" spans="1:61" ht="15" customHeight="1">
      <c r="A990" s="160" t="s">
        <v>1</v>
      </c>
      <c r="B990" s="58" t="s">
        <v>320</v>
      </c>
      <c r="C990" s="122" t="s">
        <v>585</v>
      </c>
      <c r="D990" s="33" t="s">
        <v>588</v>
      </c>
      <c r="E990" s="33"/>
      <c r="F990" s="33"/>
      <c r="G990" s="33"/>
      <c r="H990" s="30" t="s">
        <v>663</v>
      </c>
      <c r="I990" s="30"/>
      <c r="J990" s="212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25"/>
      <c r="V990" s="23"/>
      <c r="W990" s="311"/>
      <c r="X990" s="311"/>
      <c r="Y990" s="311"/>
      <c r="Z990" s="94"/>
      <c r="AA990" s="23"/>
      <c r="AB990" s="23"/>
      <c r="AC990" s="23"/>
      <c r="AD990" s="23"/>
      <c r="AE990" s="158"/>
      <c r="AF990" s="158"/>
      <c r="AG990" s="158"/>
      <c r="AH990" s="158"/>
      <c r="AI990" s="158"/>
      <c r="AJ990" s="158"/>
      <c r="AK990" s="158"/>
      <c r="AL990" s="158"/>
      <c r="AM990" s="158"/>
      <c r="AN990" s="158"/>
      <c r="AO990" s="158"/>
      <c r="AP990" s="50"/>
      <c r="AQ990" s="50"/>
      <c r="AR990" s="50"/>
      <c r="AS990" s="50"/>
      <c r="AT990" s="2">
        <v>1</v>
      </c>
      <c r="AU990" s="58" t="s">
        <v>646</v>
      </c>
      <c r="AV990" s="105"/>
      <c r="AW990" s="23"/>
      <c r="AX990" s="23">
        <v>1</v>
      </c>
      <c r="AY990" s="50"/>
      <c r="AZ990" s="50"/>
      <c r="BA990" s="50"/>
      <c r="BB990" s="50"/>
      <c r="BC990" s="293"/>
      <c r="BD990" s="293"/>
      <c r="BE990" s="293"/>
      <c r="BF990" s="270">
        <v>2017</v>
      </c>
      <c r="BG990" s="270"/>
      <c r="BH990" s="269"/>
      <c r="BI990" s="682" t="s">
        <v>2376</v>
      </c>
    </row>
    <row r="991" spans="1:61" ht="15" customHeight="1">
      <c r="A991" s="160" t="s">
        <v>1</v>
      </c>
      <c r="B991" s="58" t="s">
        <v>320</v>
      </c>
      <c r="C991" s="122" t="s">
        <v>802</v>
      </c>
      <c r="D991" s="33" t="s">
        <v>588</v>
      </c>
      <c r="E991" s="33"/>
      <c r="F991" s="33"/>
      <c r="G991" s="33"/>
      <c r="H991" s="30" t="s">
        <v>657</v>
      </c>
      <c r="I991" s="30"/>
      <c r="J991" s="212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25"/>
      <c r="V991" s="23"/>
      <c r="W991" s="311"/>
      <c r="X991" s="311"/>
      <c r="Y991" s="311"/>
      <c r="Z991" s="94"/>
      <c r="AA991" s="23"/>
      <c r="AB991" s="23"/>
      <c r="AC991" s="23"/>
      <c r="AD991" s="23"/>
      <c r="AE991" s="158"/>
      <c r="AF991" s="158"/>
      <c r="AG991" s="158"/>
      <c r="AH991" s="158"/>
      <c r="AI991" s="158"/>
      <c r="AJ991" s="158"/>
      <c r="AK991" s="158"/>
      <c r="AL991" s="158"/>
      <c r="AM991" s="158"/>
      <c r="AN991" s="158"/>
      <c r="AO991" s="158"/>
      <c r="AP991" s="50"/>
      <c r="AQ991" s="50"/>
      <c r="AR991" s="50"/>
      <c r="AS991" s="50"/>
      <c r="AT991" s="2">
        <v>1</v>
      </c>
      <c r="AU991" s="58" t="s">
        <v>646</v>
      </c>
      <c r="AV991" s="105"/>
      <c r="AW991" s="23"/>
      <c r="AX991" s="23">
        <v>1</v>
      </c>
      <c r="AY991" s="50"/>
      <c r="AZ991" s="50"/>
      <c r="BA991" s="50"/>
      <c r="BB991" s="50"/>
      <c r="BC991" s="293"/>
      <c r="BD991" s="293"/>
      <c r="BE991" s="293"/>
      <c r="BF991" s="270">
        <v>2017</v>
      </c>
      <c r="BG991" s="270"/>
      <c r="BH991" s="269"/>
      <c r="BI991" s="682" t="s">
        <v>2376</v>
      </c>
    </row>
    <row r="992" spans="1:61" ht="15" customHeight="1">
      <c r="A992" s="160" t="s">
        <v>1</v>
      </c>
      <c r="B992" s="58" t="s">
        <v>320</v>
      </c>
      <c r="C992" s="122" t="s">
        <v>811</v>
      </c>
      <c r="D992" s="33" t="s">
        <v>588</v>
      </c>
      <c r="E992" s="33"/>
      <c r="F992" s="33"/>
      <c r="G992" s="33"/>
      <c r="H992" s="30" t="s">
        <v>659</v>
      </c>
      <c r="I992" s="30"/>
      <c r="J992" s="212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25"/>
      <c r="V992" s="23"/>
      <c r="W992" s="311"/>
      <c r="X992" s="311"/>
      <c r="Y992" s="311"/>
      <c r="Z992" s="94"/>
      <c r="AA992" s="23"/>
      <c r="AB992" s="23"/>
      <c r="AC992" s="23"/>
      <c r="AD992" s="23"/>
      <c r="AE992" s="158"/>
      <c r="AF992" s="158"/>
      <c r="AG992" s="158"/>
      <c r="AH992" s="158"/>
      <c r="AI992" s="158"/>
      <c r="AJ992" s="158"/>
      <c r="AK992" s="158"/>
      <c r="AL992" s="158"/>
      <c r="AM992" s="158"/>
      <c r="AN992" s="158"/>
      <c r="AO992" s="158"/>
      <c r="AP992" s="50"/>
      <c r="AQ992" s="50"/>
      <c r="AR992" s="50"/>
      <c r="AS992" s="50"/>
      <c r="AT992" s="2">
        <v>1</v>
      </c>
      <c r="AU992" s="58" t="s">
        <v>646</v>
      </c>
      <c r="AV992" s="105"/>
      <c r="AW992" s="23"/>
      <c r="AX992" s="23">
        <v>1</v>
      </c>
      <c r="AY992" s="50"/>
      <c r="AZ992" s="50"/>
      <c r="BA992" s="50"/>
      <c r="BB992" s="50"/>
      <c r="BC992" s="293"/>
      <c r="BD992" s="293"/>
      <c r="BE992" s="293"/>
      <c r="BF992" s="270">
        <v>2017</v>
      </c>
      <c r="BG992" s="270"/>
      <c r="BH992" s="269"/>
      <c r="BI992" s="682" t="s">
        <v>2376</v>
      </c>
    </row>
    <row r="993" spans="1:61" ht="15" customHeight="1">
      <c r="A993" s="160" t="s">
        <v>1</v>
      </c>
      <c r="B993" s="58" t="s">
        <v>320</v>
      </c>
      <c r="C993" s="122" t="s">
        <v>586</v>
      </c>
      <c r="D993" s="33" t="s">
        <v>588</v>
      </c>
      <c r="E993" s="33"/>
      <c r="F993" s="33"/>
      <c r="G993" s="33"/>
      <c r="H993" s="30" t="s">
        <v>663</v>
      </c>
      <c r="I993" s="30"/>
      <c r="J993" s="212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25"/>
      <c r="V993" s="23"/>
      <c r="W993" s="311"/>
      <c r="X993" s="311"/>
      <c r="Y993" s="311"/>
      <c r="Z993" s="94"/>
      <c r="AA993" s="23"/>
      <c r="AB993" s="23"/>
      <c r="AC993" s="23"/>
      <c r="AD993" s="23"/>
      <c r="AE993" s="158"/>
      <c r="AF993" s="158"/>
      <c r="AG993" s="158"/>
      <c r="AH993" s="158"/>
      <c r="AI993" s="158"/>
      <c r="AJ993" s="158"/>
      <c r="AK993" s="158"/>
      <c r="AL993" s="158"/>
      <c r="AM993" s="158"/>
      <c r="AN993" s="158"/>
      <c r="AO993" s="158"/>
      <c r="AP993" s="50"/>
      <c r="AQ993" s="50"/>
      <c r="AR993" s="50"/>
      <c r="AS993" s="50"/>
      <c r="AT993" s="2">
        <v>1</v>
      </c>
      <c r="AU993" s="58" t="s">
        <v>646</v>
      </c>
      <c r="AV993" s="105"/>
      <c r="AW993" s="23"/>
      <c r="AX993" s="23">
        <v>1</v>
      </c>
      <c r="AY993" s="50"/>
      <c r="AZ993" s="50"/>
      <c r="BA993" s="50"/>
      <c r="BB993" s="50"/>
      <c r="BC993" s="293"/>
      <c r="BD993" s="293"/>
      <c r="BE993" s="293"/>
      <c r="BF993" s="270">
        <v>2017</v>
      </c>
      <c r="BG993" s="270"/>
      <c r="BH993" s="269"/>
      <c r="BI993" s="682" t="s">
        <v>2376</v>
      </c>
    </row>
    <row r="994" spans="1:61" ht="15" customHeight="1">
      <c r="A994" s="160" t="s">
        <v>1</v>
      </c>
      <c r="B994" s="58" t="s">
        <v>320</v>
      </c>
      <c r="C994" s="122" t="s">
        <v>812</v>
      </c>
      <c r="D994" s="33" t="s">
        <v>588</v>
      </c>
      <c r="E994" s="33"/>
      <c r="F994" s="33"/>
      <c r="G994" s="33"/>
      <c r="H994" s="30" t="s">
        <v>657</v>
      </c>
      <c r="I994" s="30"/>
      <c r="J994" s="212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25"/>
      <c r="V994" s="23"/>
      <c r="W994" s="311"/>
      <c r="X994" s="311"/>
      <c r="Y994" s="311"/>
      <c r="Z994" s="94"/>
      <c r="AA994" s="23"/>
      <c r="AB994" s="23"/>
      <c r="AC994" s="23"/>
      <c r="AD994" s="23"/>
      <c r="AE994" s="158"/>
      <c r="AF994" s="158"/>
      <c r="AG994" s="158"/>
      <c r="AH994" s="158"/>
      <c r="AI994" s="158"/>
      <c r="AJ994" s="158"/>
      <c r="AK994" s="158"/>
      <c r="AL994" s="158"/>
      <c r="AM994" s="158"/>
      <c r="AN994" s="158"/>
      <c r="AO994" s="158"/>
      <c r="AP994" s="50"/>
      <c r="AQ994" s="50"/>
      <c r="AR994" s="50"/>
      <c r="AS994" s="50"/>
      <c r="AT994" s="2">
        <v>1</v>
      </c>
      <c r="AU994" s="58" t="s">
        <v>646</v>
      </c>
      <c r="AV994" s="105" t="s">
        <v>675</v>
      </c>
      <c r="AW994" s="23"/>
      <c r="AX994" s="23">
        <v>1</v>
      </c>
      <c r="AY994" s="50"/>
      <c r="AZ994" s="50"/>
      <c r="BA994" s="50"/>
      <c r="BB994" s="50"/>
      <c r="BC994" s="293"/>
      <c r="BD994" s="293"/>
      <c r="BE994" s="293"/>
      <c r="BF994" s="270">
        <v>2017</v>
      </c>
      <c r="BG994" s="270"/>
      <c r="BH994" s="269"/>
      <c r="BI994" s="682" t="s">
        <v>2376</v>
      </c>
    </row>
    <row r="995" spans="1:61" ht="15" customHeight="1">
      <c r="A995" s="160" t="s">
        <v>1</v>
      </c>
      <c r="B995" s="58" t="s">
        <v>320</v>
      </c>
      <c r="C995" s="122" t="s">
        <v>813</v>
      </c>
      <c r="D995" s="33" t="s">
        <v>387</v>
      </c>
      <c r="E995" s="33"/>
      <c r="F995" s="33"/>
      <c r="G995" s="33"/>
      <c r="H995" s="30" t="s">
        <v>663</v>
      </c>
      <c r="I995" s="30"/>
      <c r="J995" s="212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25"/>
      <c r="V995" s="23"/>
      <c r="W995" s="311"/>
      <c r="X995" s="311"/>
      <c r="Y995" s="311"/>
      <c r="Z995" s="94"/>
      <c r="AA995" s="23"/>
      <c r="AB995" s="23"/>
      <c r="AC995" s="23"/>
      <c r="AD995" s="23"/>
      <c r="AE995" s="158"/>
      <c r="AF995" s="158"/>
      <c r="AG995" s="158"/>
      <c r="AH995" s="158"/>
      <c r="AI995" s="158"/>
      <c r="AJ995" s="158"/>
      <c r="AK995" s="158"/>
      <c r="AL995" s="158"/>
      <c r="AM995" s="158"/>
      <c r="AN995" s="158"/>
      <c r="AO995" s="158"/>
      <c r="AP995" s="23"/>
      <c r="AQ995" s="23"/>
      <c r="AR995" s="23"/>
      <c r="AS995" s="23"/>
      <c r="AT995" s="2">
        <v>1</v>
      </c>
      <c r="AU995" s="58" t="s">
        <v>646</v>
      </c>
      <c r="AV995" s="105" t="s">
        <v>675</v>
      </c>
      <c r="AW995" s="23"/>
      <c r="AX995" s="23">
        <v>1</v>
      </c>
      <c r="AY995" s="23"/>
      <c r="AZ995" s="23"/>
      <c r="BA995" s="23"/>
      <c r="BB995" s="23"/>
      <c r="BC995" s="223"/>
      <c r="BD995" s="223"/>
      <c r="BE995" s="223"/>
      <c r="BF995" s="270">
        <v>2017</v>
      </c>
      <c r="BG995" s="270"/>
      <c r="BH995" s="269"/>
      <c r="BI995" s="682" t="s">
        <v>2376</v>
      </c>
    </row>
    <row r="996" spans="1:61" s="204" customFormat="1" ht="24.75" customHeight="1">
      <c r="A996" s="160" t="s">
        <v>1</v>
      </c>
      <c r="B996" s="58" t="s">
        <v>320</v>
      </c>
      <c r="C996" s="122" t="s">
        <v>2368</v>
      </c>
      <c r="D996" s="33" t="s">
        <v>387</v>
      </c>
      <c r="E996" s="302"/>
      <c r="F996" s="33"/>
      <c r="G996" s="33"/>
      <c r="H996" s="30" t="s">
        <v>663</v>
      </c>
      <c r="I996" s="115" t="s">
        <v>2365</v>
      </c>
      <c r="J996" s="215" t="s">
        <v>2366</v>
      </c>
      <c r="K996" s="23"/>
      <c r="L996" s="23"/>
      <c r="M996" s="23">
        <v>1</v>
      </c>
      <c r="N996" s="23">
        <v>1</v>
      </c>
      <c r="O996" s="23"/>
      <c r="P996" s="23">
        <v>47193370</v>
      </c>
      <c r="Q996" s="32"/>
      <c r="R996" s="324"/>
      <c r="S996" s="23"/>
      <c r="T996" s="23"/>
      <c r="U996" s="225">
        <v>47193370</v>
      </c>
      <c r="V996" s="23"/>
      <c r="W996" s="311"/>
      <c r="X996" s="311"/>
      <c r="Y996" s="311"/>
      <c r="Z996" s="94"/>
      <c r="AA996" s="23"/>
      <c r="AB996" s="23"/>
      <c r="AC996" s="23"/>
      <c r="AD996" s="23"/>
      <c r="AE996" s="158"/>
      <c r="AF996" s="158">
        <f>P996-U996-Z996</f>
        <v>0</v>
      </c>
      <c r="AG996" s="158"/>
      <c r="AH996" s="94">
        <v>0</v>
      </c>
      <c r="AI996" s="674">
        <v>0</v>
      </c>
      <c r="AJ996" s="94"/>
      <c r="AK996" s="176">
        <f t="shared" ref="AK996:AK997" si="241">P996-R996-U996-Z996</f>
        <v>0</v>
      </c>
      <c r="AL996" s="158"/>
      <c r="AM996" s="158"/>
      <c r="AN996" s="158"/>
      <c r="AO996" s="158"/>
      <c r="AP996" s="23">
        <v>1</v>
      </c>
      <c r="AQ996" s="23"/>
      <c r="AR996" s="23"/>
      <c r="AS996" s="23"/>
      <c r="AT996" s="2">
        <v>1</v>
      </c>
      <c r="AU996" s="58" t="s">
        <v>646</v>
      </c>
      <c r="AV996" s="386" t="s">
        <v>2367</v>
      </c>
      <c r="AW996" s="23"/>
      <c r="AX996" s="23"/>
      <c r="AY996" s="23"/>
      <c r="AZ996" s="23"/>
      <c r="BA996" s="671">
        <v>1</v>
      </c>
      <c r="BB996" s="23"/>
      <c r="BC996" s="223"/>
      <c r="BD996" s="223">
        <v>1</v>
      </c>
      <c r="BE996" s="223"/>
      <c r="BF996" s="271">
        <v>2020</v>
      </c>
      <c r="BG996" s="271">
        <v>2019</v>
      </c>
      <c r="BH996" s="271">
        <v>2020</v>
      </c>
      <c r="BI996" s="271" t="s">
        <v>2375</v>
      </c>
    </row>
    <row r="997" spans="1:61" s="204" customFormat="1" ht="27.75" customHeight="1">
      <c r="A997" s="160" t="s">
        <v>1</v>
      </c>
      <c r="B997" s="58" t="s">
        <v>320</v>
      </c>
      <c r="C997" s="122" t="s">
        <v>587</v>
      </c>
      <c r="D997" s="33" t="s">
        <v>387</v>
      </c>
      <c r="E997" s="88"/>
      <c r="F997" s="33"/>
      <c r="G997" s="33"/>
      <c r="H997" s="30" t="s">
        <v>663</v>
      </c>
      <c r="I997" s="30">
        <v>734</v>
      </c>
      <c r="J997" s="212">
        <v>41365</v>
      </c>
      <c r="K997" s="23"/>
      <c r="L997" s="23"/>
      <c r="M997" s="23">
        <v>1</v>
      </c>
      <c r="N997" s="23">
        <v>1</v>
      </c>
      <c r="O997" s="23"/>
      <c r="P997" s="158">
        <v>42424207</v>
      </c>
      <c r="Q997" s="158"/>
      <c r="R997" s="23"/>
      <c r="S997" s="23"/>
      <c r="T997" s="23"/>
      <c r="U997" s="225">
        <f>42417575+6632</f>
        <v>42424207</v>
      </c>
      <c r="V997" s="23"/>
      <c r="W997" s="481"/>
      <c r="X997" s="481"/>
      <c r="Y997" s="481"/>
      <c r="Z997" s="94"/>
      <c r="AA997" s="23"/>
      <c r="AB997" s="23"/>
      <c r="AC997" s="23"/>
      <c r="AD997" s="23"/>
      <c r="AE997" s="158"/>
      <c r="AF997" s="158">
        <f>P997-U997-Z997</f>
        <v>0</v>
      </c>
      <c r="AG997" s="158"/>
      <c r="AH997" s="94">
        <v>0</v>
      </c>
      <c r="AI997" s="94">
        <v>0</v>
      </c>
      <c r="AJ997" s="94"/>
      <c r="AK997" s="158">
        <f t="shared" si="241"/>
        <v>0</v>
      </c>
      <c r="AL997" s="158">
        <v>877</v>
      </c>
      <c r="AM997" s="158"/>
      <c r="AN997" s="158"/>
      <c r="AO997" s="158">
        <v>1</v>
      </c>
      <c r="AP997" s="23"/>
      <c r="AQ997" s="23"/>
      <c r="AR997" s="23"/>
      <c r="AS997" s="23"/>
      <c r="AT997" s="2">
        <v>0.45</v>
      </c>
      <c r="AU997" s="58" t="s">
        <v>38</v>
      </c>
      <c r="AV997" s="722" t="s">
        <v>2203</v>
      </c>
      <c r="AW997" s="23"/>
      <c r="AX997" s="23"/>
      <c r="AY997" s="50"/>
      <c r="AZ997" s="50"/>
      <c r="BA997" s="50"/>
      <c r="BB997" s="50"/>
      <c r="BC997" s="293"/>
      <c r="BD997" s="293"/>
      <c r="BE997" s="293"/>
      <c r="BF997" s="271"/>
      <c r="BG997" s="271">
        <v>2019</v>
      </c>
      <c r="BH997" s="271">
        <v>2020</v>
      </c>
      <c r="BI997" s="271" t="s">
        <v>2375</v>
      </c>
    </row>
    <row r="998" spans="1:61" ht="15" customHeight="1">
      <c r="A998" s="160" t="s">
        <v>1</v>
      </c>
      <c r="B998" s="58" t="s">
        <v>320</v>
      </c>
      <c r="C998" s="122" t="s">
        <v>633</v>
      </c>
      <c r="D998" s="33" t="s">
        <v>319</v>
      </c>
      <c r="E998" s="33"/>
      <c r="F998" s="33"/>
      <c r="G998" s="33"/>
      <c r="H998" s="30" t="s">
        <v>663</v>
      </c>
      <c r="I998" s="30"/>
      <c r="J998" s="212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25"/>
      <c r="V998" s="23"/>
      <c r="W998" s="311"/>
      <c r="X998" s="311"/>
      <c r="Y998" s="311"/>
      <c r="Z998" s="94"/>
      <c r="AA998" s="23"/>
      <c r="AB998" s="23"/>
      <c r="AC998" s="23"/>
      <c r="AD998" s="23"/>
      <c r="AE998" s="158"/>
      <c r="AF998" s="158"/>
      <c r="AG998" s="158"/>
      <c r="AH998" s="158"/>
      <c r="AI998" s="158"/>
      <c r="AJ998" s="158"/>
      <c r="AK998" s="158"/>
      <c r="AL998" s="158"/>
      <c r="AM998" s="158"/>
      <c r="AN998" s="158"/>
      <c r="AO998" s="158"/>
      <c r="AP998" s="50"/>
      <c r="AQ998" s="50"/>
      <c r="AR998" s="50"/>
      <c r="AS998" s="50"/>
      <c r="AT998" s="2">
        <v>1</v>
      </c>
      <c r="AU998" s="58" t="s">
        <v>646</v>
      </c>
      <c r="AV998" s="105" t="s">
        <v>1045</v>
      </c>
      <c r="AW998" s="23"/>
      <c r="AX998" s="23">
        <v>1</v>
      </c>
      <c r="AY998" s="50"/>
      <c r="AZ998" s="50"/>
      <c r="BA998" s="50"/>
      <c r="BB998" s="50"/>
      <c r="BC998" s="293"/>
      <c r="BD998" s="293"/>
      <c r="BE998" s="293"/>
      <c r="BF998" s="270">
        <v>2017</v>
      </c>
      <c r="BG998" s="270"/>
      <c r="BH998" s="268"/>
      <c r="BI998" s="682" t="s">
        <v>2376</v>
      </c>
    </row>
    <row r="999" spans="1:61" ht="15" customHeight="1">
      <c r="A999" s="160" t="s">
        <v>1</v>
      </c>
      <c r="B999" s="58" t="s">
        <v>320</v>
      </c>
      <c r="C999" s="122" t="s">
        <v>597</v>
      </c>
      <c r="D999" s="33" t="s">
        <v>519</v>
      </c>
      <c r="E999" s="33"/>
      <c r="F999" s="33"/>
      <c r="G999" s="33"/>
      <c r="H999" s="30" t="s">
        <v>647</v>
      </c>
      <c r="I999" s="30"/>
      <c r="J999" s="212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25"/>
      <c r="V999" s="23"/>
      <c r="W999" s="311"/>
      <c r="X999" s="311"/>
      <c r="Y999" s="311"/>
      <c r="Z999" s="94"/>
      <c r="AA999" s="23"/>
      <c r="AB999" s="23"/>
      <c r="AC999" s="23"/>
      <c r="AD999" s="23"/>
      <c r="AE999" s="158"/>
      <c r="AF999" s="158"/>
      <c r="AG999" s="158"/>
      <c r="AH999" s="158"/>
      <c r="AI999" s="158"/>
      <c r="AJ999" s="158"/>
      <c r="AK999" s="158"/>
      <c r="AL999" s="158"/>
      <c r="AM999" s="158"/>
      <c r="AN999" s="158"/>
      <c r="AO999" s="158"/>
      <c r="AP999" s="23"/>
      <c r="AQ999" s="23"/>
      <c r="AR999" s="23"/>
      <c r="AS999" s="23"/>
      <c r="AT999" s="2">
        <v>1</v>
      </c>
      <c r="AU999" s="58" t="s">
        <v>646</v>
      </c>
      <c r="AV999" s="105"/>
      <c r="AW999" s="23"/>
      <c r="AX999" s="23">
        <v>1</v>
      </c>
      <c r="AY999" s="23"/>
      <c r="AZ999" s="23"/>
      <c r="BA999" s="23"/>
      <c r="BB999" s="23"/>
      <c r="BC999" s="223"/>
      <c r="BD999" s="223"/>
      <c r="BE999" s="223"/>
      <c r="BF999" s="270">
        <v>2017</v>
      </c>
      <c r="BG999" s="270"/>
      <c r="BH999" s="268"/>
      <c r="BI999" s="682" t="s">
        <v>2376</v>
      </c>
    </row>
    <row r="1000" spans="1:61" ht="15" customHeight="1">
      <c r="A1000" s="160" t="s">
        <v>1</v>
      </c>
      <c r="B1000" s="58" t="s">
        <v>320</v>
      </c>
      <c r="C1000" s="122" t="s">
        <v>598</v>
      </c>
      <c r="D1000" s="33" t="s">
        <v>519</v>
      </c>
      <c r="E1000" s="33"/>
      <c r="F1000" s="33"/>
      <c r="G1000" s="33"/>
      <c r="H1000" s="30" t="s">
        <v>647</v>
      </c>
      <c r="I1000" s="30"/>
      <c r="J1000" s="212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25"/>
      <c r="V1000" s="23"/>
      <c r="W1000" s="311"/>
      <c r="X1000" s="311"/>
      <c r="Y1000" s="311"/>
      <c r="Z1000" s="94"/>
      <c r="AA1000" s="23"/>
      <c r="AB1000" s="23"/>
      <c r="AC1000" s="23"/>
      <c r="AD1000" s="23"/>
      <c r="AE1000" s="158"/>
      <c r="AF1000" s="158"/>
      <c r="AG1000" s="158"/>
      <c r="AH1000" s="158"/>
      <c r="AI1000" s="158"/>
      <c r="AJ1000" s="158"/>
      <c r="AK1000" s="158"/>
      <c r="AL1000" s="158"/>
      <c r="AM1000" s="158"/>
      <c r="AN1000" s="158"/>
      <c r="AO1000" s="158"/>
      <c r="AP1000" s="23"/>
      <c r="AQ1000" s="23"/>
      <c r="AR1000" s="23"/>
      <c r="AS1000" s="23"/>
      <c r="AT1000" s="2">
        <v>1</v>
      </c>
      <c r="AU1000" s="58" t="s">
        <v>646</v>
      </c>
      <c r="AV1000" s="105" t="s">
        <v>676</v>
      </c>
      <c r="AW1000" s="23"/>
      <c r="AX1000" s="23">
        <v>1</v>
      </c>
      <c r="AY1000" s="23"/>
      <c r="AZ1000" s="23"/>
      <c r="BA1000" s="23"/>
      <c r="BB1000" s="23"/>
      <c r="BC1000" s="223"/>
      <c r="BD1000" s="223"/>
      <c r="BE1000" s="223"/>
      <c r="BF1000" s="270">
        <v>2017</v>
      </c>
      <c r="BG1000" s="270"/>
      <c r="BH1000" s="268"/>
      <c r="BI1000" s="682" t="s">
        <v>2376</v>
      </c>
    </row>
    <row r="1001" spans="1:61" ht="15" customHeight="1">
      <c r="A1001" s="160" t="s">
        <v>1</v>
      </c>
      <c r="B1001" s="58" t="s">
        <v>320</v>
      </c>
      <c r="C1001" s="122" t="s">
        <v>599</v>
      </c>
      <c r="D1001" s="33" t="s">
        <v>519</v>
      </c>
      <c r="E1001" s="33"/>
      <c r="F1001" s="33"/>
      <c r="G1001" s="33"/>
      <c r="H1001" s="30" t="s">
        <v>686</v>
      </c>
      <c r="I1001" s="30"/>
      <c r="J1001" s="212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25"/>
      <c r="V1001" s="23"/>
      <c r="W1001" s="311"/>
      <c r="X1001" s="311"/>
      <c r="Y1001" s="311"/>
      <c r="Z1001" s="94"/>
      <c r="AA1001" s="23"/>
      <c r="AB1001" s="23"/>
      <c r="AC1001" s="23"/>
      <c r="AD1001" s="23"/>
      <c r="AE1001" s="158"/>
      <c r="AF1001" s="158"/>
      <c r="AG1001" s="158"/>
      <c r="AH1001" s="158"/>
      <c r="AI1001" s="158"/>
      <c r="AJ1001" s="158"/>
      <c r="AK1001" s="158"/>
      <c r="AL1001" s="158"/>
      <c r="AM1001" s="158"/>
      <c r="AN1001" s="158"/>
      <c r="AO1001" s="158"/>
      <c r="AP1001" s="23"/>
      <c r="AQ1001" s="23"/>
      <c r="AR1001" s="23"/>
      <c r="AS1001" s="23"/>
      <c r="AT1001" s="2">
        <v>1</v>
      </c>
      <c r="AU1001" s="58" t="s">
        <v>646</v>
      </c>
      <c r="AV1001" s="105"/>
      <c r="AW1001" s="23"/>
      <c r="AX1001" s="23">
        <v>1</v>
      </c>
      <c r="AY1001" s="23"/>
      <c r="AZ1001" s="23"/>
      <c r="BA1001" s="23"/>
      <c r="BB1001" s="23"/>
      <c r="BC1001" s="223"/>
      <c r="BD1001" s="223"/>
      <c r="BE1001" s="223"/>
      <c r="BF1001" s="270">
        <v>2017</v>
      </c>
      <c r="BG1001" s="270"/>
      <c r="BH1001" s="268"/>
      <c r="BI1001" s="682" t="s">
        <v>2376</v>
      </c>
    </row>
    <row r="1002" spans="1:61" ht="15" customHeight="1">
      <c r="A1002" s="160" t="s">
        <v>1</v>
      </c>
      <c r="B1002" s="58" t="s">
        <v>320</v>
      </c>
      <c r="C1002" s="122" t="s">
        <v>600</v>
      </c>
      <c r="D1002" s="33" t="s">
        <v>519</v>
      </c>
      <c r="E1002" s="33"/>
      <c r="F1002" s="33"/>
      <c r="G1002" s="33"/>
      <c r="H1002" s="30" t="s">
        <v>647</v>
      </c>
      <c r="I1002" s="30"/>
      <c r="J1002" s="212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25"/>
      <c r="V1002" s="23"/>
      <c r="W1002" s="311"/>
      <c r="X1002" s="311"/>
      <c r="Y1002" s="311"/>
      <c r="Z1002" s="94"/>
      <c r="AA1002" s="23"/>
      <c r="AB1002" s="23"/>
      <c r="AC1002" s="23"/>
      <c r="AD1002" s="23"/>
      <c r="AE1002" s="158"/>
      <c r="AF1002" s="158"/>
      <c r="AG1002" s="158"/>
      <c r="AH1002" s="158"/>
      <c r="AI1002" s="158"/>
      <c r="AJ1002" s="158"/>
      <c r="AK1002" s="158"/>
      <c r="AL1002" s="158"/>
      <c r="AM1002" s="158"/>
      <c r="AN1002" s="158"/>
      <c r="AO1002" s="158"/>
      <c r="AP1002" s="23"/>
      <c r="AQ1002" s="23"/>
      <c r="AR1002" s="23"/>
      <c r="AS1002" s="23"/>
      <c r="AT1002" s="2">
        <v>1</v>
      </c>
      <c r="AU1002" s="58" t="s">
        <v>646</v>
      </c>
      <c r="AV1002" s="105"/>
      <c r="AW1002" s="23"/>
      <c r="AX1002" s="23">
        <v>1</v>
      </c>
      <c r="AY1002" s="23"/>
      <c r="AZ1002" s="23"/>
      <c r="BA1002" s="23"/>
      <c r="BB1002" s="23"/>
      <c r="BC1002" s="223"/>
      <c r="BD1002" s="223"/>
      <c r="BE1002" s="223"/>
      <c r="BF1002" s="270">
        <v>2017</v>
      </c>
      <c r="BG1002" s="270"/>
      <c r="BH1002" s="268"/>
      <c r="BI1002" s="682" t="s">
        <v>2376</v>
      </c>
    </row>
    <row r="1003" spans="1:61" ht="15" customHeight="1">
      <c r="A1003" s="160" t="s">
        <v>1</v>
      </c>
      <c r="B1003" s="58" t="s">
        <v>320</v>
      </c>
      <c r="C1003" s="122" t="s">
        <v>601</v>
      </c>
      <c r="D1003" s="33" t="s">
        <v>519</v>
      </c>
      <c r="E1003" s="33"/>
      <c r="F1003" s="33"/>
      <c r="G1003" s="33"/>
      <c r="H1003" s="30" t="s">
        <v>647</v>
      </c>
      <c r="I1003" s="30"/>
      <c r="J1003" s="212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25"/>
      <c r="V1003" s="23"/>
      <c r="W1003" s="311"/>
      <c r="X1003" s="311"/>
      <c r="Y1003" s="311"/>
      <c r="Z1003" s="94"/>
      <c r="AA1003" s="23"/>
      <c r="AB1003" s="23"/>
      <c r="AC1003" s="23"/>
      <c r="AD1003" s="23"/>
      <c r="AE1003" s="158"/>
      <c r="AF1003" s="158"/>
      <c r="AG1003" s="158"/>
      <c r="AH1003" s="158"/>
      <c r="AI1003" s="158"/>
      <c r="AJ1003" s="158"/>
      <c r="AK1003" s="158"/>
      <c r="AL1003" s="158"/>
      <c r="AM1003" s="158"/>
      <c r="AN1003" s="158"/>
      <c r="AO1003" s="158"/>
      <c r="AP1003" s="23"/>
      <c r="AQ1003" s="23"/>
      <c r="AR1003" s="23"/>
      <c r="AS1003" s="23"/>
      <c r="AT1003" s="2">
        <v>1</v>
      </c>
      <c r="AU1003" s="58" t="s">
        <v>646</v>
      </c>
      <c r="AV1003" s="105"/>
      <c r="AW1003" s="23"/>
      <c r="AX1003" s="23">
        <v>1</v>
      </c>
      <c r="AY1003" s="23"/>
      <c r="AZ1003" s="23"/>
      <c r="BA1003" s="23"/>
      <c r="BB1003" s="23"/>
      <c r="BC1003" s="223"/>
      <c r="BD1003" s="223"/>
      <c r="BE1003" s="223"/>
      <c r="BF1003" s="270">
        <v>2017</v>
      </c>
      <c r="BG1003" s="270"/>
      <c r="BH1003" s="268"/>
      <c r="BI1003" s="682" t="s">
        <v>2376</v>
      </c>
    </row>
    <row r="1004" spans="1:61" ht="15" customHeight="1">
      <c r="A1004" s="160" t="s">
        <v>1</v>
      </c>
      <c r="B1004" s="58" t="s">
        <v>320</v>
      </c>
      <c r="C1004" s="122" t="s">
        <v>602</v>
      </c>
      <c r="D1004" s="33" t="s">
        <v>519</v>
      </c>
      <c r="E1004" s="33"/>
      <c r="F1004" s="33"/>
      <c r="G1004" s="33"/>
      <c r="H1004" s="30" t="s">
        <v>647</v>
      </c>
      <c r="I1004" s="30"/>
      <c r="J1004" s="212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25"/>
      <c r="V1004" s="23"/>
      <c r="W1004" s="311"/>
      <c r="X1004" s="311"/>
      <c r="Y1004" s="311"/>
      <c r="Z1004" s="94"/>
      <c r="AA1004" s="23"/>
      <c r="AB1004" s="23"/>
      <c r="AC1004" s="23"/>
      <c r="AD1004" s="23"/>
      <c r="AE1004" s="158"/>
      <c r="AF1004" s="158"/>
      <c r="AG1004" s="158"/>
      <c r="AH1004" s="158"/>
      <c r="AI1004" s="158"/>
      <c r="AJ1004" s="158"/>
      <c r="AK1004" s="158"/>
      <c r="AL1004" s="158"/>
      <c r="AM1004" s="158"/>
      <c r="AN1004" s="158"/>
      <c r="AO1004" s="158"/>
      <c r="AP1004" s="23"/>
      <c r="AQ1004" s="23"/>
      <c r="AR1004" s="23"/>
      <c r="AS1004" s="23"/>
      <c r="AT1004" s="2">
        <v>1</v>
      </c>
      <c r="AU1004" s="58" t="s">
        <v>646</v>
      </c>
      <c r="AV1004" s="105"/>
      <c r="AW1004" s="23"/>
      <c r="AX1004" s="23">
        <v>1</v>
      </c>
      <c r="AY1004" s="23"/>
      <c r="AZ1004" s="23"/>
      <c r="BA1004" s="23"/>
      <c r="BB1004" s="23"/>
      <c r="BC1004" s="223"/>
      <c r="BD1004" s="223"/>
      <c r="BE1004" s="223"/>
      <c r="BF1004" s="270">
        <v>2017</v>
      </c>
      <c r="BG1004" s="270"/>
      <c r="BH1004" s="268"/>
      <c r="BI1004" s="682" t="s">
        <v>2376</v>
      </c>
    </row>
    <row r="1005" spans="1:61" ht="15" customHeight="1">
      <c r="A1005" s="160" t="s">
        <v>1</v>
      </c>
      <c r="B1005" s="58" t="s">
        <v>320</v>
      </c>
      <c r="C1005" s="122" t="s">
        <v>603</v>
      </c>
      <c r="D1005" s="33" t="s">
        <v>519</v>
      </c>
      <c r="E1005" s="33"/>
      <c r="F1005" s="33"/>
      <c r="G1005" s="33"/>
      <c r="H1005" s="30" t="s">
        <v>647</v>
      </c>
      <c r="I1005" s="30"/>
      <c r="J1005" s="212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25"/>
      <c r="V1005" s="23"/>
      <c r="W1005" s="311"/>
      <c r="X1005" s="311"/>
      <c r="Y1005" s="311"/>
      <c r="Z1005" s="94"/>
      <c r="AA1005" s="23"/>
      <c r="AB1005" s="23"/>
      <c r="AC1005" s="23"/>
      <c r="AD1005" s="23"/>
      <c r="AE1005" s="158"/>
      <c r="AF1005" s="158"/>
      <c r="AG1005" s="158"/>
      <c r="AH1005" s="158"/>
      <c r="AI1005" s="158"/>
      <c r="AJ1005" s="158"/>
      <c r="AK1005" s="158"/>
      <c r="AL1005" s="158"/>
      <c r="AM1005" s="158"/>
      <c r="AN1005" s="158"/>
      <c r="AO1005" s="158"/>
      <c r="AP1005" s="23"/>
      <c r="AQ1005" s="23"/>
      <c r="AR1005" s="23"/>
      <c r="AS1005" s="23"/>
      <c r="AT1005" s="2">
        <v>1</v>
      </c>
      <c r="AU1005" s="58" t="s">
        <v>646</v>
      </c>
      <c r="AV1005" s="105"/>
      <c r="AW1005" s="23"/>
      <c r="AX1005" s="23">
        <v>1</v>
      </c>
      <c r="AY1005" s="23"/>
      <c r="AZ1005" s="23"/>
      <c r="BA1005" s="23"/>
      <c r="BB1005" s="23"/>
      <c r="BC1005" s="223"/>
      <c r="BD1005" s="223"/>
      <c r="BE1005" s="223"/>
      <c r="BF1005" s="270">
        <v>2017</v>
      </c>
      <c r="BG1005" s="270"/>
      <c r="BH1005" s="268"/>
      <c r="BI1005" s="682" t="s">
        <v>2376</v>
      </c>
    </row>
    <row r="1006" spans="1:61" ht="15" customHeight="1">
      <c r="A1006" s="160" t="s">
        <v>1</v>
      </c>
      <c r="B1006" s="58" t="s">
        <v>320</v>
      </c>
      <c r="C1006" s="122" t="s">
        <v>604</v>
      </c>
      <c r="D1006" s="33" t="s">
        <v>519</v>
      </c>
      <c r="E1006" s="33"/>
      <c r="F1006" s="33"/>
      <c r="G1006" s="33"/>
      <c r="H1006" s="30" t="s">
        <v>647</v>
      </c>
      <c r="I1006" s="30"/>
      <c r="J1006" s="212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25"/>
      <c r="V1006" s="23"/>
      <c r="W1006" s="311"/>
      <c r="X1006" s="311"/>
      <c r="Y1006" s="311"/>
      <c r="Z1006" s="94"/>
      <c r="AA1006" s="23"/>
      <c r="AB1006" s="23"/>
      <c r="AC1006" s="23"/>
      <c r="AD1006" s="23"/>
      <c r="AE1006" s="158"/>
      <c r="AF1006" s="158"/>
      <c r="AG1006" s="158"/>
      <c r="AH1006" s="158"/>
      <c r="AI1006" s="158"/>
      <c r="AJ1006" s="158"/>
      <c r="AK1006" s="158"/>
      <c r="AL1006" s="158"/>
      <c r="AM1006" s="158"/>
      <c r="AN1006" s="158"/>
      <c r="AO1006" s="158"/>
      <c r="AP1006" s="23"/>
      <c r="AQ1006" s="23"/>
      <c r="AR1006" s="23"/>
      <c r="AS1006" s="23"/>
      <c r="AT1006" s="2">
        <v>1</v>
      </c>
      <c r="AU1006" s="58" t="s">
        <v>646</v>
      </c>
      <c r="AV1006" s="105"/>
      <c r="AW1006" s="23"/>
      <c r="AX1006" s="23">
        <v>1</v>
      </c>
      <c r="AY1006" s="23"/>
      <c r="AZ1006" s="23"/>
      <c r="BA1006" s="23"/>
      <c r="BB1006" s="23"/>
      <c r="BC1006" s="223"/>
      <c r="BD1006" s="223"/>
      <c r="BE1006" s="223"/>
      <c r="BF1006" s="270">
        <v>2017</v>
      </c>
      <c r="BG1006" s="270"/>
      <c r="BH1006" s="268"/>
      <c r="BI1006" s="682" t="s">
        <v>2376</v>
      </c>
    </row>
    <row r="1007" spans="1:61" ht="15" customHeight="1">
      <c r="A1007" s="160" t="s">
        <v>1</v>
      </c>
      <c r="B1007" s="58" t="s">
        <v>320</v>
      </c>
      <c r="C1007" s="122" t="s">
        <v>605</v>
      </c>
      <c r="D1007" s="33" t="s">
        <v>519</v>
      </c>
      <c r="E1007" s="33"/>
      <c r="F1007" s="33"/>
      <c r="G1007" s="33"/>
      <c r="H1007" s="30" t="s">
        <v>647</v>
      </c>
      <c r="I1007" s="30"/>
      <c r="J1007" s="212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25"/>
      <c r="V1007" s="23"/>
      <c r="W1007" s="311"/>
      <c r="X1007" s="311"/>
      <c r="Y1007" s="311"/>
      <c r="Z1007" s="94"/>
      <c r="AA1007" s="23"/>
      <c r="AB1007" s="23"/>
      <c r="AC1007" s="23"/>
      <c r="AD1007" s="23"/>
      <c r="AE1007" s="158"/>
      <c r="AF1007" s="158"/>
      <c r="AG1007" s="158"/>
      <c r="AH1007" s="158"/>
      <c r="AI1007" s="158"/>
      <c r="AJ1007" s="158"/>
      <c r="AK1007" s="158"/>
      <c r="AL1007" s="158"/>
      <c r="AM1007" s="158"/>
      <c r="AN1007" s="158"/>
      <c r="AO1007" s="158"/>
      <c r="AP1007" s="23"/>
      <c r="AQ1007" s="23"/>
      <c r="AR1007" s="23"/>
      <c r="AS1007" s="23"/>
      <c r="AT1007" s="2">
        <v>1</v>
      </c>
      <c r="AU1007" s="58" t="s">
        <v>646</v>
      </c>
      <c r="AV1007" s="105"/>
      <c r="AW1007" s="23"/>
      <c r="AX1007" s="23">
        <v>1</v>
      </c>
      <c r="AY1007" s="23"/>
      <c r="AZ1007" s="23"/>
      <c r="BA1007" s="23"/>
      <c r="BB1007" s="23"/>
      <c r="BC1007" s="223"/>
      <c r="BD1007" s="223"/>
      <c r="BE1007" s="223"/>
      <c r="BF1007" s="270">
        <v>2017</v>
      </c>
      <c r="BG1007" s="270"/>
      <c r="BH1007" s="268"/>
      <c r="BI1007" s="682" t="s">
        <v>2376</v>
      </c>
    </row>
    <row r="1008" spans="1:61" ht="15" customHeight="1">
      <c r="A1008" s="160" t="s">
        <v>1</v>
      </c>
      <c r="B1008" s="58" t="s">
        <v>320</v>
      </c>
      <c r="C1008" s="122" t="s">
        <v>606</v>
      </c>
      <c r="D1008" s="33" t="s">
        <v>519</v>
      </c>
      <c r="E1008" s="33"/>
      <c r="F1008" s="33"/>
      <c r="G1008" s="33"/>
      <c r="H1008" s="30" t="s">
        <v>647</v>
      </c>
      <c r="I1008" s="30"/>
      <c r="J1008" s="212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25"/>
      <c r="V1008" s="23"/>
      <c r="W1008" s="311"/>
      <c r="X1008" s="311"/>
      <c r="Y1008" s="311"/>
      <c r="Z1008" s="94"/>
      <c r="AA1008" s="23"/>
      <c r="AB1008" s="23"/>
      <c r="AC1008" s="23"/>
      <c r="AD1008" s="23"/>
      <c r="AE1008" s="158"/>
      <c r="AF1008" s="158"/>
      <c r="AG1008" s="158"/>
      <c r="AH1008" s="158"/>
      <c r="AI1008" s="158"/>
      <c r="AJ1008" s="158"/>
      <c r="AK1008" s="158"/>
      <c r="AL1008" s="158"/>
      <c r="AM1008" s="158"/>
      <c r="AN1008" s="158"/>
      <c r="AO1008" s="158"/>
      <c r="AP1008" s="23"/>
      <c r="AQ1008" s="23"/>
      <c r="AR1008" s="23"/>
      <c r="AS1008" s="23"/>
      <c r="AT1008" s="2">
        <v>1</v>
      </c>
      <c r="AU1008" s="58" t="s">
        <v>646</v>
      </c>
      <c r="AV1008" s="105"/>
      <c r="AW1008" s="23"/>
      <c r="AX1008" s="23">
        <v>1</v>
      </c>
      <c r="AY1008" s="23"/>
      <c r="AZ1008" s="23"/>
      <c r="BA1008" s="23"/>
      <c r="BB1008" s="23"/>
      <c r="BC1008" s="223"/>
      <c r="BD1008" s="223"/>
      <c r="BE1008" s="223"/>
      <c r="BF1008" s="270">
        <v>2017</v>
      </c>
      <c r="BG1008" s="270"/>
      <c r="BH1008" s="268"/>
      <c r="BI1008" s="682" t="s">
        <v>2376</v>
      </c>
    </row>
    <row r="1009" spans="1:61" ht="15" customHeight="1">
      <c r="A1009" s="160" t="s">
        <v>1</v>
      </c>
      <c r="B1009" s="58" t="s">
        <v>320</v>
      </c>
      <c r="C1009" s="122" t="s">
        <v>607</v>
      </c>
      <c r="D1009" s="33" t="s">
        <v>519</v>
      </c>
      <c r="E1009" s="33"/>
      <c r="F1009" s="33"/>
      <c r="G1009" s="33"/>
      <c r="H1009" s="30" t="s">
        <v>647</v>
      </c>
      <c r="I1009" s="30"/>
      <c r="J1009" s="212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25"/>
      <c r="V1009" s="23"/>
      <c r="W1009" s="311"/>
      <c r="X1009" s="311"/>
      <c r="Y1009" s="311"/>
      <c r="Z1009" s="94"/>
      <c r="AA1009" s="23"/>
      <c r="AB1009" s="23"/>
      <c r="AC1009" s="23"/>
      <c r="AD1009" s="23"/>
      <c r="AE1009" s="158"/>
      <c r="AF1009" s="158"/>
      <c r="AG1009" s="158"/>
      <c r="AH1009" s="158"/>
      <c r="AI1009" s="158"/>
      <c r="AJ1009" s="158"/>
      <c r="AK1009" s="158"/>
      <c r="AL1009" s="158"/>
      <c r="AM1009" s="158"/>
      <c r="AN1009" s="158"/>
      <c r="AO1009" s="158"/>
      <c r="AP1009" s="23"/>
      <c r="AQ1009" s="23"/>
      <c r="AR1009" s="23"/>
      <c r="AS1009" s="23"/>
      <c r="AT1009" s="2">
        <v>1</v>
      </c>
      <c r="AU1009" s="58" t="s">
        <v>646</v>
      </c>
      <c r="AV1009" s="105"/>
      <c r="AW1009" s="23"/>
      <c r="AX1009" s="23">
        <v>1</v>
      </c>
      <c r="AY1009" s="23"/>
      <c r="AZ1009" s="23"/>
      <c r="BA1009" s="23"/>
      <c r="BB1009" s="23"/>
      <c r="BC1009" s="223"/>
      <c r="BD1009" s="223"/>
      <c r="BE1009" s="223"/>
      <c r="BF1009" s="270">
        <v>2017</v>
      </c>
      <c r="BG1009" s="270"/>
      <c r="BH1009" s="268"/>
      <c r="BI1009" s="682" t="s">
        <v>2376</v>
      </c>
    </row>
    <row r="1010" spans="1:61" ht="15" customHeight="1">
      <c r="A1010" s="160" t="s">
        <v>1</v>
      </c>
      <c r="B1010" s="58" t="s">
        <v>320</v>
      </c>
      <c r="C1010" s="122" t="s">
        <v>608</v>
      </c>
      <c r="D1010" s="33" t="s">
        <v>519</v>
      </c>
      <c r="E1010" s="33"/>
      <c r="F1010" s="33"/>
      <c r="G1010" s="33"/>
      <c r="H1010" s="30" t="s">
        <v>647</v>
      </c>
      <c r="I1010" s="30"/>
      <c r="J1010" s="212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25"/>
      <c r="V1010" s="23"/>
      <c r="W1010" s="311"/>
      <c r="X1010" s="311"/>
      <c r="Y1010" s="311"/>
      <c r="Z1010" s="94"/>
      <c r="AA1010" s="23"/>
      <c r="AB1010" s="23"/>
      <c r="AC1010" s="23"/>
      <c r="AD1010" s="23"/>
      <c r="AE1010" s="158"/>
      <c r="AF1010" s="158"/>
      <c r="AG1010" s="158"/>
      <c r="AH1010" s="158"/>
      <c r="AI1010" s="158"/>
      <c r="AJ1010" s="158"/>
      <c r="AK1010" s="158"/>
      <c r="AL1010" s="158"/>
      <c r="AM1010" s="158"/>
      <c r="AN1010" s="158"/>
      <c r="AO1010" s="158"/>
      <c r="AP1010" s="23"/>
      <c r="AQ1010" s="23"/>
      <c r="AR1010" s="23"/>
      <c r="AS1010" s="23"/>
      <c r="AT1010" s="2">
        <v>1</v>
      </c>
      <c r="AU1010" s="58" t="s">
        <v>646</v>
      </c>
      <c r="AV1010" s="105"/>
      <c r="AW1010" s="23"/>
      <c r="AX1010" s="23">
        <v>1</v>
      </c>
      <c r="AY1010" s="23"/>
      <c r="AZ1010" s="23"/>
      <c r="BA1010" s="23"/>
      <c r="BB1010" s="23"/>
      <c r="BC1010" s="223"/>
      <c r="BD1010" s="223"/>
      <c r="BE1010" s="223"/>
      <c r="BF1010" s="270">
        <v>2017</v>
      </c>
      <c r="BG1010" s="270"/>
      <c r="BH1010" s="268"/>
      <c r="BI1010" s="682" t="s">
        <v>2376</v>
      </c>
    </row>
    <row r="1011" spans="1:61" ht="15" customHeight="1">
      <c r="A1011" s="160" t="s">
        <v>1</v>
      </c>
      <c r="B1011" s="58" t="s">
        <v>320</v>
      </c>
      <c r="C1011" s="122" t="s">
        <v>609</v>
      </c>
      <c r="D1011" s="33" t="s">
        <v>387</v>
      </c>
      <c r="E1011" s="33"/>
      <c r="F1011" s="33"/>
      <c r="G1011" s="33"/>
      <c r="H1011" s="30" t="s">
        <v>647</v>
      </c>
      <c r="I1011" s="30"/>
      <c r="J1011" s="212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25"/>
      <c r="V1011" s="23"/>
      <c r="W1011" s="311"/>
      <c r="X1011" s="311"/>
      <c r="Y1011" s="311"/>
      <c r="Z1011" s="94"/>
      <c r="AA1011" s="23"/>
      <c r="AB1011" s="23"/>
      <c r="AC1011" s="23"/>
      <c r="AD1011" s="23"/>
      <c r="AE1011" s="158"/>
      <c r="AF1011" s="158"/>
      <c r="AG1011" s="158"/>
      <c r="AH1011" s="158"/>
      <c r="AI1011" s="158"/>
      <c r="AJ1011" s="158"/>
      <c r="AK1011" s="158"/>
      <c r="AL1011" s="158"/>
      <c r="AM1011" s="158"/>
      <c r="AN1011" s="158"/>
      <c r="AO1011" s="158"/>
      <c r="AP1011" s="23"/>
      <c r="AQ1011" s="23"/>
      <c r="AR1011" s="23"/>
      <c r="AS1011" s="23"/>
      <c r="AT1011" s="2">
        <v>1</v>
      </c>
      <c r="AU1011" s="58" t="s">
        <v>646</v>
      </c>
      <c r="AV1011" s="110" t="s">
        <v>700</v>
      </c>
      <c r="AW1011" s="23"/>
      <c r="AX1011" s="23">
        <v>1</v>
      </c>
      <c r="AY1011" s="23"/>
      <c r="AZ1011" s="23"/>
      <c r="BA1011" s="23"/>
      <c r="BB1011" s="23"/>
      <c r="BC1011" s="223"/>
      <c r="BD1011" s="223"/>
      <c r="BE1011" s="223"/>
      <c r="BF1011" s="270">
        <v>2017</v>
      </c>
      <c r="BG1011" s="270"/>
      <c r="BH1011" s="268"/>
      <c r="BI1011" s="682" t="s">
        <v>2376</v>
      </c>
    </row>
    <row r="1012" spans="1:61" ht="15" customHeight="1">
      <c r="A1012" s="160" t="s">
        <v>1</v>
      </c>
      <c r="B1012" s="58" t="s">
        <v>320</v>
      </c>
      <c r="C1012" s="122" t="s">
        <v>610</v>
      </c>
      <c r="D1012" s="33" t="s">
        <v>387</v>
      </c>
      <c r="E1012" s="33"/>
      <c r="F1012" s="33"/>
      <c r="G1012" s="33"/>
      <c r="H1012" s="30" t="s">
        <v>647</v>
      </c>
      <c r="I1012" s="30"/>
      <c r="J1012" s="212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25"/>
      <c r="V1012" s="23"/>
      <c r="W1012" s="311"/>
      <c r="X1012" s="311"/>
      <c r="Y1012" s="311"/>
      <c r="Z1012" s="94"/>
      <c r="AA1012" s="23"/>
      <c r="AB1012" s="23"/>
      <c r="AC1012" s="23"/>
      <c r="AD1012" s="23"/>
      <c r="AE1012" s="158"/>
      <c r="AF1012" s="158"/>
      <c r="AG1012" s="158"/>
      <c r="AH1012" s="158"/>
      <c r="AI1012" s="158"/>
      <c r="AJ1012" s="158"/>
      <c r="AK1012" s="158"/>
      <c r="AL1012" s="158"/>
      <c r="AM1012" s="158"/>
      <c r="AN1012" s="158"/>
      <c r="AO1012" s="158"/>
      <c r="AP1012" s="23"/>
      <c r="AQ1012" s="23"/>
      <c r="AR1012" s="23"/>
      <c r="AS1012" s="23"/>
      <c r="AT1012" s="2">
        <v>1</v>
      </c>
      <c r="AU1012" s="58" t="s">
        <v>646</v>
      </c>
      <c r="AV1012" s="105"/>
      <c r="AW1012" s="23"/>
      <c r="AX1012" s="23">
        <v>1</v>
      </c>
      <c r="AY1012" s="23"/>
      <c r="AZ1012" s="23"/>
      <c r="BA1012" s="23"/>
      <c r="BB1012" s="23"/>
      <c r="BC1012" s="223"/>
      <c r="BD1012" s="223"/>
      <c r="BE1012" s="223"/>
      <c r="BF1012" s="270">
        <v>2017</v>
      </c>
      <c r="BG1012" s="270"/>
      <c r="BH1012" s="268"/>
      <c r="BI1012" s="682" t="s">
        <v>2376</v>
      </c>
    </row>
    <row r="1013" spans="1:61" ht="15" customHeight="1">
      <c r="A1013" s="160" t="s">
        <v>1</v>
      </c>
      <c r="B1013" s="58" t="s">
        <v>320</v>
      </c>
      <c r="C1013" s="122" t="s">
        <v>611</v>
      </c>
      <c r="D1013" s="33" t="s">
        <v>588</v>
      </c>
      <c r="E1013" s="33"/>
      <c r="F1013" s="33"/>
      <c r="G1013" s="33"/>
      <c r="H1013" s="30" t="s">
        <v>647</v>
      </c>
      <c r="I1013" s="30"/>
      <c r="J1013" s="212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25"/>
      <c r="V1013" s="23"/>
      <c r="W1013" s="311"/>
      <c r="X1013" s="311"/>
      <c r="Y1013" s="311"/>
      <c r="Z1013" s="94"/>
      <c r="AA1013" s="23"/>
      <c r="AB1013" s="23"/>
      <c r="AC1013" s="23"/>
      <c r="AD1013" s="23"/>
      <c r="AE1013" s="158"/>
      <c r="AF1013" s="158"/>
      <c r="AG1013" s="158"/>
      <c r="AH1013" s="158"/>
      <c r="AI1013" s="158"/>
      <c r="AJ1013" s="158"/>
      <c r="AK1013" s="158"/>
      <c r="AL1013" s="158"/>
      <c r="AM1013" s="158"/>
      <c r="AN1013" s="158"/>
      <c r="AO1013" s="158"/>
      <c r="AP1013" s="23"/>
      <c r="AQ1013" s="23"/>
      <c r="AR1013" s="23"/>
      <c r="AS1013" s="23"/>
      <c r="AT1013" s="2">
        <v>1</v>
      </c>
      <c r="AU1013" s="58" t="s">
        <v>646</v>
      </c>
      <c r="AV1013" s="105"/>
      <c r="AW1013" s="23"/>
      <c r="AX1013" s="23">
        <v>1</v>
      </c>
      <c r="AY1013" s="23"/>
      <c r="AZ1013" s="23"/>
      <c r="BA1013" s="23"/>
      <c r="BB1013" s="23"/>
      <c r="BC1013" s="223"/>
      <c r="BD1013" s="223"/>
      <c r="BE1013" s="223"/>
      <c r="BF1013" s="270">
        <v>2017</v>
      </c>
      <c r="BG1013" s="270"/>
      <c r="BH1013" s="268"/>
      <c r="BI1013" s="682" t="s">
        <v>2376</v>
      </c>
    </row>
    <row r="1014" spans="1:61" ht="15" customHeight="1">
      <c r="A1014" s="160" t="s">
        <v>1</v>
      </c>
      <c r="B1014" s="58" t="s">
        <v>320</v>
      </c>
      <c r="C1014" s="122" t="s">
        <v>612</v>
      </c>
      <c r="D1014" s="33" t="s">
        <v>588</v>
      </c>
      <c r="E1014" s="33"/>
      <c r="F1014" s="33"/>
      <c r="G1014" s="33"/>
      <c r="H1014" s="30" t="s">
        <v>661</v>
      </c>
      <c r="I1014" s="30"/>
      <c r="J1014" s="212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25"/>
      <c r="V1014" s="23"/>
      <c r="W1014" s="311"/>
      <c r="X1014" s="311"/>
      <c r="Y1014" s="311"/>
      <c r="Z1014" s="94"/>
      <c r="AA1014" s="23"/>
      <c r="AB1014" s="23"/>
      <c r="AC1014" s="23"/>
      <c r="AD1014" s="23"/>
      <c r="AE1014" s="158"/>
      <c r="AF1014" s="158"/>
      <c r="AG1014" s="158"/>
      <c r="AH1014" s="158"/>
      <c r="AI1014" s="158"/>
      <c r="AJ1014" s="158"/>
      <c r="AK1014" s="158"/>
      <c r="AL1014" s="158"/>
      <c r="AM1014" s="158"/>
      <c r="AN1014" s="158"/>
      <c r="AO1014" s="158"/>
      <c r="AP1014" s="23"/>
      <c r="AQ1014" s="50"/>
      <c r="AR1014" s="50"/>
      <c r="AS1014" s="50"/>
      <c r="AT1014" s="2">
        <v>1</v>
      </c>
      <c r="AU1014" s="58" t="s">
        <v>646</v>
      </c>
      <c r="AV1014" s="105"/>
      <c r="AW1014" s="23"/>
      <c r="AX1014" s="50"/>
      <c r="AY1014" s="514">
        <v>1</v>
      </c>
      <c r="AZ1014" s="23"/>
      <c r="BA1014" s="23"/>
      <c r="BB1014" s="23">
        <v>1</v>
      </c>
      <c r="BC1014" s="223"/>
      <c r="BD1014" s="223"/>
      <c r="BE1014" s="223"/>
      <c r="BF1014" s="270">
        <v>2018</v>
      </c>
      <c r="BG1014" s="270"/>
      <c r="BH1014" s="268"/>
      <c r="BI1014" s="682" t="s">
        <v>2376</v>
      </c>
    </row>
    <row r="1015" spans="1:61" ht="15" customHeight="1">
      <c r="A1015" s="160" t="s">
        <v>1</v>
      </c>
      <c r="B1015" s="58" t="s">
        <v>320</v>
      </c>
      <c r="C1015" s="122" t="s">
        <v>613</v>
      </c>
      <c r="D1015" s="33" t="s">
        <v>387</v>
      </c>
      <c r="E1015" s="33"/>
      <c r="F1015" s="33"/>
      <c r="G1015" s="33"/>
      <c r="H1015" s="30" t="s">
        <v>647</v>
      </c>
      <c r="I1015" s="30"/>
      <c r="J1015" s="212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25"/>
      <c r="V1015" s="23"/>
      <c r="W1015" s="311"/>
      <c r="X1015" s="311"/>
      <c r="Y1015" s="311"/>
      <c r="Z1015" s="94"/>
      <c r="AA1015" s="23"/>
      <c r="AB1015" s="23"/>
      <c r="AC1015" s="23"/>
      <c r="AD1015" s="23"/>
      <c r="AE1015" s="158"/>
      <c r="AF1015" s="158"/>
      <c r="AG1015" s="158"/>
      <c r="AH1015" s="158"/>
      <c r="AI1015" s="158"/>
      <c r="AJ1015" s="158"/>
      <c r="AK1015" s="158"/>
      <c r="AL1015" s="158"/>
      <c r="AM1015" s="158"/>
      <c r="AN1015" s="158"/>
      <c r="AO1015" s="158"/>
      <c r="AP1015" s="23"/>
      <c r="AQ1015" s="23"/>
      <c r="AR1015" s="23"/>
      <c r="AS1015" s="23"/>
      <c r="AT1015" s="2">
        <v>1</v>
      </c>
      <c r="AU1015" s="58" t="s">
        <v>646</v>
      </c>
      <c r="AV1015" s="105" t="s">
        <v>706</v>
      </c>
      <c r="AW1015" s="23"/>
      <c r="AX1015" s="23">
        <v>1</v>
      </c>
      <c r="AY1015" s="23"/>
      <c r="AZ1015" s="23"/>
      <c r="BA1015" s="23"/>
      <c r="BB1015" s="23"/>
      <c r="BC1015" s="223"/>
      <c r="BD1015" s="223"/>
      <c r="BE1015" s="223"/>
      <c r="BF1015" s="270">
        <v>2017</v>
      </c>
      <c r="BG1015" s="270"/>
      <c r="BH1015" s="268"/>
      <c r="BI1015" s="682" t="s">
        <v>2376</v>
      </c>
    </row>
    <row r="1016" spans="1:61" ht="15" customHeight="1">
      <c r="A1016" s="160" t="s">
        <v>1</v>
      </c>
      <c r="B1016" s="58" t="s">
        <v>320</v>
      </c>
      <c r="C1016" s="122" t="s">
        <v>614</v>
      </c>
      <c r="D1016" s="33" t="s">
        <v>588</v>
      </c>
      <c r="E1016" s="33"/>
      <c r="F1016" s="33"/>
      <c r="G1016" s="33"/>
      <c r="H1016" s="30" t="s">
        <v>647</v>
      </c>
      <c r="I1016" s="30"/>
      <c r="J1016" s="212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25"/>
      <c r="V1016" s="23"/>
      <c r="W1016" s="311"/>
      <c r="X1016" s="311"/>
      <c r="Y1016" s="311"/>
      <c r="Z1016" s="94"/>
      <c r="AA1016" s="23"/>
      <c r="AB1016" s="23"/>
      <c r="AC1016" s="23"/>
      <c r="AD1016" s="23"/>
      <c r="AE1016" s="158"/>
      <c r="AF1016" s="158"/>
      <c r="AG1016" s="158"/>
      <c r="AH1016" s="158"/>
      <c r="AI1016" s="158"/>
      <c r="AJ1016" s="158"/>
      <c r="AK1016" s="158"/>
      <c r="AL1016" s="158"/>
      <c r="AM1016" s="158"/>
      <c r="AN1016" s="158"/>
      <c r="AO1016" s="158"/>
      <c r="AP1016" s="23"/>
      <c r="AQ1016" s="23"/>
      <c r="AR1016" s="23"/>
      <c r="AS1016" s="23"/>
      <c r="AT1016" s="2">
        <v>1</v>
      </c>
      <c r="AU1016" s="58" t="s">
        <v>646</v>
      </c>
      <c r="AV1016" s="105"/>
      <c r="AW1016" s="23"/>
      <c r="AX1016" s="23">
        <v>1</v>
      </c>
      <c r="AY1016" s="23"/>
      <c r="AZ1016" s="23"/>
      <c r="BA1016" s="23"/>
      <c r="BB1016" s="23"/>
      <c r="BC1016" s="223"/>
      <c r="BD1016" s="223"/>
      <c r="BE1016" s="223"/>
      <c r="BF1016" s="270">
        <v>2017</v>
      </c>
      <c r="BG1016" s="270"/>
      <c r="BH1016" s="268"/>
      <c r="BI1016" s="682" t="s">
        <v>2376</v>
      </c>
    </row>
    <row r="1017" spans="1:61" ht="15" customHeight="1">
      <c r="A1017" s="160" t="s">
        <v>1</v>
      </c>
      <c r="B1017" s="58" t="s">
        <v>320</v>
      </c>
      <c r="C1017" s="122" t="s">
        <v>615</v>
      </c>
      <c r="D1017" s="33" t="s">
        <v>519</v>
      </c>
      <c r="E1017" s="33"/>
      <c r="F1017" s="33"/>
      <c r="G1017" s="33"/>
      <c r="H1017" s="30" t="s">
        <v>647</v>
      </c>
      <c r="I1017" s="30"/>
      <c r="J1017" s="212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25"/>
      <c r="V1017" s="23"/>
      <c r="W1017" s="311"/>
      <c r="X1017" s="311"/>
      <c r="Y1017" s="311"/>
      <c r="Z1017" s="94"/>
      <c r="AA1017" s="23"/>
      <c r="AB1017" s="23"/>
      <c r="AC1017" s="23"/>
      <c r="AD1017" s="23"/>
      <c r="AE1017" s="158"/>
      <c r="AF1017" s="158"/>
      <c r="AG1017" s="158"/>
      <c r="AH1017" s="158"/>
      <c r="AI1017" s="158"/>
      <c r="AJ1017" s="158"/>
      <c r="AK1017" s="158"/>
      <c r="AL1017" s="158"/>
      <c r="AM1017" s="158"/>
      <c r="AN1017" s="158"/>
      <c r="AO1017" s="158"/>
      <c r="AP1017" s="23"/>
      <c r="AQ1017" s="23"/>
      <c r="AR1017" s="23"/>
      <c r="AS1017" s="23"/>
      <c r="AT1017" s="2">
        <v>1</v>
      </c>
      <c r="AU1017" s="58" t="s">
        <v>646</v>
      </c>
      <c r="AV1017" s="105"/>
      <c r="AW1017" s="23"/>
      <c r="AX1017" s="23">
        <v>1</v>
      </c>
      <c r="AY1017" s="23"/>
      <c r="AZ1017" s="23"/>
      <c r="BA1017" s="23"/>
      <c r="BB1017" s="23"/>
      <c r="BC1017" s="223"/>
      <c r="BD1017" s="223"/>
      <c r="BE1017" s="223"/>
      <c r="BF1017" s="270">
        <v>2017</v>
      </c>
      <c r="BG1017" s="270"/>
      <c r="BH1017" s="268"/>
      <c r="BI1017" s="682" t="s">
        <v>2376</v>
      </c>
    </row>
    <row r="1018" spans="1:61" ht="15" customHeight="1">
      <c r="A1018" s="160" t="s">
        <v>1</v>
      </c>
      <c r="B1018" s="58" t="s">
        <v>320</v>
      </c>
      <c r="C1018" s="122" t="s">
        <v>616</v>
      </c>
      <c r="D1018" s="33" t="s">
        <v>519</v>
      </c>
      <c r="E1018" s="33"/>
      <c r="F1018" s="33"/>
      <c r="G1018" s="33"/>
      <c r="H1018" s="30" t="s">
        <v>647</v>
      </c>
      <c r="I1018" s="30"/>
      <c r="J1018" s="212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25"/>
      <c r="V1018" s="23"/>
      <c r="W1018" s="311"/>
      <c r="X1018" s="311"/>
      <c r="Y1018" s="311"/>
      <c r="Z1018" s="94"/>
      <c r="AA1018" s="23"/>
      <c r="AB1018" s="23"/>
      <c r="AC1018" s="23"/>
      <c r="AD1018" s="23"/>
      <c r="AE1018" s="158"/>
      <c r="AF1018" s="158"/>
      <c r="AG1018" s="158"/>
      <c r="AH1018" s="158"/>
      <c r="AI1018" s="158"/>
      <c r="AJ1018" s="158"/>
      <c r="AK1018" s="158"/>
      <c r="AL1018" s="158"/>
      <c r="AM1018" s="158"/>
      <c r="AN1018" s="158"/>
      <c r="AO1018" s="158"/>
      <c r="AP1018" s="23"/>
      <c r="AQ1018" s="23"/>
      <c r="AR1018" s="23"/>
      <c r="AS1018" s="23"/>
      <c r="AT1018" s="2">
        <v>1</v>
      </c>
      <c r="AU1018" s="58" t="s">
        <v>646</v>
      </c>
      <c r="AV1018" s="105"/>
      <c r="AW1018" s="23"/>
      <c r="AX1018" s="23">
        <v>1</v>
      </c>
      <c r="AY1018" s="23"/>
      <c r="AZ1018" s="23"/>
      <c r="BA1018" s="23"/>
      <c r="BB1018" s="23"/>
      <c r="BC1018" s="223"/>
      <c r="BD1018" s="223"/>
      <c r="BE1018" s="223"/>
      <c r="BF1018" s="270">
        <v>2017</v>
      </c>
      <c r="BG1018" s="270"/>
      <c r="BH1018" s="268"/>
      <c r="BI1018" s="682" t="s">
        <v>2376</v>
      </c>
    </row>
    <row r="1019" spans="1:61" ht="15" customHeight="1">
      <c r="A1019" s="160" t="s">
        <v>1</v>
      </c>
      <c r="B1019" s="58" t="s">
        <v>320</v>
      </c>
      <c r="C1019" s="122" t="s">
        <v>617</v>
      </c>
      <c r="D1019" s="33" t="s">
        <v>519</v>
      </c>
      <c r="E1019" s="33"/>
      <c r="F1019" s="33"/>
      <c r="G1019" s="33"/>
      <c r="H1019" s="30" t="s">
        <v>647</v>
      </c>
      <c r="I1019" s="30"/>
      <c r="J1019" s="212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25"/>
      <c r="V1019" s="23"/>
      <c r="W1019" s="311"/>
      <c r="X1019" s="311"/>
      <c r="Y1019" s="311"/>
      <c r="Z1019" s="94"/>
      <c r="AA1019" s="23"/>
      <c r="AB1019" s="23"/>
      <c r="AC1019" s="23"/>
      <c r="AD1019" s="23"/>
      <c r="AE1019" s="158"/>
      <c r="AF1019" s="158"/>
      <c r="AG1019" s="158"/>
      <c r="AH1019" s="158"/>
      <c r="AI1019" s="158"/>
      <c r="AJ1019" s="158"/>
      <c r="AK1019" s="158"/>
      <c r="AL1019" s="158"/>
      <c r="AM1019" s="158"/>
      <c r="AN1019" s="158"/>
      <c r="AO1019" s="158"/>
      <c r="AP1019" s="23"/>
      <c r="AQ1019" s="23"/>
      <c r="AR1019" s="23"/>
      <c r="AS1019" s="23"/>
      <c r="AT1019" s="2">
        <v>1</v>
      </c>
      <c r="AU1019" s="58" t="s">
        <v>646</v>
      </c>
      <c r="AV1019" s="105"/>
      <c r="AW1019" s="23"/>
      <c r="AX1019" s="23">
        <v>1</v>
      </c>
      <c r="AY1019" s="23"/>
      <c r="AZ1019" s="23"/>
      <c r="BA1019" s="23"/>
      <c r="BB1019" s="23"/>
      <c r="BC1019" s="223"/>
      <c r="BD1019" s="223"/>
      <c r="BE1019" s="223"/>
      <c r="BF1019" s="270">
        <v>2017</v>
      </c>
      <c r="BG1019" s="270"/>
      <c r="BH1019" s="268"/>
      <c r="BI1019" s="682" t="s">
        <v>2376</v>
      </c>
    </row>
    <row r="1020" spans="1:61" ht="15" customHeight="1">
      <c r="A1020" s="160" t="s">
        <v>1</v>
      </c>
      <c r="B1020" s="58" t="s">
        <v>320</v>
      </c>
      <c r="C1020" s="122" t="s">
        <v>618</v>
      </c>
      <c r="D1020" s="33" t="s">
        <v>519</v>
      </c>
      <c r="E1020" s="33"/>
      <c r="F1020" s="33"/>
      <c r="G1020" s="33"/>
      <c r="H1020" s="30" t="s">
        <v>647</v>
      </c>
      <c r="I1020" s="30"/>
      <c r="J1020" s="212"/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25"/>
      <c r="V1020" s="23"/>
      <c r="W1020" s="311"/>
      <c r="X1020" s="311"/>
      <c r="Y1020" s="311"/>
      <c r="Z1020" s="94"/>
      <c r="AA1020" s="23"/>
      <c r="AB1020" s="23"/>
      <c r="AC1020" s="23"/>
      <c r="AD1020" s="23"/>
      <c r="AE1020" s="158"/>
      <c r="AF1020" s="158"/>
      <c r="AG1020" s="158"/>
      <c r="AH1020" s="158"/>
      <c r="AI1020" s="158"/>
      <c r="AJ1020" s="158"/>
      <c r="AK1020" s="158"/>
      <c r="AL1020" s="158"/>
      <c r="AM1020" s="158"/>
      <c r="AN1020" s="158"/>
      <c r="AO1020" s="158"/>
      <c r="AP1020" s="23"/>
      <c r="AQ1020" s="23"/>
      <c r="AR1020" s="23"/>
      <c r="AS1020" s="23"/>
      <c r="AT1020" s="2">
        <v>1</v>
      </c>
      <c r="AU1020" s="58" t="s">
        <v>646</v>
      </c>
      <c r="AV1020" s="105"/>
      <c r="AW1020" s="23"/>
      <c r="AX1020" s="23">
        <v>1</v>
      </c>
      <c r="AY1020" s="23"/>
      <c r="AZ1020" s="23"/>
      <c r="BA1020" s="23"/>
      <c r="BB1020" s="23"/>
      <c r="BC1020" s="223"/>
      <c r="BD1020" s="223"/>
      <c r="BE1020" s="223"/>
      <c r="BF1020" s="270">
        <v>2017</v>
      </c>
      <c r="BG1020" s="270"/>
      <c r="BH1020" s="268"/>
      <c r="BI1020" s="682" t="s">
        <v>2376</v>
      </c>
    </row>
    <row r="1021" spans="1:61" ht="15" customHeight="1">
      <c r="A1021" s="160" t="s">
        <v>1</v>
      </c>
      <c r="B1021" s="58" t="s">
        <v>320</v>
      </c>
      <c r="C1021" s="122" t="s">
        <v>619</v>
      </c>
      <c r="D1021" s="33" t="s">
        <v>519</v>
      </c>
      <c r="E1021" s="33"/>
      <c r="F1021" s="33"/>
      <c r="G1021" s="33"/>
      <c r="H1021" s="30" t="s">
        <v>647</v>
      </c>
      <c r="I1021" s="30"/>
      <c r="J1021" s="212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25"/>
      <c r="V1021" s="23"/>
      <c r="W1021" s="311"/>
      <c r="X1021" s="311"/>
      <c r="Y1021" s="311"/>
      <c r="Z1021" s="94"/>
      <c r="AA1021" s="23"/>
      <c r="AB1021" s="23"/>
      <c r="AC1021" s="23"/>
      <c r="AD1021" s="23"/>
      <c r="AE1021" s="158"/>
      <c r="AF1021" s="158"/>
      <c r="AG1021" s="158"/>
      <c r="AH1021" s="158"/>
      <c r="AI1021" s="158"/>
      <c r="AJ1021" s="158"/>
      <c r="AK1021" s="158"/>
      <c r="AL1021" s="158"/>
      <c r="AM1021" s="158"/>
      <c r="AN1021" s="158"/>
      <c r="AO1021" s="158"/>
      <c r="AP1021" s="23"/>
      <c r="AQ1021" s="23"/>
      <c r="AR1021" s="23"/>
      <c r="AS1021" s="23"/>
      <c r="AT1021" s="2">
        <v>1</v>
      </c>
      <c r="AU1021" s="58" t="s">
        <v>646</v>
      </c>
      <c r="AV1021" s="105"/>
      <c r="AW1021" s="23"/>
      <c r="AX1021" s="23">
        <v>1</v>
      </c>
      <c r="AY1021" s="23"/>
      <c r="AZ1021" s="23"/>
      <c r="BA1021" s="23"/>
      <c r="BB1021" s="23"/>
      <c r="BC1021" s="223"/>
      <c r="BD1021" s="223"/>
      <c r="BE1021" s="223"/>
      <c r="BF1021" s="270">
        <v>2017</v>
      </c>
      <c r="BG1021" s="270"/>
      <c r="BH1021" s="268"/>
      <c r="BI1021" s="682" t="s">
        <v>2376</v>
      </c>
    </row>
    <row r="1022" spans="1:61" ht="15" customHeight="1">
      <c r="A1022" s="160" t="s">
        <v>1</v>
      </c>
      <c r="B1022" s="58" t="s">
        <v>320</v>
      </c>
      <c r="C1022" s="122" t="s">
        <v>620</v>
      </c>
      <c r="D1022" s="33" t="s">
        <v>519</v>
      </c>
      <c r="E1022" s="33"/>
      <c r="F1022" s="33"/>
      <c r="G1022" s="33"/>
      <c r="H1022" s="30" t="s">
        <v>647</v>
      </c>
      <c r="I1022" s="30"/>
      <c r="J1022" s="212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25"/>
      <c r="V1022" s="23"/>
      <c r="W1022" s="311"/>
      <c r="X1022" s="311"/>
      <c r="Y1022" s="311"/>
      <c r="Z1022" s="94"/>
      <c r="AA1022" s="23"/>
      <c r="AB1022" s="23"/>
      <c r="AC1022" s="23"/>
      <c r="AD1022" s="23"/>
      <c r="AE1022" s="158"/>
      <c r="AF1022" s="158"/>
      <c r="AG1022" s="158"/>
      <c r="AH1022" s="158"/>
      <c r="AI1022" s="158"/>
      <c r="AJ1022" s="158"/>
      <c r="AK1022" s="158"/>
      <c r="AL1022" s="158"/>
      <c r="AM1022" s="158"/>
      <c r="AN1022" s="158"/>
      <c r="AO1022" s="158"/>
      <c r="AP1022" s="23"/>
      <c r="AQ1022" s="23"/>
      <c r="AR1022" s="23"/>
      <c r="AS1022" s="23"/>
      <c r="AT1022" s="2">
        <v>1</v>
      </c>
      <c r="AU1022" s="58" t="s">
        <v>646</v>
      </c>
      <c r="AV1022" s="105"/>
      <c r="AW1022" s="23"/>
      <c r="AX1022" s="23">
        <v>1</v>
      </c>
      <c r="AY1022" s="23"/>
      <c r="AZ1022" s="23"/>
      <c r="BA1022" s="23"/>
      <c r="BB1022" s="23"/>
      <c r="BC1022" s="223"/>
      <c r="BD1022" s="223"/>
      <c r="BE1022" s="223"/>
      <c r="BF1022" s="270">
        <v>2017</v>
      </c>
      <c r="BG1022" s="270"/>
      <c r="BH1022" s="268"/>
      <c r="BI1022" s="682" t="s">
        <v>2376</v>
      </c>
    </row>
    <row r="1023" spans="1:61" ht="15" customHeight="1">
      <c r="A1023" s="160" t="s">
        <v>1</v>
      </c>
      <c r="B1023" s="58" t="s">
        <v>320</v>
      </c>
      <c r="C1023" s="122" t="s">
        <v>621</v>
      </c>
      <c r="D1023" s="33" t="s">
        <v>519</v>
      </c>
      <c r="E1023" s="33"/>
      <c r="F1023" s="33"/>
      <c r="G1023" s="33"/>
      <c r="H1023" s="30" t="s">
        <v>647</v>
      </c>
      <c r="I1023" s="30"/>
      <c r="J1023" s="212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25"/>
      <c r="V1023" s="23"/>
      <c r="W1023" s="311"/>
      <c r="X1023" s="311"/>
      <c r="Y1023" s="311"/>
      <c r="Z1023" s="94"/>
      <c r="AA1023" s="23"/>
      <c r="AB1023" s="23"/>
      <c r="AC1023" s="23"/>
      <c r="AD1023" s="23"/>
      <c r="AE1023" s="158"/>
      <c r="AF1023" s="158"/>
      <c r="AG1023" s="158"/>
      <c r="AH1023" s="158"/>
      <c r="AI1023" s="158"/>
      <c r="AJ1023" s="158"/>
      <c r="AK1023" s="158"/>
      <c r="AL1023" s="158"/>
      <c r="AM1023" s="158"/>
      <c r="AN1023" s="158"/>
      <c r="AO1023" s="158"/>
      <c r="AP1023" s="23"/>
      <c r="AQ1023" s="23"/>
      <c r="AR1023" s="23"/>
      <c r="AS1023" s="23"/>
      <c r="AT1023" s="2">
        <v>1</v>
      </c>
      <c r="AU1023" s="58" t="s">
        <v>646</v>
      </c>
      <c r="AV1023" s="105"/>
      <c r="AW1023" s="23"/>
      <c r="AX1023" s="23">
        <v>1</v>
      </c>
      <c r="AY1023" s="23"/>
      <c r="AZ1023" s="23"/>
      <c r="BA1023" s="23"/>
      <c r="BB1023" s="23"/>
      <c r="BC1023" s="223"/>
      <c r="BD1023" s="223"/>
      <c r="BE1023" s="223"/>
      <c r="BF1023" s="270">
        <v>2017</v>
      </c>
      <c r="BG1023" s="270"/>
      <c r="BH1023" s="268"/>
      <c r="BI1023" s="682" t="s">
        <v>2376</v>
      </c>
    </row>
    <row r="1024" spans="1:61" ht="15" customHeight="1">
      <c r="A1024" s="160" t="s">
        <v>1</v>
      </c>
      <c r="B1024" s="58" t="s">
        <v>320</v>
      </c>
      <c r="C1024" s="122" t="s">
        <v>622</v>
      </c>
      <c r="D1024" s="33" t="s">
        <v>519</v>
      </c>
      <c r="E1024" s="33"/>
      <c r="F1024" s="33"/>
      <c r="G1024" s="33"/>
      <c r="H1024" s="30" t="s">
        <v>647</v>
      </c>
      <c r="I1024" s="30"/>
      <c r="J1024" s="212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25"/>
      <c r="V1024" s="23"/>
      <c r="W1024" s="311"/>
      <c r="X1024" s="311"/>
      <c r="Y1024" s="311"/>
      <c r="Z1024" s="94"/>
      <c r="AA1024" s="23"/>
      <c r="AB1024" s="23"/>
      <c r="AC1024" s="23"/>
      <c r="AD1024" s="23"/>
      <c r="AE1024" s="158"/>
      <c r="AF1024" s="158"/>
      <c r="AG1024" s="158"/>
      <c r="AH1024" s="158"/>
      <c r="AI1024" s="158"/>
      <c r="AJ1024" s="158"/>
      <c r="AK1024" s="158"/>
      <c r="AL1024" s="158"/>
      <c r="AM1024" s="158"/>
      <c r="AN1024" s="158"/>
      <c r="AO1024" s="158"/>
      <c r="AP1024" s="23"/>
      <c r="AQ1024" s="23"/>
      <c r="AR1024" s="23"/>
      <c r="AS1024" s="23"/>
      <c r="AT1024" s="2">
        <v>1</v>
      </c>
      <c r="AU1024" s="58" t="s">
        <v>646</v>
      </c>
      <c r="AV1024" s="105"/>
      <c r="AW1024" s="23"/>
      <c r="AX1024" s="23">
        <v>1</v>
      </c>
      <c r="AY1024" s="23"/>
      <c r="AZ1024" s="23"/>
      <c r="BA1024" s="23"/>
      <c r="BB1024" s="23"/>
      <c r="BC1024" s="223"/>
      <c r="BD1024" s="223"/>
      <c r="BE1024" s="223"/>
      <c r="BF1024" s="270">
        <v>2017</v>
      </c>
      <c r="BG1024" s="270"/>
      <c r="BH1024" s="268"/>
      <c r="BI1024" s="682" t="s">
        <v>2376</v>
      </c>
    </row>
    <row r="1025" spans="1:61" s="204" customFormat="1" ht="18" customHeight="1">
      <c r="A1025" s="160" t="s">
        <v>1</v>
      </c>
      <c r="B1025" s="58" t="s">
        <v>320</v>
      </c>
      <c r="C1025" s="122" t="s">
        <v>1219</v>
      </c>
      <c r="D1025" s="33" t="s">
        <v>387</v>
      </c>
      <c r="E1025" s="33"/>
      <c r="F1025" s="33"/>
      <c r="G1025" s="33"/>
      <c r="H1025" s="30" t="s">
        <v>647</v>
      </c>
      <c r="I1025" s="30">
        <v>1188</v>
      </c>
      <c r="J1025" s="212">
        <v>41740</v>
      </c>
      <c r="K1025" s="23"/>
      <c r="L1025" s="23"/>
      <c r="M1025" s="23">
        <v>1</v>
      </c>
      <c r="N1025" s="23">
        <v>1</v>
      </c>
      <c r="O1025" s="23"/>
      <c r="P1025" s="23">
        <v>56837553</v>
      </c>
      <c r="Q1025" s="23"/>
      <c r="R1025" s="23"/>
      <c r="S1025" s="23"/>
      <c r="T1025" s="23"/>
      <c r="U1025" s="225">
        <v>25576899</v>
      </c>
      <c r="V1025" s="23">
        <v>20</v>
      </c>
      <c r="W1025" s="311"/>
      <c r="X1025" s="311"/>
      <c r="Y1025" s="311"/>
      <c r="Z1025" s="23">
        <v>31260654</v>
      </c>
      <c r="AA1025" s="23">
        <v>10</v>
      </c>
      <c r="AB1025" s="311">
        <v>43497</v>
      </c>
      <c r="AC1025" s="311"/>
      <c r="AD1025" s="23"/>
      <c r="AE1025" s="158"/>
      <c r="AF1025" s="158">
        <f>P1025-U1025-Z1025</f>
        <v>0</v>
      </c>
      <c r="AG1025" s="158"/>
      <c r="AH1025" s="94">
        <v>0</v>
      </c>
      <c r="AI1025" s="94">
        <v>0</v>
      </c>
      <c r="AJ1025" s="94"/>
      <c r="AK1025" s="158">
        <f>P1025-R1025-U1025-Z1025</f>
        <v>0</v>
      </c>
      <c r="AL1025" s="158">
        <v>877</v>
      </c>
      <c r="AM1025" s="158">
        <v>10</v>
      </c>
      <c r="AN1025" s="158"/>
      <c r="AO1025" s="158">
        <v>1</v>
      </c>
      <c r="AP1025" s="23"/>
      <c r="AQ1025" s="23"/>
      <c r="AR1025" s="23"/>
      <c r="AS1025" s="23"/>
      <c r="AT1025" s="2">
        <v>0.45</v>
      </c>
      <c r="AU1025" s="58" t="s">
        <v>38</v>
      </c>
      <c r="AV1025" s="386"/>
      <c r="AW1025" s="23"/>
      <c r="AX1025" s="23"/>
      <c r="AY1025" s="23"/>
      <c r="AZ1025" s="23"/>
      <c r="BA1025" s="23"/>
      <c r="BB1025" s="23"/>
      <c r="BC1025" s="223"/>
      <c r="BD1025" s="223"/>
      <c r="BE1025" s="223"/>
      <c r="BF1025" s="271"/>
      <c r="BG1025" s="271">
        <v>2019</v>
      </c>
      <c r="BH1025" s="430">
        <v>2020</v>
      </c>
      <c r="BI1025" s="271" t="s">
        <v>2375</v>
      </c>
    </row>
    <row r="1026" spans="1:61" ht="15" customHeight="1">
      <c r="A1026" s="160" t="s">
        <v>1</v>
      </c>
      <c r="B1026" s="58" t="s">
        <v>320</v>
      </c>
      <c r="C1026" s="58" t="s">
        <v>623</v>
      </c>
      <c r="D1026" s="33" t="s">
        <v>387</v>
      </c>
      <c r="E1026" s="33"/>
      <c r="F1026" s="33"/>
      <c r="G1026" s="33"/>
      <c r="H1026" s="30" t="s">
        <v>647</v>
      </c>
      <c r="I1026" s="30"/>
      <c r="J1026" s="212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25"/>
      <c r="V1026" s="23"/>
      <c r="W1026" s="311"/>
      <c r="X1026" s="311"/>
      <c r="Y1026" s="311"/>
      <c r="Z1026" s="23"/>
      <c r="AA1026" s="23"/>
      <c r="AB1026" s="23"/>
      <c r="AC1026" s="23"/>
      <c r="AD1026" s="23"/>
      <c r="AE1026" s="158"/>
      <c r="AF1026" s="158"/>
      <c r="AG1026" s="158"/>
      <c r="AH1026" s="158"/>
      <c r="AI1026" s="158"/>
      <c r="AJ1026" s="158"/>
      <c r="AK1026" s="158"/>
      <c r="AL1026" s="158"/>
      <c r="AM1026" s="158"/>
      <c r="AN1026" s="158"/>
      <c r="AO1026" s="158"/>
      <c r="AP1026" s="23"/>
      <c r="AQ1026" s="23"/>
      <c r="AR1026" s="23"/>
      <c r="AS1026" s="23"/>
      <c r="AT1026" s="2">
        <v>1</v>
      </c>
      <c r="AU1026" s="58" t="s">
        <v>646</v>
      </c>
      <c r="AV1026" s="105" t="s">
        <v>677</v>
      </c>
      <c r="AW1026" s="23"/>
      <c r="AX1026" s="23"/>
      <c r="AY1026" s="514">
        <v>1</v>
      </c>
      <c r="AZ1026" s="23"/>
      <c r="BA1026" s="23"/>
      <c r="BB1026" s="23">
        <v>1</v>
      </c>
      <c r="BC1026" s="223"/>
      <c r="BD1026" s="223"/>
      <c r="BE1026" s="223"/>
      <c r="BF1026" s="270">
        <v>2018</v>
      </c>
      <c r="BG1026" s="270"/>
      <c r="BH1026" s="268"/>
      <c r="BI1026" s="682" t="s">
        <v>2376</v>
      </c>
    </row>
    <row r="1027" spans="1:61" ht="18" customHeight="1">
      <c r="A1027" s="160" t="s">
        <v>1</v>
      </c>
      <c r="B1027" s="58" t="s">
        <v>320</v>
      </c>
      <c r="C1027" s="122" t="s">
        <v>624</v>
      </c>
      <c r="D1027" s="33" t="s">
        <v>387</v>
      </c>
      <c r="E1027" s="33"/>
      <c r="F1027" s="33"/>
      <c r="G1027" s="33"/>
      <c r="H1027" s="30" t="s">
        <v>655</v>
      </c>
      <c r="I1027" s="30">
        <v>1237</v>
      </c>
      <c r="J1027" s="212">
        <v>42906</v>
      </c>
      <c r="K1027" s="23"/>
      <c r="L1027" s="23">
        <v>1</v>
      </c>
      <c r="M1027" s="23"/>
      <c r="N1027" s="23"/>
      <c r="O1027" s="23"/>
      <c r="P1027" s="23">
        <v>51670509</v>
      </c>
      <c r="Q1027" s="23"/>
      <c r="R1027" s="23"/>
      <c r="S1027" s="23"/>
      <c r="T1027" s="23"/>
      <c r="U1027" s="225">
        <v>23251729</v>
      </c>
      <c r="V1027" s="23"/>
      <c r="W1027" s="311"/>
      <c r="X1027" s="311"/>
      <c r="Y1027" s="311"/>
      <c r="Z1027" s="23">
        <v>28418780</v>
      </c>
      <c r="AA1027" s="23"/>
      <c r="AB1027" s="23"/>
      <c r="AC1027" s="23"/>
      <c r="AD1027" s="23"/>
      <c r="AE1027" s="158"/>
      <c r="AF1027" s="158">
        <f>P1027-U1027-Z1027</f>
        <v>0</v>
      </c>
      <c r="AG1027" s="158"/>
      <c r="AH1027" s="94">
        <v>0</v>
      </c>
      <c r="AI1027" s="94">
        <v>0</v>
      </c>
      <c r="AJ1027" s="94"/>
      <c r="AK1027" s="158">
        <f t="shared" ref="AK1027" si="242">AF1027+AH1027</f>
        <v>0</v>
      </c>
      <c r="AL1027" s="158"/>
      <c r="AM1027" s="158"/>
      <c r="AN1027" s="158"/>
      <c r="AO1027" s="158"/>
      <c r="AP1027" s="23"/>
      <c r="AQ1027" s="23"/>
      <c r="AR1027" s="23"/>
      <c r="AS1027" s="23"/>
      <c r="AT1027" s="2">
        <v>1</v>
      </c>
      <c r="AU1027" s="58" t="s">
        <v>646</v>
      </c>
      <c r="AV1027" s="401" t="s">
        <v>1857</v>
      </c>
      <c r="AW1027" s="23"/>
      <c r="AX1027" s="23"/>
      <c r="AY1027" s="23"/>
      <c r="AZ1027" s="23">
        <v>1</v>
      </c>
      <c r="BA1027" s="23"/>
      <c r="BB1027" s="23"/>
      <c r="BC1027" s="223"/>
      <c r="BD1027" s="223">
        <v>1</v>
      </c>
      <c r="BE1027" s="223"/>
      <c r="BF1027" s="270">
        <v>2019</v>
      </c>
      <c r="BG1027" s="270">
        <v>2019</v>
      </c>
      <c r="BH1027" s="271"/>
      <c r="BI1027" s="271" t="s">
        <v>2375</v>
      </c>
    </row>
    <row r="1028" spans="1:61" ht="15" customHeight="1">
      <c r="A1028" s="160" t="s">
        <v>1</v>
      </c>
      <c r="B1028" s="58" t="s">
        <v>320</v>
      </c>
      <c r="C1028" s="122" t="s">
        <v>625</v>
      </c>
      <c r="D1028" s="33" t="s">
        <v>519</v>
      </c>
      <c r="E1028" s="33"/>
      <c r="F1028" s="33"/>
      <c r="G1028" s="33"/>
      <c r="H1028" s="30" t="s">
        <v>647</v>
      </c>
      <c r="I1028" s="30"/>
      <c r="J1028" s="212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25"/>
      <c r="V1028" s="23"/>
      <c r="W1028" s="311"/>
      <c r="X1028" s="311"/>
      <c r="Y1028" s="311"/>
      <c r="Z1028" s="23"/>
      <c r="AA1028" s="23"/>
      <c r="AB1028" s="23"/>
      <c r="AC1028" s="23"/>
      <c r="AD1028" s="23"/>
      <c r="AE1028" s="158"/>
      <c r="AF1028" s="158"/>
      <c r="AG1028" s="158"/>
      <c r="AH1028" s="158"/>
      <c r="AI1028" s="158"/>
      <c r="AJ1028" s="158"/>
      <c r="AK1028" s="158"/>
      <c r="AL1028" s="158"/>
      <c r="AM1028" s="158"/>
      <c r="AN1028" s="158"/>
      <c r="AO1028" s="158"/>
      <c r="AP1028" s="23"/>
      <c r="AQ1028" s="23"/>
      <c r="AR1028" s="23"/>
      <c r="AS1028" s="23"/>
      <c r="AT1028" s="2">
        <v>1</v>
      </c>
      <c r="AU1028" s="58" t="s">
        <v>646</v>
      </c>
      <c r="AV1028" s="105" t="s">
        <v>677</v>
      </c>
      <c r="AW1028" s="23"/>
      <c r="AX1028" s="23">
        <v>1</v>
      </c>
      <c r="AY1028" s="23"/>
      <c r="AZ1028" s="23"/>
      <c r="BA1028" s="23"/>
      <c r="BB1028" s="23"/>
      <c r="BC1028" s="223"/>
      <c r="BD1028" s="223"/>
      <c r="BE1028" s="223"/>
      <c r="BF1028" s="270">
        <v>2017</v>
      </c>
      <c r="BG1028" s="270"/>
      <c r="BH1028" s="268"/>
      <c r="BI1028" s="682" t="s">
        <v>2376</v>
      </c>
    </row>
    <row r="1029" spans="1:61" ht="18" customHeight="1">
      <c r="A1029" s="160" t="s">
        <v>1</v>
      </c>
      <c r="B1029" s="58" t="s">
        <v>320</v>
      </c>
      <c r="C1029" s="122" t="s">
        <v>626</v>
      </c>
      <c r="D1029" s="33" t="s">
        <v>387</v>
      </c>
      <c r="E1029" s="33"/>
      <c r="F1029" s="33"/>
      <c r="G1029" s="33"/>
      <c r="H1029" s="30" t="s">
        <v>647</v>
      </c>
      <c r="I1029" s="30">
        <v>747</v>
      </c>
      <c r="J1029" s="212">
        <v>41782</v>
      </c>
      <c r="K1029" s="23"/>
      <c r="L1029" s="23">
        <v>1</v>
      </c>
      <c r="M1029" s="23"/>
      <c r="N1029" s="23"/>
      <c r="O1029" s="23"/>
      <c r="P1029" s="23">
        <v>56747504</v>
      </c>
      <c r="Q1029" s="23"/>
      <c r="R1029" s="23"/>
      <c r="S1029" s="23"/>
      <c r="T1029" s="23"/>
      <c r="U1029" s="225">
        <v>25536377</v>
      </c>
      <c r="V1029" s="23"/>
      <c r="W1029" s="311"/>
      <c r="X1029" s="311"/>
      <c r="Y1029" s="311"/>
      <c r="Z1029" s="23">
        <v>31211127</v>
      </c>
      <c r="AA1029" s="23"/>
      <c r="AB1029" s="23"/>
      <c r="AC1029" s="23"/>
      <c r="AD1029" s="23"/>
      <c r="AE1029" s="158"/>
      <c r="AF1029" s="158">
        <f>P1029-U1029-Z1029</f>
        <v>0</v>
      </c>
      <c r="AG1029" s="158"/>
      <c r="AH1029" s="94">
        <v>0</v>
      </c>
      <c r="AI1029" s="94">
        <v>0</v>
      </c>
      <c r="AJ1029" s="94"/>
      <c r="AK1029" s="158">
        <f t="shared" ref="AK1029" si="243">AF1029+AH1029</f>
        <v>0</v>
      </c>
      <c r="AL1029" s="158"/>
      <c r="AM1029" s="158"/>
      <c r="AN1029" s="158"/>
      <c r="AO1029" s="158"/>
      <c r="AP1029" s="23"/>
      <c r="AQ1029" s="23"/>
      <c r="AR1029" s="23"/>
      <c r="AS1029" s="23"/>
      <c r="AT1029" s="2">
        <v>1</v>
      </c>
      <c r="AU1029" s="58" t="s">
        <v>646</v>
      </c>
      <c r="AV1029" s="388" t="s">
        <v>1864</v>
      </c>
      <c r="AW1029" s="23"/>
      <c r="AX1029" s="23"/>
      <c r="AY1029" s="23"/>
      <c r="AZ1029" s="23">
        <v>1</v>
      </c>
      <c r="BA1029" s="23"/>
      <c r="BB1029" s="23"/>
      <c r="BC1029" s="223"/>
      <c r="BD1029" s="223">
        <v>1</v>
      </c>
      <c r="BE1029" s="223"/>
      <c r="BF1029" s="270">
        <v>2019</v>
      </c>
      <c r="BG1029" s="270">
        <v>2019</v>
      </c>
      <c r="BH1029" s="271"/>
      <c r="BI1029" s="271" t="s">
        <v>2375</v>
      </c>
    </row>
    <row r="1030" spans="1:61" ht="15" customHeight="1">
      <c r="A1030" s="160" t="s">
        <v>1</v>
      </c>
      <c r="B1030" s="58" t="s">
        <v>320</v>
      </c>
      <c r="C1030" s="58" t="s">
        <v>627</v>
      </c>
      <c r="D1030" s="33" t="s">
        <v>387</v>
      </c>
      <c r="E1030" s="33"/>
      <c r="F1030" s="33"/>
      <c r="G1030" s="33"/>
      <c r="H1030" s="30" t="s">
        <v>647</v>
      </c>
      <c r="I1030" s="30"/>
      <c r="J1030" s="212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25"/>
      <c r="V1030" s="23"/>
      <c r="W1030" s="311"/>
      <c r="X1030" s="311"/>
      <c r="Y1030" s="311"/>
      <c r="Z1030" s="23"/>
      <c r="AA1030" s="23"/>
      <c r="AB1030" s="23"/>
      <c r="AC1030" s="23"/>
      <c r="AD1030" s="23"/>
      <c r="AE1030" s="158"/>
      <c r="AF1030" s="158"/>
      <c r="AG1030" s="158"/>
      <c r="AH1030" s="158"/>
      <c r="AI1030" s="158"/>
      <c r="AJ1030" s="158"/>
      <c r="AK1030" s="158"/>
      <c r="AL1030" s="158"/>
      <c r="AM1030" s="158"/>
      <c r="AN1030" s="158"/>
      <c r="AO1030" s="158"/>
      <c r="AP1030" s="23"/>
      <c r="AQ1030" s="23"/>
      <c r="AR1030" s="23"/>
      <c r="AS1030" s="23"/>
      <c r="AT1030" s="2">
        <v>1</v>
      </c>
      <c r="AU1030" s="58" t="s">
        <v>646</v>
      </c>
      <c r="AV1030" s="105"/>
      <c r="AW1030" s="23"/>
      <c r="AX1030" s="23"/>
      <c r="AY1030" s="514">
        <v>1</v>
      </c>
      <c r="AZ1030" s="23"/>
      <c r="BA1030" s="23"/>
      <c r="BB1030" s="23">
        <v>1</v>
      </c>
      <c r="BC1030" s="223"/>
      <c r="BD1030" s="223"/>
      <c r="BE1030" s="223"/>
      <c r="BF1030" s="270">
        <v>2018</v>
      </c>
      <c r="BG1030" s="270"/>
      <c r="BH1030" s="268"/>
      <c r="BI1030" s="682" t="s">
        <v>2376</v>
      </c>
    </row>
    <row r="1031" spans="1:61" ht="27" customHeight="1">
      <c r="A1031" s="160" t="s">
        <v>1</v>
      </c>
      <c r="B1031" s="58" t="s">
        <v>320</v>
      </c>
      <c r="C1031" s="122" t="s">
        <v>628</v>
      </c>
      <c r="D1031" s="33" t="s">
        <v>519</v>
      </c>
      <c r="E1031" s="33"/>
      <c r="F1031" s="33"/>
      <c r="G1031" s="33"/>
      <c r="H1031" s="30" t="s">
        <v>647</v>
      </c>
      <c r="I1031" s="30"/>
      <c r="J1031" s="212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25"/>
      <c r="V1031" s="23"/>
      <c r="W1031" s="311"/>
      <c r="X1031" s="311"/>
      <c r="Y1031" s="311"/>
      <c r="Z1031" s="23"/>
      <c r="AA1031" s="23"/>
      <c r="AB1031" s="23"/>
      <c r="AC1031" s="23"/>
      <c r="AD1031" s="23"/>
      <c r="AE1031" s="158"/>
      <c r="AF1031" s="158"/>
      <c r="AG1031" s="158"/>
      <c r="AH1031" s="158"/>
      <c r="AI1031" s="158"/>
      <c r="AJ1031" s="158"/>
      <c r="AK1031" s="158"/>
      <c r="AL1031" s="158"/>
      <c r="AM1031" s="158"/>
      <c r="AN1031" s="158"/>
      <c r="AO1031" s="158"/>
      <c r="AP1031" s="23"/>
      <c r="AQ1031" s="23"/>
      <c r="AR1031" s="23"/>
      <c r="AS1031" s="23"/>
      <c r="AT1031" s="2">
        <v>1</v>
      </c>
      <c r="AU1031" s="58" t="s">
        <v>646</v>
      </c>
      <c r="AV1031" s="154" t="s">
        <v>705</v>
      </c>
      <c r="AW1031" s="23"/>
      <c r="AX1031" s="23">
        <v>1</v>
      </c>
      <c r="AY1031" s="23"/>
      <c r="AZ1031" s="23"/>
      <c r="BA1031" s="23"/>
      <c r="BB1031" s="23"/>
      <c r="BC1031" s="223"/>
      <c r="BD1031" s="223"/>
      <c r="BE1031" s="223"/>
      <c r="BF1031" s="270">
        <v>2017</v>
      </c>
      <c r="BG1031" s="270"/>
      <c r="BH1031" s="268"/>
      <c r="BI1031" s="682" t="s">
        <v>2376</v>
      </c>
    </row>
    <row r="1032" spans="1:61" ht="15" customHeight="1">
      <c r="A1032" s="160" t="s">
        <v>1</v>
      </c>
      <c r="B1032" s="58" t="s">
        <v>320</v>
      </c>
      <c r="C1032" s="122" t="s">
        <v>707</v>
      </c>
      <c r="D1032" s="33" t="s">
        <v>588</v>
      </c>
      <c r="E1032" s="33"/>
      <c r="F1032" s="33"/>
      <c r="G1032" s="33"/>
      <c r="H1032" s="30" t="s">
        <v>661</v>
      </c>
      <c r="I1032" s="30"/>
      <c r="J1032" s="212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25"/>
      <c r="V1032" s="23"/>
      <c r="W1032" s="311"/>
      <c r="X1032" s="311"/>
      <c r="Y1032" s="311"/>
      <c r="Z1032" s="94"/>
      <c r="AA1032" s="23"/>
      <c r="AB1032" s="23"/>
      <c r="AC1032" s="23"/>
      <c r="AD1032" s="23"/>
      <c r="AE1032" s="158"/>
      <c r="AF1032" s="158"/>
      <c r="AG1032" s="158"/>
      <c r="AH1032" s="158"/>
      <c r="AI1032" s="158"/>
      <c r="AJ1032" s="158"/>
      <c r="AK1032" s="158"/>
      <c r="AL1032" s="158"/>
      <c r="AM1032" s="158"/>
      <c r="AN1032" s="158"/>
      <c r="AO1032" s="158"/>
      <c r="AP1032" s="50"/>
      <c r="AQ1032" s="50"/>
      <c r="AR1032" s="50"/>
      <c r="AS1032" s="50"/>
      <c r="AT1032" s="2">
        <v>1</v>
      </c>
      <c r="AU1032" s="58" t="s">
        <v>646</v>
      </c>
      <c r="AV1032" s="105"/>
      <c r="AW1032" s="23"/>
      <c r="AX1032" s="50">
        <v>1</v>
      </c>
      <c r="AY1032" s="50"/>
      <c r="AZ1032" s="50"/>
      <c r="BA1032" s="50"/>
      <c r="BB1032" s="50"/>
      <c r="BC1032" s="293"/>
      <c r="BD1032" s="293"/>
      <c r="BE1032" s="293"/>
      <c r="BF1032" s="270">
        <v>2017</v>
      </c>
      <c r="BG1032" s="270"/>
      <c r="BH1032" s="268"/>
      <c r="BI1032" s="682" t="s">
        <v>2376</v>
      </c>
    </row>
    <row r="1033" spans="1:61" ht="15" customHeight="1">
      <c r="A1033" s="160" t="s">
        <v>1</v>
      </c>
      <c r="B1033" s="58" t="s">
        <v>320</v>
      </c>
      <c r="C1033" s="122" t="s">
        <v>792</v>
      </c>
      <c r="D1033" s="33" t="s">
        <v>519</v>
      </c>
      <c r="E1033" s="33"/>
      <c r="F1033" s="33"/>
      <c r="G1033" s="33"/>
      <c r="H1033" s="30" t="s">
        <v>647</v>
      </c>
      <c r="I1033" s="30"/>
      <c r="J1033" s="212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25"/>
      <c r="V1033" s="23"/>
      <c r="W1033" s="311"/>
      <c r="X1033" s="311"/>
      <c r="Y1033" s="311"/>
      <c r="Z1033" s="94"/>
      <c r="AA1033" s="23"/>
      <c r="AB1033" s="23"/>
      <c r="AC1033" s="23"/>
      <c r="AD1033" s="23"/>
      <c r="AE1033" s="158"/>
      <c r="AF1033" s="158"/>
      <c r="AG1033" s="158"/>
      <c r="AH1033" s="158"/>
      <c r="AI1033" s="158"/>
      <c r="AJ1033" s="158"/>
      <c r="AK1033" s="158"/>
      <c r="AL1033" s="158"/>
      <c r="AM1033" s="158"/>
      <c r="AN1033" s="158"/>
      <c r="AO1033" s="158"/>
      <c r="AP1033" s="23"/>
      <c r="AQ1033" s="23"/>
      <c r="AR1033" s="23"/>
      <c r="AS1033" s="23"/>
      <c r="AT1033" s="2">
        <v>1</v>
      </c>
      <c r="AU1033" s="58" t="s">
        <v>646</v>
      </c>
      <c r="AV1033" s="105"/>
      <c r="AW1033" s="23"/>
      <c r="AX1033" s="23">
        <v>1</v>
      </c>
      <c r="AY1033" s="23"/>
      <c r="AZ1033" s="23"/>
      <c r="BA1033" s="23"/>
      <c r="BB1033" s="23"/>
      <c r="BC1033" s="223"/>
      <c r="BD1033" s="223"/>
      <c r="BE1033" s="223"/>
      <c r="BF1033" s="270">
        <v>2017</v>
      </c>
      <c r="BG1033" s="270"/>
      <c r="BH1033" s="268"/>
      <c r="BI1033" s="682" t="s">
        <v>2376</v>
      </c>
    </row>
    <row r="1034" spans="1:61" ht="15" customHeight="1">
      <c r="A1034" s="160" t="s">
        <v>1</v>
      </c>
      <c r="B1034" s="58" t="s">
        <v>320</v>
      </c>
      <c r="C1034" s="122" t="s">
        <v>793</v>
      </c>
      <c r="D1034" s="33" t="s">
        <v>519</v>
      </c>
      <c r="E1034" s="33"/>
      <c r="F1034" s="33"/>
      <c r="G1034" s="33"/>
      <c r="H1034" s="30" t="s">
        <v>647</v>
      </c>
      <c r="I1034" s="30"/>
      <c r="J1034" s="212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25"/>
      <c r="V1034" s="23"/>
      <c r="W1034" s="311"/>
      <c r="X1034" s="311"/>
      <c r="Y1034" s="311"/>
      <c r="Z1034" s="94"/>
      <c r="AA1034" s="23"/>
      <c r="AB1034" s="23"/>
      <c r="AC1034" s="23"/>
      <c r="AD1034" s="23"/>
      <c r="AE1034" s="158"/>
      <c r="AF1034" s="158"/>
      <c r="AG1034" s="158"/>
      <c r="AH1034" s="158"/>
      <c r="AI1034" s="158"/>
      <c r="AJ1034" s="158"/>
      <c r="AK1034" s="158"/>
      <c r="AL1034" s="158"/>
      <c r="AM1034" s="158"/>
      <c r="AN1034" s="158"/>
      <c r="AO1034" s="158"/>
      <c r="AP1034" s="23"/>
      <c r="AQ1034" s="23"/>
      <c r="AR1034" s="23"/>
      <c r="AS1034" s="23"/>
      <c r="AT1034" s="2">
        <v>1</v>
      </c>
      <c r="AU1034" s="58" t="s">
        <v>646</v>
      </c>
      <c r="AV1034" s="105"/>
      <c r="AW1034" s="23"/>
      <c r="AX1034" s="23">
        <v>1</v>
      </c>
      <c r="AY1034" s="23"/>
      <c r="AZ1034" s="23"/>
      <c r="BA1034" s="23"/>
      <c r="BB1034" s="23"/>
      <c r="BC1034" s="223"/>
      <c r="BD1034" s="223"/>
      <c r="BE1034" s="223"/>
      <c r="BF1034" s="270">
        <v>2017</v>
      </c>
      <c r="BG1034" s="270"/>
      <c r="BH1034" s="268"/>
      <c r="BI1034" s="682" t="s">
        <v>2376</v>
      </c>
    </row>
    <row r="1035" spans="1:61" ht="15" customHeight="1">
      <c r="A1035" s="160" t="s">
        <v>1</v>
      </c>
      <c r="B1035" s="58" t="s">
        <v>320</v>
      </c>
      <c r="C1035" s="122" t="s">
        <v>794</v>
      </c>
      <c r="D1035" s="33" t="s">
        <v>519</v>
      </c>
      <c r="E1035" s="33"/>
      <c r="F1035" s="33"/>
      <c r="G1035" s="33"/>
      <c r="H1035" s="30" t="s">
        <v>647</v>
      </c>
      <c r="I1035" s="30"/>
      <c r="J1035" s="212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25"/>
      <c r="V1035" s="23"/>
      <c r="W1035" s="311"/>
      <c r="X1035" s="311"/>
      <c r="Y1035" s="311"/>
      <c r="Z1035" s="94"/>
      <c r="AA1035" s="23"/>
      <c r="AB1035" s="23"/>
      <c r="AC1035" s="23"/>
      <c r="AD1035" s="23"/>
      <c r="AE1035" s="158"/>
      <c r="AF1035" s="158"/>
      <c r="AG1035" s="158"/>
      <c r="AH1035" s="158"/>
      <c r="AI1035" s="158"/>
      <c r="AJ1035" s="158"/>
      <c r="AK1035" s="158"/>
      <c r="AL1035" s="158"/>
      <c r="AM1035" s="158"/>
      <c r="AN1035" s="158"/>
      <c r="AO1035" s="158"/>
      <c r="AP1035" s="23"/>
      <c r="AQ1035" s="23"/>
      <c r="AR1035" s="23"/>
      <c r="AS1035" s="23"/>
      <c r="AT1035" s="2">
        <v>1</v>
      </c>
      <c r="AU1035" s="58" t="s">
        <v>646</v>
      </c>
      <c r="AV1035" s="105"/>
      <c r="AW1035" s="23"/>
      <c r="AX1035" s="23">
        <v>1</v>
      </c>
      <c r="AY1035" s="23"/>
      <c r="AZ1035" s="23"/>
      <c r="BA1035" s="23"/>
      <c r="BB1035" s="23"/>
      <c r="BC1035" s="223"/>
      <c r="BD1035" s="223"/>
      <c r="BE1035" s="223"/>
      <c r="BF1035" s="270">
        <v>2017</v>
      </c>
      <c r="BG1035" s="270"/>
      <c r="BH1035" s="268"/>
      <c r="BI1035" s="682" t="s">
        <v>2376</v>
      </c>
    </row>
    <row r="1036" spans="1:61" ht="15" customHeight="1">
      <c r="A1036" s="160" t="s">
        <v>1</v>
      </c>
      <c r="B1036" s="58" t="s">
        <v>320</v>
      </c>
      <c r="C1036" s="122" t="s">
        <v>795</v>
      </c>
      <c r="D1036" s="33" t="s">
        <v>387</v>
      </c>
      <c r="E1036" s="33"/>
      <c r="F1036" s="33"/>
      <c r="G1036" s="33"/>
      <c r="H1036" s="30" t="s">
        <v>647</v>
      </c>
      <c r="I1036" s="30"/>
      <c r="J1036" s="212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25"/>
      <c r="V1036" s="23"/>
      <c r="W1036" s="311"/>
      <c r="X1036" s="311"/>
      <c r="Y1036" s="311"/>
      <c r="Z1036" s="94"/>
      <c r="AA1036" s="23"/>
      <c r="AB1036" s="23"/>
      <c r="AC1036" s="23"/>
      <c r="AD1036" s="23"/>
      <c r="AE1036" s="158"/>
      <c r="AF1036" s="158"/>
      <c r="AG1036" s="158"/>
      <c r="AH1036" s="158"/>
      <c r="AI1036" s="158"/>
      <c r="AJ1036" s="158"/>
      <c r="AK1036" s="158"/>
      <c r="AL1036" s="158"/>
      <c r="AM1036" s="158"/>
      <c r="AN1036" s="158"/>
      <c r="AO1036" s="158"/>
      <c r="AP1036" s="23"/>
      <c r="AQ1036" s="23"/>
      <c r="AR1036" s="23"/>
      <c r="AS1036" s="23"/>
      <c r="AT1036" s="2">
        <v>1</v>
      </c>
      <c r="AU1036" s="58" t="s">
        <v>646</v>
      </c>
      <c r="AV1036" s="105"/>
      <c r="AW1036" s="23"/>
      <c r="AX1036" s="23">
        <v>1</v>
      </c>
      <c r="AY1036" s="23"/>
      <c r="AZ1036" s="23"/>
      <c r="BA1036" s="23"/>
      <c r="BB1036" s="23"/>
      <c r="BC1036" s="223"/>
      <c r="BD1036" s="223"/>
      <c r="BE1036" s="223"/>
      <c r="BF1036" s="270">
        <v>2017</v>
      </c>
      <c r="BG1036" s="270"/>
      <c r="BH1036" s="268"/>
      <c r="BI1036" s="682" t="s">
        <v>2376</v>
      </c>
    </row>
    <row r="1037" spans="1:61" ht="15" customHeight="1">
      <c r="A1037" s="160" t="s">
        <v>1</v>
      </c>
      <c r="B1037" s="58" t="s">
        <v>320</v>
      </c>
      <c r="C1037" s="122" t="s">
        <v>796</v>
      </c>
      <c r="D1037" s="33" t="s">
        <v>797</v>
      </c>
      <c r="E1037" s="33"/>
      <c r="F1037" s="33"/>
      <c r="G1037" s="33"/>
      <c r="H1037" s="30" t="s">
        <v>647</v>
      </c>
      <c r="I1037" s="30"/>
      <c r="J1037" s="212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25"/>
      <c r="V1037" s="23"/>
      <c r="W1037" s="311"/>
      <c r="X1037" s="311"/>
      <c r="Y1037" s="311"/>
      <c r="Z1037" s="94"/>
      <c r="AA1037" s="23"/>
      <c r="AB1037" s="23"/>
      <c r="AC1037" s="23"/>
      <c r="AD1037" s="23"/>
      <c r="AE1037" s="158"/>
      <c r="AF1037" s="158"/>
      <c r="AG1037" s="158"/>
      <c r="AH1037" s="158"/>
      <c r="AI1037" s="158"/>
      <c r="AJ1037" s="158"/>
      <c r="AK1037" s="158"/>
      <c r="AL1037" s="158"/>
      <c r="AM1037" s="158"/>
      <c r="AN1037" s="158"/>
      <c r="AO1037" s="158"/>
      <c r="AP1037" s="23"/>
      <c r="AQ1037" s="23"/>
      <c r="AR1037" s="23"/>
      <c r="AS1037" s="23"/>
      <c r="AT1037" s="2">
        <v>1</v>
      </c>
      <c r="AU1037" s="58" t="s">
        <v>646</v>
      </c>
      <c r="AV1037" s="105"/>
      <c r="AW1037" s="23"/>
      <c r="AX1037" s="23">
        <v>1</v>
      </c>
      <c r="AY1037" s="23"/>
      <c r="AZ1037" s="23"/>
      <c r="BA1037" s="23"/>
      <c r="BB1037" s="23"/>
      <c r="BC1037" s="223"/>
      <c r="BD1037" s="223"/>
      <c r="BE1037" s="223"/>
      <c r="BF1037" s="270">
        <v>2017</v>
      </c>
      <c r="BG1037" s="270"/>
      <c r="BH1037" s="268"/>
      <c r="BI1037" s="682" t="s">
        <v>2376</v>
      </c>
    </row>
    <row r="1038" spans="1:61" ht="15" customHeight="1">
      <c r="A1038" s="160" t="s">
        <v>1</v>
      </c>
      <c r="B1038" s="58" t="s">
        <v>320</v>
      </c>
      <c r="C1038" s="122" t="s">
        <v>798</v>
      </c>
      <c r="D1038" s="33" t="s">
        <v>797</v>
      </c>
      <c r="E1038" s="33"/>
      <c r="F1038" s="33"/>
      <c r="G1038" s="33"/>
      <c r="H1038" s="30" t="s">
        <v>647</v>
      </c>
      <c r="I1038" s="30"/>
      <c r="J1038" s="212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25"/>
      <c r="V1038" s="23"/>
      <c r="W1038" s="311"/>
      <c r="X1038" s="311"/>
      <c r="Y1038" s="311"/>
      <c r="Z1038" s="94"/>
      <c r="AA1038" s="23"/>
      <c r="AB1038" s="23"/>
      <c r="AC1038" s="23"/>
      <c r="AD1038" s="23"/>
      <c r="AE1038" s="158"/>
      <c r="AF1038" s="158"/>
      <c r="AG1038" s="158"/>
      <c r="AH1038" s="158"/>
      <c r="AI1038" s="158"/>
      <c r="AJ1038" s="158"/>
      <c r="AK1038" s="158"/>
      <c r="AL1038" s="158"/>
      <c r="AM1038" s="158"/>
      <c r="AN1038" s="158"/>
      <c r="AO1038" s="158"/>
      <c r="AP1038" s="23"/>
      <c r="AQ1038" s="23"/>
      <c r="AR1038" s="23"/>
      <c r="AS1038" s="23"/>
      <c r="AT1038" s="2">
        <v>1</v>
      </c>
      <c r="AU1038" s="58" t="s">
        <v>646</v>
      </c>
      <c r="AV1038" s="105"/>
      <c r="AW1038" s="23"/>
      <c r="AX1038" s="23">
        <v>1</v>
      </c>
      <c r="AY1038" s="23"/>
      <c r="AZ1038" s="23"/>
      <c r="BA1038" s="23"/>
      <c r="BB1038" s="23"/>
      <c r="BC1038" s="223"/>
      <c r="BD1038" s="223"/>
      <c r="BE1038" s="223"/>
      <c r="BF1038" s="270">
        <v>2017</v>
      </c>
      <c r="BG1038" s="270"/>
      <c r="BH1038" s="268"/>
      <c r="BI1038" s="682" t="s">
        <v>2376</v>
      </c>
    </row>
    <row r="1039" spans="1:61" ht="15" customHeight="1">
      <c r="A1039" s="160" t="s">
        <v>1</v>
      </c>
      <c r="B1039" s="58" t="s">
        <v>320</v>
      </c>
      <c r="C1039" s="122" t="s">
        <v>799</v>
      </c>
      <c r="D1039" s="33" t="s">
        <v>797</v>
      </c>
      <c r="E1039" s="33"/>
      <c r="F1039" s="33"/>
      <c r="G1039" s="33"/>
      <c r="H1039" s="30" t="s">
        <v>647</v>
      </c>
      <c r="I1039" s="30"/>
      <c r="J1039" s="212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25"/>
      <c r="V1039" s="23"/>
      <c r="W1039" s="311"/>
      <c r="X1039" s="311"/>
      <c r="Y1039" s="311"/>
      <c r="Z1039" s="94"/>
      <c r="AA1039" s="23"/>
      <c r="AB1039" s="23"/>
      <c r="AC1039" s="23"/>
      <c r="AD1039" s="23"/>
      <c r="AE1039" s="158"/>
      <c r="AF1039" s="158"/>
      <c r="AG1039" s="158"/>
      <c r="AH1039" s="158"/>
      <c r="AI1039" s="158"/>
      <c r="AJ1039" s="158"/>
      <c r="AK1039" s="158"/>
      <c r="AL1039" s="158"/>
      <c r="AM1039" s="158"/>
      <c r="AN1039" s="158"/>
      <c r="AO1039" s="158"/>
      <c r="AP1039" s="23"/>
      <c r="AQ1039" s="23"/>
      <c r="AR1039" s="23"/>
      <c r="AS1039" s="23"/>
      <c r="AT1039" s="2">
        <v>1</v>
      </c>
      <c r="AU1039" s="58" t="s">
        <v>646</v>
      </c>
      <c r="AV1039" s="105"/>
      <c r="AW1039" s="23"/>
      <c r="AX1039" s="23">
        <v>1</v>
      </c>
      <c r="AY1039" s="23"/>
      <c r="AZ1039" s="23"/>
      <c r="BA1039" s="23"/>
      <c r="BB1039" s="23"/>
      <c r="BC1039" s="223"/>
      <c r="BD1039" s="223"/>
      <c r="BE1039" s="223"/>
      <c r="BF1039" s="270">
        <v>2017</v>
      </c>
      <c r="BG1039" s="270"/>
      <c r="BH1039" s="268"/>
      <c r="BI1039" s="682" t="s">
        <v>2376</v>
      </c>
    </row>
    <row r="1040" spans="1:61" ht="15" customHeight="1">
      <c r="A1040" s="160" t="s">
        <v>1</v>
      </c>
      <c r="B1040" s="58" t="s">
        <v>320</v>
      </c>
      <c r="C1040" s="122" t="s">
        <v>930</v>
      </c>
      <c r="D1040" s="33" t="s">
        <v>797</v>
      </c>
      <c r="E1040" s="33"/>
      <c r="F1040" s="33"/>
      <c r="G1040" s="33"/>
      <c r="H1040" s="30" t="s">
        <v>664</v>
      </c>
      <c r="I1040" s="30">
        <v>602</v>
      </c>
      <c r="J1040" s="212">
        <v>42458</v>
      </c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25"/>
      <c r="V1040" s="23"/>
      <c r="W1040" s="311"/>
      <c r="X1040" s="311"/>
      <c r="Y1040" s="311"/>
      <c r="Z1040" s="94"/>
      <c r="AA1040" s="23"/>
      <c r="AB1040" s="23"/>
      <c r="AC1040" s="23"/>
      <c r="AD1040" s="23"/>
      <c r="AE1040" s="158"/>
      <c r="AF1040" s="158"/>
      <c r="AG1040" s="158"/>
      <c r="AH1040" s="158"/>
      <c r="AI1040" s="158"/>
      <c r="AJ1040" s="158"/>
      <c r="AK1040" s="158"/>
      <c r="AL1040" s="158"/>
      <c r="AM1040" s="158"/>
      <c r="AN1040" s="158"/>
      <c r="AO1040" s="158"/>
      <c r="AP1040" s="23"/>
      <c r="AQ1040" s="23"/>
      <c r="AR1040" s="23"/>
      <c r="AS1040" s="23"/>
      <c r="AT1040" s="2">
        <v>1</v>
      </c>
      <c r="AU1040" s="58" t="s">
        <v>646</v>
      </c>
      <c r="AV1040" s="105"/>
      <c r="AW1040" s="23"/>
      <c r="AX1040" s="23">
        <v>1</v>
      </c>
      <c r="AY1040" s="23"/>
      <c r="AZ1040" s="23"/>
      <c r="BA1040" s="23"/>
      <c r="BB1040" s="23"/>
      <c r="BC1040" s="223"/>
      <c r="BD1040" s="223"/>
      <c r="BE1040" s="223"/>
      <c r="BF1040" s="270">
        <v>2017</v>
      </c>
      <c r="BG1040" s="270"/>
      <c r="BH1040" s="268"/>
      <c r="BI1040" s="682" t="s">
        <v>2376</v>
      </c>
    </row>
    <row r="1041" spans="1:61" ht="15" customHeight="1">
      <c r="A1041" s="160" t="s">
        <v>1</v>
      </c>
      <c r="B1041" s="58" t="s">
        <v>320</v>
      </c>
      <c r="C1041" s="122" t="s">
        <v>800</v>
      </c>
      <c r="D1041" s="33" t="s">
        <v>797</v>
      </c>
      <c r="E1041" s="33"/>
      <c r="F1041" s="33"/>
      <c r="G1041" s="33"/>
      <c r="H1041" s="30" t="s">
        <v>647</v>
      </c>
      <c r="I1041" s="30"/>
      <c r="J1041" s="212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25"/>
      <c r="V1041" s="23"/>
      <c r="W1041" s="311"/>
      <c r="X1041" s="311"/>
      <c r="Y1041" s="311"/>
      <c r="Z1041" s="94"/>
      <c r="AA1041" s="23"/>
      <c r="AB1041" s="23"/>
      <c r="AC1041" s="23"/>
      <c r="AD1041" s="23"/>
      <c r="AE1041" s="158"/>
      <c r="AF1041" s="158"/>
      <c r="AG1041" s="158"/>
      <c r="AH1041" s="158"/>
      <c r="AI1041" s="158"/>
      <c r="AJ1041" s="158"/>
      <c r="AK1041" s="158"/>
      <c r="AL1041" s="158"/>
      <c r="AM1041" s="158"/>
      <c r="AN1041" s="158"/>
      <c r="AO1041" s="158"/>
      <c r="AP1041" s="23"/>
      <c r="AQ1041" s="23"/>
      <c r="AR1041" s="23"/>
      <c r="AS1041" s="23"/>
      <c r="AT1041" s="2">
        <v>1</v>
      </c>
      <c r="AU1041" s="58" t="s">
        <v>646</v>
      </c>
      <c r="AV1041" s="105"/>
      <c r="AW1041" s="23"/>
      <c r="AX1041" s="23">
        <v>1</v>
      </c>
      <c r="AY1041" s="23"/>
      <c r="AZ1041" s="23"/>
      <c r="BA1041" s="23"/>
      <c r="BB1041" s="23"/>
      <c r="BC1041" s="223"/>
      <c r="BD1041" s="223"/>
      <c r="BE1041" s="223"/>
      <c r="BF1041" s="270">
        <v>2017</v>
      </c>
      <c r="BG1041" s="270"/>
      <c r="BH1041" s="268"/>
      <c r="BI1041" s="682" t="s">
        <v>2376</v>
      </c>
    </row>
    <row r="1042" spans="1:61" ht="15" customHeight="1">
      <c r="A1042" s="160" t="s">
        <v>1</v>
      </c>
      <c r="B1042" s="58" t="s">
        <v>320</v>
      </c>
      <c r="C1042" s="122" t="s">
        <v>931</v>
      </c>
      <c r="D1042" s="33" t="s">
        <v>588</v>
      </c>
      <c r="E1042" s="33"/>
      <c r="F1042" s="33"/>
      <c r="G1042" s="33"/>
      <c r="H1042" s="30" t="s">
        <v>659</v>
      </c>
      <c r="I1042" s="30"/>
      <c r="J1042" s="212"/>
      <c r="K1042" s="23"/>
      <c r="L1042" s="23"/>
      <c r="M1042" s="23"/>
      <c r="N1042" s="23"/>
      <c r="O1042" s="23"/>
      <c r="P1042" s="23"/>
      <c r="Q1042" s="23"/>
      <c r="R1042" s="23"/>
      <c r="S1042" s="23"/>
      <c r="T1042" s="23"/>
      <c r="U1042" s="225"/>
      <c r="V1042" s="23"/>
      <c r="W1042" s="311"/>
      <c r="X1042" s="311"/>
      <c r="Y1042" s="311"/>
      <c r="Z1042" s="94"/>
      <c r="AA1042" s="23"/>
      <c r="AB1042" s="23"/>
      <c r="AC1042" s="23"/>
      <c r="AD1042" s="23"/>
      <c r="AE1042" s="158"/>
      <c r="AF1042" s="158"/>
      <c r="AG1042" s="158"/>
      <c r="AH1042" s="158"/>
      <c r="AI1042" s="158"/>
      <c r="AJ1042" s="158"/>
      <c r="AK1042" s="158"/>
      <c r="AL1042" s="158"/>
      <c r="AM1042" s="158"/>
      <c r="AN1042" s="158"/>
      <c r="AO1042" s="158"/>
      <c r="AP1042" s="50"/>
      <c r="AQ1042" s="50"/>
      <c r="AR1042" s="50"/>
      <c r="AS1042" s="50"/>
      <c r="AT1042" s="2">
        <v>1</v>
      </c>
      <c r="AU1042" s="58" t="s">
        <v>646</v>
      </c>
      <c r="AV1042" s="105"/>
      <c r="AW1042" s="23"/>
      <c r="AX1042" s="50">
        <v>1</v>
      </c>
      <c r="AY1042" s="50"/>
      <c r="AZ1042" s="50"/>
      <c r="BA1042" s="50"/>
      <c r="BB1042" s="50"/>
      <c r="BC1042" s="293"/>
      <c r="BD1042" s="293"/>
      <c r="BE1042" s="293"/>
      <c r="BF1042" s="270">
        <v>2017</v>
      </c>
      <c r="BG1042" s="270"/>
      <c r="BH1042" s="268"/>
      <c r="BI1042" s="682" t="s">
        <v>2376</v>
      </c>
    </row>
    <row r="1043" spans="1:61" ht="15" customHeight="1">
      <c r="A1043" s="160" t="s">
        <v>1</v>
      </c>
      <c r="B1043" s="58" t="s">
        <v>320</v>
      </c>
      <c r="C1043" s="122" t="s">
        <v>801</v>
      </c>
      <c r="D1043" s="33" t="s">
        <v>797</v>
      </c>
      <c r="E1043" s="33"/>
      <c r="F1043" s="33"/>
      <c r="G1043" s="33"/>
      <c r="H1043" s="30" t="s">
        <v>647</v>
      </c>
      <c r="I1043" s="30"/>
      <c r="J1043" s="212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25"/>
      <c r="V1043" s="23"/>
      <c r="W1043" s="311"/>
      <c r="X1043" s="311"/>
      <c r="Y1043" s="311"/>
      <c r="Z1043" s="94"/>
      <c r="AA1043" s="23"/>
      <c r="AB1043" s="23"/>
      <c r="AC1043" s="23"/>
      <c r="AD1043" s="23"/>
      <c r="AE1043" s="158"/>
      <c r="AF1043" s="158"/>
      <c r="AG1043" s="158"/>
      <c r="AH1043" s="158"/>
      <c r="AI1043" s="158"/>
      <c r="AJ1043" s="158"/>
      <c r="AK1043" s="158"/>
      <c r="AL1043" s="158"/>
      <c r="AM1043" s="158"/>
      <c r="AN1043" s="158"/>
      <c r="AO1043" s="158"/>
      <c r="AP1043" s="23"/>
      <c r="AQ1043" s="23"/>
      <c r="AR1043" s="23"/>
      <c r="AS1043" s="23"/>
      <c r="AT1043" s="2">
        <v>1</v>
      </c>
      <c r="AU1043" s="58" t="s">
        <v>646</v>
      </c>
      <c r="AV1043" s="105"/>
      <c r="AW1043" s="23"/>
      <c r="AX1043" s="23">
        <v>1</v>
      </c>
      <c r="AY1043" s="23"/>
      <c r="AZ1043" s="23"/>
      <c r="BA1043" s="23"/>
      <c r="BB1043" s="23"/>
      <c r="BC1043" s="223"/>
      <c r="BD1043" s="223"/>
      <c r="BE1043" s="223"/>
      <c r="BF1043" s="270">
        <v>2017</v>
      </c>
      <c r="BG1043" s="270"/>
      <c r="BH1043" s="268"/>
      <c r="BI1043" s="682" t="s">
        <v>2376</v>
      </c>
    </row>
    <row r="1044" spans="1:61" ht="15" customHeight="1">
      <c r="A1044" s="160" t="s">
        <v>1</v>
      </c>
      <c r="B1044" s="58" t="s">
        <v>320</v>
      </c>
      <c r="C1044" s="122" t="s">
        <v>803</v>
      </c>
      <c r="D1044" s="33" t="s">
        <v>588</v>
      </c>
      <c r="E1044" s="33"/>
      <c r="F1044" s="33"/>
      <c r="G1044" s="33"/>
      <c r="H1044" s="30" t="s">
        <v>664</v>
      </c>
      <c r="I1044" s="30">
        <v>602</v>
      </c>
      <c r="J1044" s="212">
        <v>42458</v>
      </c>
      <c r="K1044" s="23"/>
      <c r="L1044" s="23"/>
      <c r="M1044" s="23"/>
      <c r="N1044" s="23"/>
      <c r="O1044" s="23"/>
      <c r="P1044" s="23"/>
      <c r="Q1044" s="23"/>
      <c r="R1044" s="23"/>
      <c r="S1044" s="23"/>
      <c r="T1044" s="23"/>
      <c r="U1044" s="225"/>
      <c r="V1044" s="23"/>
      <c r="W1044" s="311"/>
      <c r="X1044" s="311"/>
      <c r="Y1044" s="311"/>
      <c r="Z1044" s="94"/>
      <c r="AA1044" s="23"/>
      <c r="AB1044" s="23"/>
      <c r="AC1044" s="23"/>
      <c r="AD1044" s="23"/>
      <c r="AE1044" s="158"/>
      <c r="AF1044" s="158"/>
      <c r="AG1044" s="158"/>
      <c r="AH1044" s="158"/>
      <c r="AI1044" s="158"/>
      <c r="AJ1044" s="158"/>
      <c r="AK1044" s="158"/>
      <c r="AL1044" s="158"/>
      <c r="AM1044" s="158"/>
      <c r="AN1044" s="158"/>
      <c r="AO1044" s="158"/>
      <c r="AP1044" s="23"/>
      <c r="AQ1044" s="23"/>
      <c r="AR1044" s="23"/>
      <c r="AS1044" s="23"/>
      <c r="AT1044" s="2">
        <v>1</v>
      </c>
      <c r="AU1044" s="58" t="s">
        <v>646</v>
      </c>
      <c r="AV1044" s="105"/>
      <c r="AW1044" s="23"/>
      <c r="AX1044" s="23">
        <v>1</v>
      </c>
      <c r="AY1044" s="23"/>
      <c r="AZ1044" s="23"/>
      <c r="BA1044" s="23"/>
      <c r="BB1044" s="23"/>
      <c r="BC1044" s="223"/>
      <c r="BD1044" s="223"/>
      <c r="BE1044" s="223"/>
      <c r="BF1044" s="270">
        <v>2017</v>
      </c>
      <c r="BG1044" s="270"/>
      <c r="BH1044" s="268"/>
      <c r="BI1044" s="682" t="s">
        <v>2376</v>
      </c>
    </row>
    <row r="1045" spans="1:61" ht="18" customHeight="1">
      <c r="A1045" s="160" t="s">
        <v>1</v>
      </c>
      <c r="B1045" s="58" t="s">
        <v>320</v>
      </c>
      <c r="C1045" s="122" t="s">
        <v>804</v>
      </c>
      <c r="D1045" s="33" t="s">
        <v>387</v>
      </c>
      <c r="E1045" s="33"/>
      <c r="F1045" s="33"/>
      <c r="G1045" s="33"/>
      <c r="H1045" s="30" t="s">
        <v>659</v>
      </c>
      <c r="I1045" s="30">
        <v>1188</v>
      </c>
      <c r="J1045" s="212">
        <v>41831</v>
      </c>
      <c r="K1045" s="23"/>
      <c r="L1045" s="23">
        <v>1</v>
      </c>
      <c r="M1045" s="23"/>
      <c r="N1045" s="23"/>
      <c r="O1045" s="23"/>
      <c r="P1045" s="23">
        <v>61214039</v>
      </c>
      <c r="Q1045" s="23"/>
      <c r="R1045" s="23"/>
      <c r="S1045" s="23"/>
      <c r="T1045" s="23"/>
      <c r="U1045" s="225">
        <v>27546318</v>
      </c>
      <c r="V1045" s="23"/>
      <c r="W1045" s="311"/>
      <c r="X1045" s="311"/>
      <c r="Y1045" s="311"/>
      <c r="Z1045" s="94">
        <v>33667721</v>
      </c>
      <c r="AA1045" s="23"/>
      <c r="AB1045" s="23"/>
      <c r="AC1045" s="23"/>
      <c r="AD1045" s="23"/>
      <c r="AE1045" s="158"/>
      <c r="AF1045" s="158">
        <f>P1045-U1045-Z1045</f>
        <v>0</v>
      </c>
      <c r="AG1045" s="158"/>
      <c r="AH1045" s="94">
        <v>0</v>
      </c>
      <c r="AI1045" s="94">
        <v>0</v>
      </c>
      <c r="AJ1045" s="94"/>
      <c r="AK1045" s="158">
        <f t="shared" ref="AK1045" si="244">AF1045+AH1045</f>
        <v>0</v>
      </c>
      <c r="AL1045" s="158"/>
      <c r="AM1045" s="158"/>
      <c r="AN1045" s="158"/>
      <c r="AO1045" s="158"/>
      <c r="AP1045" s="23"/>
      <c r="AQ1045" s="23"/>
      <c r="AR1045" s="23"/>
      <c r="AS1045" s="23"/>
      <c r="AT1045" s="2">
        <v>1</v>
      </c>
      <c r="AU1045" s="58" t="s">
        <v>646</v>
      </c>
      <c r="AV1045" s="386" t="s">
        <v>1848</v>
      </c>
      <c r="AW1045" s="23"/>
      <c r="AX1045" s="23"/>
      <c r="AY1045" s="23"/>
      <c r="AZ1045" s="23">
        <v>1</v>
      </c>
      <c r="BA1045" s="23"/>
      <c r="BB1045" s="23"/>
      <c r="BC1045" s="223"/>
      <c r="BD1045" s="223">
        <v>1</v>
      </c>
      <c r="BE1045" s="223"/>
      <c r="BF1045" s="270">
        <v>2019</v>
      </c>
      <c r="BG1045" s="270">
        <v>2019</v>
      </c>
      <c r="BH1045" s="271"/>
      <c r="BI1045" s="271" t="s">
        <v>2375</v>
      </c>
    </row>
    <row r="1046" spans="1:61" s="204" customFormat="1" ht="18" customHeight="1">
      <c r="A1046" s="160" t="s">
        <v>1</v>
      </c>
      <c r="B1046" s="58" t="s">
        <v>320</v>
      </c>
      <c r="C1046" s="58" t="s">
        <v>1203</v>
      </c>
      <c r="D1046" s="33" t="s">
        <v>387</v>
      </c>
      <c r="E1046" s="33"/>
      <c r="F1046" s="33"/>
      <c r="G1046" s="33"/>
      <c r="H1046" s="30" t="s">
        <v>659</v>
      </c>
      <c r="I1046" s="30">
        <v>123</v>
      </c>
      <c r="J1046" s="212">
        <v>41666</v>
      </c>
      <c r="K1046" s="23"/>
      <c r="L1046" s="23"/>
      <c r="M1046" s="23">
        <v>1</v>
      </c>
      <c r="N1046" s="23">
        <v>1</v>
      </c>
      <c r="O1046" s="23"/>
      <c r="P1046" s="158">
        <v>56106320</v>
      </c>
      <c r="Q1046" s="158"/>
      <c r="R1046" s="23"/>
      <c r="S1046" s="23"/>
      <c r="T1046" s="23"/>
      <c r="U1046" s="225">
        <v>25247844</v>
      </c>
      <c r="V1046" s="23">
        <v>20</v>
      </c>
      <c r="W1046" s="311"/>
      <c r="X1046" s="311"/>
      <c r="Y1046" s="311"/>
      <c r="Z1046" s="94"/>
      <c r="AA1046" s="23"/>
      <c r="AB1046" s="23"/>
      <c r="AC1046" s="23"/>
      <c r="AD1046" s="23"/>
      <c r="AE1046" s="158"/>
      <c r="AF1046" s="158">
        <f>P1046-U1046-Z1046</f>
        <v>30858476</v>
      </c>
      <c r="AG1046" s="158"/>
      <c r="AH1046" s="94">
        <v>0</v>
      </c>
      <c r="AI1046" s="94">
        <v>30858476</v>
      </c>
      <c r="AJ1046" s="94"/>
      <c r="AK1046" s="176">
        <f>P1046-R1046-U1046-Z1046</f>
        <v>30858476</v>
      </c>
      <c r="AL1046" s="158"/>
      <c r="AM1046" s="158"/>
      <c r="AN1046" s="158"/>
      <c r="AO1046" s="158">
        <v>1</v>
      </c>
      <c r="AP1046" s="23"/>
      <c r="AQ1046" s="23"/>
      <c r="AR1046" s="23"/>
      <c r="AS1046" s="23"/>
      <c r="AT1046" s="2">
        <v>0.45</v>
      </c>
      <c r="AU1046" s="58" t="s">
        <v>38</v>
      </c>
      <c r="AV1046" s="482" t="s">
        <v>2204</v>
      </c>
      <c r="AW1046" s="23"/>
      <c r="AX1046" s="23"/>
      <c r="AY1046" s="23"/>
      <c r="AZ1046" s="23"/>
      <c r="BA1046" s="23"/>
      <c r="BB1046" s="23"/>
      <c r="BC1046" s="223"/>
      <c r="BD1046" s="223"/>
      <c r="BE1046" s="223"/>
      <c r="BF1046" s="271"/>
      <c r="BG1046" s="271">
        <v>2019</v>
      </c>
      <c r="BH1046" s="271">
        <v>2020</v>
      </c>
      <c r="BI1046" s="271" t="s">
        <v>2375</v>
      </c>
    </row>
    <row r="1047" spans="1:61" ht="15" customHeight="1">
      <c r="A1047" s="160" t="s">
        <v>1</v>
      </c>
      <c r="B1047" s="58" t="s">
        <v>320</v>
      </c>
      <c r="C1047" s="122" t="s">
        <v>807</v>
      </c>
      <c r="D1047" s="33" t="s">
        <v>438</v>
      </c>
      <c r="E1047" s="33"/>
      <c r="F1047" s="33"/>
      <c r="G1047" s="33"/>
      <c r="H1047" s="30" t="s">
        <v>647</v>
      </c>
      <c r="I1047" s="30"/>
      <c r="J1047" s="212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25"/>
      <c r="V1047" s="23"/>
      <c r="W1047" s="311"/>
      <c r="X1047" s="311"/>
      <c r="Y1047" s="311"/>
      <c r="Z1047" s="94"/>
      <c r="AA1047" s="23"/>
      <c r="AB1047" s="23"/>
      <c r="AC1047" s="23"/>
      <c r="AD1047" s="23"/>
      <c r="AE1047" s="158"/>
      <c r="AF1047" s="158"/>
      <c r="AG1047" s="158"/>
      <c r="AH1047" s="158"/>
      <c r="AI1047" s="158"/>
      <c r="AJ1047" s="158"/>
      <c r="AK1047" s="158"/>
      <c r="AL1047" s="158"/>
      <c r="AM1047" s="158"/>
      <c r="AN1047" s="158"/>
      <c r="AO1047" s="158"/>
      <c r="AP1047" s="23"/>
      <c r="AQ1047" s="23"/>
      <c r="AR1047" s="23"/>
      <c r="AS1047" s="23"/>
      <c r="AT1047" s="2">
        <v>1</v>
      </c>
      <c r="AU1047" s="58" t="s">
        <v>646</v>
      </c>
      <c r="AV1047" s="105"/>
      <c r="AW1047" s="23"/>
      <c r="AX1047" s="23">
        <v>1</v>
      </c>
      <c r="AY1047" s="23"/>
      <c r="AZ1047" s="23"/>
      <c r="BA1047" s="23"/>
      <c r="BB1047" s="23"/>
      <c r="BC1047" s="223"/>
      <c r="BD1047" s="223"/>
      <c r="BE1047" s="223"/>
      <c r="BF1047" s="270">
        <v>2017</v>
      </c>
      <c r="BG1047" s="270"/>
      <c r="BH1047" s="269"/>
      <c r="BI1047" s="682" t="s">
        <v>2376</v>
      </c>
    </row>
    <row r="1048" spans="1:61" ht="15" customHeight="1">
      <c r="A1048" s="160" t="s">
        <v>1</v>
      </c>
      <c r="B1048" s="58" t="s">
        <v>320</v>
      </c>
      <c r="C1048" s="122" t="s">
        <v>808</v>
      </c>
      <c r="D1048" s="33" t="s">
        <v>588</v>
      </c>
      <c r="E1048" s="33"/>
      <c r="F1048" s="33"/>
      <c r="G1048" s="33"/>
      <c r="H1048" s="30" t="s">
        <v>647</v>
      </c>
      <c r="I1048" s="30"/>
      <c r="J1048" s="212"/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25"/>
      <c r="V1048" s="23"/>
      <c r="W1048" s="311"/>
      <c r="X1048" s="311"/>
      <c r="Y1048" s="311"/>
      <c r="Z1048" s="94"/>
      <c r="AA1048" s="23"/>
      <c r="AB1048" s="23"/>
      <c r="AC1048" s="23"/>
      <c r="AD1048" s="23"/>
      <c r="AE1048" s="158"/>
      <c r="AF1048" s="158"/>
      <c r="AG1048" s="158"/>
      <c r="AH1048" s="158"/>
      <c r="AI1048" s="158"/>
      <c r="AJ1048" s="158"/>
      <c r="AK1048" s="158"/>
      <c r="AL1048" s="158"/>
      <c r="AM1048" s="158"/>
      <c r="AN1048" s="158"/>
      <c r="AO1048" s="158"/>
      <c r="AP1048" s="23"/>
      <c r="AQ1048" s="23"/>
      <c r="AR1048" s="23"/>
      <c r="AS1048" s="23"/>
      <c r="AT1048" s="2">
        <v>1</v>
      </c>
      <c r="AU1048" s="58" t="s">
        <v>646</v>
      </c>
      <c r="AV1048" s="105"/>
      <c r="AW1048" s="23"/>
      <c r="AX1048" s="23">
        <v>1</v>
      </c>
      <c r="AY1048" s="23"/>
      <c r="AZ1048" s="23"/>
      <c r="BA1048" s="23"/>
      <c r="BB1048" s="23"/>
      <c r="BC1048" s="223"/>
      <c r="BD1048" s="223"/>
      <c r="BE1048" s="223"/>
      <c r="BF1048" s="270">
        <v>2017</v>
      </c>
      <c r="BG1048" s="270"/>
      <c r="BH1048" s="269"/>
      <c r="BI1048" s="682" t="s">
        <v>2376</v>
      </c>
    </row>
    <row r="1049" spans="1:61" s="204" customFormat="1" ht="18" customHeight="1">
      <c r="A1049" s="160" t="s">
        <v>1</v>
      </c>
      <c r="B1049" s="58" t="s">
        <v>320</v>
      </c>
      <c r="C1049" s="122" t="s">
        <v>1201</v>
      </c>
      <c r="D1049" s="33" t="s">
        <v>387</v>
      </c>
      <c r="E1049" s="33"/>
      <c r="F1049" s="33"/>
      <c r="G1049" s="33"/>
      <c r="H1049" s="30" t="s">
        <v>647</v>
      </c>
      <c r="I1049" s="30">
        <v>2228</v>
      </c>
      <c r="J1049" s="212">
        <v>43019</v>
      </c>
      <c r="K1049" s="23"/>
      <c r="L1049" s="23"/>
      <c r="M1049" s="23">
        <v>1</v>
      </c>
      <c r="N1049" s="23">
        <v>1</v>
      </c>
      <c r="O1049" s="23"/>
      <c r="P1049" s="23">
        <v>56863999</v>
      </c>
      <c r="Q1049" s="23"/>
      <c r="R1049" s="23"/>
      <c r="S1049" s="23"/>
      <c r="T1049" s="23"/>
      <c r="U1049" s="225">
        <v>25588800</v>
      </c>
      <c r="V1049" s="23">
        <v>20</v>
      </c>
      <c r="W1049" s="311"/>
      <c r="X1049" s="311"/>
      <c r="Y1049" s="311"/>
      <c r="Z1049" s="225">
        <v>31275199</v>
      </c>
      <c r="AA1049" s="23">
        <v>10</v>
      </c>
      <c r="AB1049" s="23"/>
      <c r="AC1049" s="23"/>
      <c r="AD1049" s="23"/>
      <c r="AE1049" s="158"/>
      <c r="AF1049" s="158">
        <f>P1049-U1049-Z1049</f>
        <v>0</v>
      </c>
      <c r="AG1049" s="158"/>
      <c r="AH1049" s="94">
        <v>0</v>
      </c>
      <c r="AI1049" s="674">
        <v>0</v>
      </c>
      <c r="AJ1049" s="94"/>
      <c r="AK1049" s="176">
        <f>P1049-R1049-U1049-Z1049</f>
        <v>0</v>
      </c>
      <c r="AL1049" s="158">
        <v>877</v>
      </c>
      <c r="AM1049" s="158">
        <v>10</v>
      </c>
      <c r="AN1049" s="158"/>
      <c r="AO1049" s="158">
        <v>1</v>
      </c>
      <c r="AP1049" s="23"/>
      <c r="AQ1049" s="23"/>
      <c r="AR1049" s="23"/>
      <c r="AS1049" s="23"/>
      <c r="AT1049" s="2">
        <v>0.45</v>
      </c>
      <c r="AU1049" s="58" t="s">
        <v>38</v>
      </c>
      <c r="AV1049" s="386"/>
      <c r="AW1049" s="23"/>
      <c r="AX1049" s="23"/>
      <c r="AY1049" s="23"/>
      <c r="AZ1049" s="23"/>
      <c r="BA1049" s="23"/>
      <c r="BB1049" s="23"/>
      <c r="BC1049" s="223"/>
      <c r="BD1049" s="223"/>
      <c r="BE1049" s="223"/>
      <c r="BF1049" s="271"/>
      <c r="BG1049" s="271">
        <v>2019</v>
      </c>
      <c r="BH1049" s="271">
        <v>2020</v>
      </c>
      <c r="BI1049" s="271" t="s">
        <v>2375</v>
      </c>
    </row>
    <row r="1050" spans="1:61" ht="15" customHeight="1">
      <c r="A1050" s="160" t="s">
        <v>1</v>
      </c>
      <c r="B1050" s="58" t="s">
        <v>320</v>
      </c>
      <c r="C1050" s="122" t="s">
        <v>815</v>
      </c>
      <c r="D1050" s="33" t="s">
        <v>438</v>
      </c>
      <c r="E1050" s="33"/>
      <c r="F1050" s="33"/>
      <c r="G1050" s="33"/>
      <c r="H1050" s="30" t="s">
        <v>647</v>
      </c>
      <c r="I1050" s="30"/>
      <c r="J1050" s="212"/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25"/>
      <c r="V1050" s="23"/>
      <c r="W1050" s="311"/>
      <c r="X1050" s="311"/>
      <c r="Y1050" s="311"/>
      <c r="Z1050" s="94"/>
      <c r="AA1050" s="23"/>
      <c r="AB1050" s="23"/>
      <c r="AC1050" s="23"/>
      <c r="AD1050" s="23"/>
      <c r="AE1050" s="158"/>
      <c r="AF1050" s="158"/>
      <c r="AG1050" s="158"/>
      <c r="AH1050" s="158"/>
      <c r="AI1050" s="158"/>
      <c r="AJ1050" s="158"/>
      <c r="AK1050" s="158"/>
      <c r="AL1050" s="158"/>
      <c r="AM1050" s="158"/>
      <c r="AN1050" s="158"/>
      <c r="AO1050" s="158"/>
      <c r="AP1050" s="23"/>
      <c r="AQ1050" s="23"/>
      <c r="AR1050" s="23"/>
      <c r="AS1050" s="23"/>
      <c r="AT1050" s="2">
        <v>1</v>
      </c>
      <c r="AU1050" s="58" t="s">
        <v>646</v>
      </c>
      <c r="AV1050" s="105"/>
      <c r="AW1050" s="23"/>
      <c r="AX1050" s="23"/>
      <c r="AY1050" s="514">
        <v>1</v>
      </c>
      <c r="AZ1050" s="23"/>
      <c r="BA1050" s="23"/>
      <c r="BB1050" s="23">
        <v>1</v>
      </c>
      <c r="BC1050" s="223"/>
      <c r="BD1050" s="223"/>
      <c r="BE1050" s="223"/>
      <c r="BF1050" s="270">
        <v>2018</v>
      </c>
      <c r="BG1050" s="270"/>
      <c r="BI1050" s="682" t="s">
        <v>2376</v>
      </c>
    </row>
    <row r="1051" spans="1:61" ht="18" customHeight="1">
      <c r="A1051" s="160" t="s">
        <v>1</v>
      </c>
      <c r="B1051" s="58" t="s">
        <v>320</v>
      </c>
      <c r="C1051" s="122" t="s">
        <v>994</v>
      </c>
      <c r="D1051" s="33" t="s">
        <v>387</v>
      </c>
      <c r="E1051" s="33"/>
      <c r="F1051" s="33"/>
      <c r="G1051" s="33"/>
      <c r="H1051" s="30" t="s">
        <v>647</v>
      </c>
      <c r="I1051" s="30">
        <v>747</v>
      </c>
      <c r="J1051" s="212">
        <v>41782</v>
      </c>
      <c r="K1051" s="23"/>
      <c r="L1051" s="23">
        <v>1</v>
      </c>
      <c r="M1051" s="23"/>
      <c r="N1051" s="23"/>
      <c r="O1051" s="23"/>
      <c r="P1051" s="23">
        <v>58290246</v>
      </c>
      <c r="Q1051" s="23"/>
      <c r="R1051" s="23"/>
      <c r="S1051" s="23"/>
      <c r="T1051" s="23"/>
      <c r="U1051" s="225">
        <v>26230610</v>
      </c>
      <c r="V1051" s="23"/>
      <c r="W1051" s="311"/>
      <c r="X1051" s="311"/>
      <c r="Y1051" s="311"/>
      <c r="Z1051" s="94">
        <v>32059636</v>
      </c>
      <c r="AA1051" s="23">
        <v>20</v>
      </c>
      <c r="AB1051" s="311">
        <v>43313</v>
      </c>
      <c r="AC1051" s="23"/>
      <c r="AD1051" s="23"/>
      <c r="AE1051" s="158"/>
      <c r="AF1051" s="158">
        <f>P1051-U1051-Z1051</f>
        <v>0</v>
      </c>
      <c r="AG1051" s="158"/>
      <c r="AH1051" s="94">
        <v>0</v>
      </c>
      <c r="AI1051" s="94">
        <v>0</v>
      </c>
      <c r="AJ1051" s="94"/>
      <c r="AK1051" s="158">
        <f t="shared" ref="AK1051" si="245">AF1051+AH1051</f>
        <v>0</v>
      </c>
      <c r="AL1051" s="158">
        <v>877</v>
      </c>
      <c r="AM1051" s="158">
        <v>20</v>
      </c>
      <c r="AN1051" s="158"/>
      <c r="AO1051" s="158"/>
      <c r="AP1051" s="23"/>
      <c r="AQ1051" s="23"/>
      <c r="AR1051" s="23"/>
      <c r="AS1051" s="23"/>
      <c r="AT1051" s="2">
        <v>1</v>
      </c>
      <c r="AU1051" s="58" t="s">
        <v>646</v>
      </c>
      <c r="AV1051" s="388" t="s">
        <v>1862</v>
      </c>
      <c r="AW1051" s="23"/>
      <c r="AX1051" s="23"/>
      <c r="AY1051" s="23"/>
      <c r="AZ1051" s="23">
        <v>1</v>
      </c>
      <c r="BA1051" s="23"/>
      <c r="BB1051" s="23"/>
      <c r="BC1051" s="223"/>
      <c r="BD1051" s="223">
        <v>1</v>
      </c>
      <c r="BE1051" s="223"/>
      <c r="BF1051" s="270">
        <v>2019</v>
      </c>
      <c r="BG1051" s="270">
        <v>2019</v>
      </c>
      <c r="BH1051" s="271"/>
      <c r="BI1051" s="271" t="s">
        <v>2375</v>
      </c>
    </row>
    <row r="1052" spans="1:61" ht="15" customHeight="1">
      <c r="A1052" s="160" t="s">
        <v>1</v>
      </c>
      <c r="B1052" s="58" t="s">
        <v>320</v>
      </c>
      <c r="C1052" s="122" t="s">
        <v>892</v>
      </c>
      <c r="D1052" s="33" t="s">
        <v>438</v>
      </c>
      <c r="E1052" s="33"/>
      <c r="F1052" s="33"/>
      <c r="G1052" s="33"/>
      <c r="H1052" s="30" t="s">
        <v>647</v>
      </c>
      <c r="I1052" s="30"/>
      <c r="J1052" s="212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25"/>
      <c r="V1052" s="23"/>
      <c r="W1052" s="311"/>
      <c r="X1052" s="311"/>
      <c r="Y1052" s="311"/>
      <c r="Z1052" s="94"/>
      <c r="AA1052" s="23"/>
      <c r="AB1052" s="23"/>
      <c r="AC1052" s="23"/>
      <c r="AD1052" s="23"/>
      <c r="AE1052" s="158"/>
      <c r="AF1052" s="158"/>
      <c r="AG1052" s="158"/>
      <c r="AH1052" s="158"/>
      <c r="AI1052" s="158"/>
      <c r="AJ1052" s="158"/>
      <c r="AK1052" s="158"/>
      <c r="AL1052" s="158"/>
      <c r="AM1052" s="158"/>
      <c r="AN1052" s="158"/>
      <c r="AO1052" s="158"/>
      <c r="AP1052" s="23"/>
      <c r="AQ1052" s="23"/>
      <c r="AR1052" s="23"/>
      <c r="AS1052" s="23"/>
      <c r="AT1052" s="2">
        <v>1</v>
      </c>
      <c r="AU1052" s="58" t="s">
        <v>646</v>
      </c>
      <c r="AV1052" s="110" t="s">
        <v>817</v>
      </c>
      <c r="AW1052" s="23"/>
      <c r="AX1052" s="23"/>
      <c r="AY1052" s="514">
        <v>1</v>
      </c>
      <c r="AZ1052" s="23"/>
      <c r="BA1052" s="23"/>
      <c r="BB1052" s="23">
        <v>1</v>
      </c>
      <c r="BC1052" s="223"/>
      <c r="BD1052" s="223"/>
      <c r="BE1052" s="223"/>
      <c r="BF1052" s="270">
        <v>2018</v>
      </c>
      <c r="BG1052" s="270"/>
      <c r="BH1052" s="268"/>
      <c r="BI1052" s="682" t="s">
        <v>2376</v>
      </c>
    </row>
    <row r="1053" spans="1:61" ht="15" customHeight="1">
      <c r="A1053" s="160" t="s">
        <v>1</v>
      </c>
      <c r="B1053" s="58" t="s">
        <v>320</v>
      </c>
      <c r="C1053" s="122" t="s">
        <v>818</v>
      </c>
      <c r="D1053" s="33" t="s">
        <v>438</v>
      </c>
      <c r="E1053" s="33"/>
      <c r="F1053" s="33"/>
      <c r="G1053" s="33"/>
      <c r="H1053" s="30" t="s">
        <v>647</v>
      </c>
      <c r="I1053" s="30"/>
      <c r="J1053" s="212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25"/>
      <c r="V1053" s="23"/>
      <c r="W1053" s="311"/>
      <c r="X1053" s="311"/>
      <c r="Y1053" s="311"/>
      <c r="Z1053" s="94"/>
      <c r="AA1053" s="23"/>
      <c r="AB1053" s="23"/>
      <c r="AC1053" s="23"/>
      <c r="AD1053" s="23"/>
      <c r="AE1053" s="158"/>
      <c r="AF1053" s="158"/>
      <c r="AG1053" s="158"/>
      <c r="AH1053" s="158"/>
      <c r="AI1053" s="158"/>
      <c r="AJ1053" s="158"/>
      <c r="AK1053" s="158"/>
      <c r="AL1053" s="158"/>
      <c r="AM1053" s="158"/>
      <c r="AN1053" s="158"/>
      <c r="AO1053" s="158"/>
      <c r="AP1053" s="23"/>
      <c r="AQ1053" s="23"/>
      <c r="AR1053" s="23"/>
      <c r="AS1053" s="23"/>
      <c r="AT1053" s="2">
        <v>1</v>
      </c>
      <c r="AU1053" s="58" t="s">
        <v>646</v>
      </c>
      <c r="AV1053" s="110" t="s">
        <v>911</v>
      </c>
      <c r="AW1053" s="23"/>
      <c r="AX1053" s="23"/>
      <c r="AY1053" s="514">
        <v>1</v>
      </c>
      <c r="AZ1053" s="23"/>
      <c r="BA1053" s="23"/>
      <c r="BB1053" s="23">
        <v>1</v>
      </c>
      <c r="BC1053" s="223"/>
      <c r="BD1053" s="223"/>
      <c r="BE1053" s="223"/>
      <c r="BF1053" s="270">
        <v>2018</v>
      </c>
      <c r="BG1053" s="270"/>
      <c r="BH1053" s="268"/>
      <c r="BI1053" s="682" t="s">
        <v>2376</v>
      </c>
    </row>
    <row r="1054" spans="1:61" ht="27.75" customHeight="1">
      <c r="A1054" s="160" t="s">
        <v>1</v>
      </c>
      <c r="B1054" s="58" t="s">
        <v>320</v>
      </c>
      <c r="C1054" s="122" t="s">
        <v>1854</v>
      </c>
      <c r="D1054" s="33" t="s">
        <v>387</v>
      </c>
      <c r="E1054" s="33"/>
      <c r="F1054" s="33"/>
      <c r="G1054" s="33"/>
      <c r="H1054" s="30" t="s">
        <v>647</v>
      </c>
      <c r="I1054" s="30">
        <v>3010</v>
      </c>
      <c r="J1054" s="212">
        <v>43091</v>
      </c>
      <c r="K1054" s="23"/>
      <c r="L1054" s="23">
        <v>1</v>
      </c>
      <c r="M1054" s="23"/>
      <c r="N1054" s="23"/>
      <c r="O1054" s="23"/>
      <c r="P1054" s="23">
        <v>60837116</v>
      </c>
      <c r="Q1054" s="23"/>
      <c r="R1054" s="23"/>
      <c r="S1054" s="23"/>
      <c r="T1054" s="23"/>
      <c r="U1054" s="225">
        <v>27376702</v>
      </c>
      <c r="V1054" s="23"/>
      <c r="W1054" s="311"/>
      <c r="X1054" s="311"/>
      <c r="Y1054" s="311"/>
      <c r="Z1054" s="94">
        <v>33460414</v>
      </c>
      <c r="AA1054" s="23"/>
      <c r="AB1054" s="23"/>
      <c r="AC1054" s="23"/>
      <c r="AD1054" s="23"/>
      <c r="AE1054" s="158"/>
      <c r="AF1054" s="158">
        <f>P1054-U1054-Z1054</f>
        <v>0</v>
      </c>
      <c r="AG1054" s="158"/>
      <c r="AH1054" s="94">
        <v>0</v>
      </c>
      <c r="AI1054" s="94">
        <v>0</v>
      </c>
      <c r="AJ1054" s="94"/>
      <c r="AK1054" s="158">
        <f t="shared" ref="AK1054" si="246">AF1054+AH1054</f>
        <v>0</v>
      </c>
      <c r="AL1054" s="158"/>
      <c r="AM1054" s="158"/>
      <c r="AN1054" s="158"/>
      <c r="AO1054" s="158"/>
      <c r="AP1054" s="23"/>
      <c r="AQ1054" s="23"/>
      <c r="AR1054" s="23"/>
      <c r="AS1054" s="23"/>
      <c r="AT1054" s="2">
        <v>1</v>
      </c>
      <c r="AU1054" s="58" t="s">
        <v>646</v>
      </c>
      <c r="AV1054" s="723" t="s">
        <v>1855</v>
      </c>
      <c r="AW1054" s="23"/>
      <c r="AX1054" s="50"/>
      <c r="AY1054" s="50"/>
      <c r="AZ1054" s="23">
        <v>1</v>
      </c>
      <c r="BA1054" s="23"/>
      <c r="BB1054" s="50"/>
      <c r="BC1054" s="293"/>
      <c r="BD1054" s="223">
        <v>1</v>
      </c>
      <c r="BE1054" s="223"/>
      <c r="BF1054" s="270">
        <v>2019</v>
      </c>
      <c r="BG1054" s="270">
        <v>2019</v>
      </c>
      <c r="BH1054" s="271"/>
      <c r="BI1054" s="271" t="s">
        <v>2375</v>
      </c>
    </row>
    <row r="1055" spans="1:61" ht="15" customHeight="1">
      <c r="A1055" s="160" t="s">
        <v>1</v>
      </c>
      <c r="B1055" s="58" t="s">
        <v>320</v>
      </c>
      <c r="C1055" s="122" t="s">
        <v>995</v>
      </c>
      <c r="D1055" s="33" t="s">
        <v>588</v>
      </c>
      <c r="E1055" s="33"/>
      <c r="F1055" s="33"/>
      <c r="G1055" s="33"/>
      <c r="H1055" s="30" t="s">
        <v>647</v>
      </c>
      <c r="I1055" s="30"/>
      <c r="J1055" s="212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25"/>
      <c r="V1055" s="23"/>
      <c r="W1055" s="311"/>
      <c r="X1055" s="311"/>
      <c r="Y1055" s="311"/>
      <c r="Z1055" s="94"/>
      <c r="AA1055" s="23"/>
      <c r="AB1055" s="23"/>
      <c r="AC1055" s="23"/>
      <c r="AD1055" s="23"/>
      <c r="AE1055" s="158"/>
      <c r="AF1055" s="158"/>
      <c r="AG1055" s="158"/>
      <c r="AH1055" s="158"/>
      <c r="AI1055" s="158"/>
      <c r="AJ1055" s="158"/>
      <c r="AK1055" s="158"/>
      <c r="AL1055" s="158"/>
      <c r="AM1055" s="158"/>
      <c r="AN1055" s="158"/>
      <c r="AO1055" s="158"/>
      <c r="AP1055" s="23"/>
      <c r="AQ1055" s="23"/>
      <c r="AR1055" s="23"/>
      <c r="AS1055" s="23"/>
      <c r="AT1055" s="2">
        <v>1</v>
      </c>
      <c r="AU1055" s="58" t="s">
        <v>646</v>
      </c>
      <c r="AV1055" s="105"/>
      <c r="AW1055" s="23"/>
      <c r="AX1055" s="23"/>
      <c r="AY1055" s="514">
        <v>1</v>
      </c>
      <c r="AZ1055" s="23"/>
      <c r="BA1055" s="23"/>
      <c r="BB1055" s="23">
        <v>1</v>
      </c>
      <c r="BC1055" s="223"/>
      <c r="BD1055" s="223"/>
      <c r="BE1055" s="223"/>
      <c r="BF1055" s="270">
        <v>2018</v>
      </c>
      <c r="BG1055" s="270"/>
      <c r="BH1055" s="268"/>
      <c r="BI1055" s="682" t="s">
        <v>2376</v>
      </c>
    </row>
    <row r="1056" spans="1:61" ht="15" customHeight="1">
      <c r="A1056" s="160" t="s">
        <v>1</v>
      </c>
      <c r="B1056" s="58" t="s">
        <v>320</v>
      </c>
      <c r="C1056" s="122" t="s">
        <v>821</v>
      </c>
      <c r="D1056" s="33" t="s">
        <v>588</v>
      </c>
      <c r="E1056" s="33"/>
      <c r="F1056" s="33"/>
      <c r="G1056" s="33"/>
      <c r="H1056" s="30" t="s">
        <v>647</v>
      </c>
      <c r="I1056" s="30"/>
      <c r="J1056" s="212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25"/>
      <c r="V1056" s="23"/>
      <c r="W1056" s="311"/>
      <c r="X1056" s="311"/>
      <c r="Y1056" s="311"/>
      <c r="Z1056" s="94"/>
      <c r="AA1056" s="23"/>
      <c r="AB1056" s="23"/>
      <c r="AC1056" s="23"/>
      <c r="AD1056" s="23"/>
      <c r="AE1056" s="158"/>
      <c r="AF1056" s="158"/>
      <c r="AG1056" s="158"/>
      <c r="AH1056" s="158"/>
      <c r="AI1056" s="158"/>
      <c r="AJ1056" s="158"/>
      <c r="AK1056" s="158"/>
      <c r="AL1056" s="158"/>
      <c r="AM1056" s="158"/>
      <c r="AN1056" s="158"/>
      <c r="AO1056" s="158"/>
      <c r="AP1056" s="23"/>
      <c r="AQ1056" s="23"/>
      <c r="AR1056" s="23"/>
      <c r="AS1056" s="23"/>
      <c r="AT1056" s="2">
        <v>1</v>
      </c>
      <c r="AU1056" s="58" t="s">
        <v>646</v>
      </c>
      <c r="AV1056" s="105"/>
      <c r="AW1056" s="23"/>
      <c r="AX1056" s="23"/>
      <c r="AY1056" s="514">
        <v>1</v>
      </c>
      <c r="AZ1056" s="23"/>
      <c r="BA1056" s="23"/>
      <c r="BB1056" s="23">
        <v>1</v>
      </c>
      <c r="BC1056" s="223"/>
      <c r="BD1056" s="223"/>
      <c r="BE1056" s="223"/>
      <c r="BF1056" s="270">
        <v>2018</v>
      </c>
      <c r="BG1056" s="270"/>
      <c r="BH1056" s="268"/>
      <c r="BI1056" s="682" t="s">
        <v>2376</v>
      </c>
    </row>
    <row r="1057" spans="1:61" ht="15" customHeight="1">
      <c r="A1057" s="160" t="s">
        <v>1</v>
      </c>
      <c r="B1057" s="58" t="s">
        <v>320</v>
      </c>
      <c r="C1057" s="122" t="s">
        <v>822</v>
      </c>
      <c r="D1057" s="33" t="s">
        <v>588</v>
      </c>
      <c r="E1057" s="33"/>
      <c r="F1057" s="33"/>
      <c r="G1057" s="33"/>
      <c r="H1057" s="30" t="s">
        <v>647</v>
      </c>
      <c r="I1057" s="30"/>
      <c r="J1057" s="212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25"/>
      <c r="V1057" s="23"/>
      <c r="W1057" s="311"/>
      <c r="X1057" s="311"/>
      <c r="Y1057" s="311"/>
      <c r="Z1057" s="94"/>
      <c r="AA1057" s="23"/>
      <c r="AB1057" s="23"/>
      <c r="AC1057" s="23"/>
      <c r="AD1057" s="23"/>
      <c r="AE1057" s="158"/>
      <c r="AF1057" s="158"/>
      <c r="AG1057" s="158"/>
      <c r="AH1057" s="158"/>
      <c r="AI1057" s="158"/>
      <c r="AJ1057" s="158"/>
      <c r="AK1057" s="158"/>
      <c r="AL1057" s="158"/>
      <c r="AM1057" s="158"/>
      <c r="AN1057" s="158"/>
      <c r="AO1057" s="158"/>
      <c r="AP1057" s="23"/>
      <c r="AQ1057" s="23"/>
      <c r="AR1057" s="23"/>
      <c r="AS1057" s="23"/>
      <c r="AT1057" s="2">
        <v>1</v>
      </c>
      <c r="AU1057" s="58" t="s">
        <v>646</v>
      </c>
      <c r="AV1057" s="105"/>
      <c r="AW1057" s="23"/>
      <c r="AX1057" s="23"/>
      <c r="AY1057" s="514">
        <v>1</v>
      </c>
      <c r="AZ1057" s="23"/>
      <c r="BA1057" s="23"/>
      <c r="BB1057" s="23">
        <v>1</v>
      </c>
      <c r="BC1057" s="223"/>
      <c r="BD1057" s="223"/>
      <c r="BE1057" s="223"/>
      <c r="BF1057" s="270">
        <v>2018</v>
      </c>
      <c r="BG1057" s="270"/>
      <c r="BH1057" s="268"/>
      <c r="BI1057" s="682" t="s">
        <v>2376</v>
      </c>
    </row>
    <row r="1058" spans="1:61" ht="15" customHeight="1">
      <c r="A1058" s="160" t="s">
        <v>1</v>
      </c>
      <c r="B1058" s="58" t="s">
        <v>320</v>
      </c>
      <c r="C1058" s="122" t="s">
        <v>823</v>
      </c>
      <c r="D1058" s="33" t="s">
        <v>588</v>
      </c>
      <c r="E1058" s="33"/>
      <c r="F1058" s="33"/>
      <c r="G1058" s="33"/>
      <c r="H1058" s="30" t="s">
        <v>647</v>
      </c>
      <c r="I1058" s="30"/>
      <c r="J1058" s="212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25"/>
      <c r="V1058" s="23"/>
      <c r="W1058" s="311"/>
      <c r="X1058" s="311"/>
      <c r="Y1058" s="311"/>
      <c r="Z1058" s="94"/>
      <c r="AA1058" s="23"/>
      <c r="AB1058" s="23"/>
      <c r="AC1058" s="23"/>
      <c r="AD1058" s="23"/>
      <c r="AE1058" s="158"/>
      <c r="AF1058" s="158"/>
      <c r="AG1058" s="158"/>
      <c r="AH1058" s="158"/>
      <c r="AI1058" s="158"/>
      <c r="AJ1058" s="158"/>
      <c r="AK1058" s="158"/>
      <c r="AL1058" s="158"/>
      <c r="AM1058" s="158"/>
      <c r="AN1058" s="158"/>
      <c r="AO1058" s="158"/>
      <c r="AP1058" s="23"/>
      <c r="AQ1058" s="23"/>
      <c r="AR1058" s="23"/>
      <c r="AS1058" s="23"/>
      <c r="AT1058" s="2">
        <v>1</v>
      </c>
      <c r="AU1058" s="58" t="s">
        <v>646</v>
      </c>
      <c r="AV1058" s="105"/>
      <c r="AW1058" s="23"/>
      <c r="AX1058" s="23"/>
      <c r="AY1058" s="514">
        <v>1</v>
      </c>
      <c r="AZ1058" s="23"/>
      <c r="BA1058" s="23"/>
      <c r="BB1058" s="23">
        <v>1</v>
      </c>
      <c r="BC1058" s="223"/>
      <c r="BD1058" s="223"/>
      <c r="BE1058" s="223"/>
      <c r="BF1058" s="270">
        <v>2018</v>
      </c>
      <c r="BG1058" s="270"/>
      <c r="BH1058" s="268"/>
      <c r="BI1058" s="682" t="s">
        <v>2376</v>
      </c>
    </row>
    <row r="1059" spans="1:61" ht="18" customHeight="1">
      <c r="A1059" s="160" t="s">
        <v>1</v>
      </c>
      <c r="B1059" s="58" t="s">
        <v>320</v>
      </c>
      <c r="C1059" s="122" t="s">
        <v>824</v>
      </c>
      <c r="D1059" s="33" t="s">
        <v>387</v>
      </c>
      <c r="E1059" s="33"/>
      <c r="F1059" s="33"/>
      <c r="G1059" s="33"/>
      <c r="H1059" s="30" t="s">
        <v>647</v>
      </c>
      <c r="I1059" s="30">
        <v>2190</v>
      </c>
      <c r="J1059" s="212">
        <v>42979</v>
      </c>
      <c r="K1059" s="23"/>
      <c r="L1059" s="23">
        <v>1</v>
      </c>
      <c r="M1059" s="23"/>
      <c r="N1059" s="23"/>
      <c r="O1059" s="23"/>
      <c r="P1059" s="23">
        <v>60837116</v>
      </c>
      <c r="Q1059" s="23"/>
      <c r="R1059" s="23"/>
      <c r="S1059" s="23"/>
      <c r="T1059" s="23"/>
      <c r="U1059" s="225">
        <v>27376702</v>
      </c>
      <c r="V1059" s="23"/>
      <c r="W1059" s="311"/>
      <c r="X1059" s="311"/>
      <c r="Y1059" s="311"/>
      <c r="Z1059" s="94">
        <v>33460414</v>
      </c>
      <c r="AA1059" s="23"/>
      <c r="AB1059" s="23"/>
      <c r="AC1059" s="23"/>
      <c r="AD1059" s="23"/>
      <c r="AE1059" s="158"/>
      <c r="AF1059" s="158">
        <f>P1059-U1059-Z1059</f>
        <v>0</v>
      </c>
      <c r="AG1059" s="158"/>
      <c r="AH1059" s="94">
        <v>0</v>
      </c>
      <c r="AI1059" s="94">
        <v>0</v>
      </c>
      <c r="AJ1059" s="94"/>
      <c r="AK1059" s="158">
        <f t="shared" ref="AK1059" si="247">AF1059+AH1059</f>
        <v>0</v>
      </c>
      <c r="AL1059" s="158"/>
      <c r="AM1059" s="158"/>
      <c r="AN1059" s="158"/>
      <c r="AO1059" s="158"/>
      <c r="AP1059" s="23"/>
      <c r="AQ1059" s="23"/>
      <c r="AR1059" s="23"/>
      <c r="AS1059" s="23"/>
      <c r="AT1059" s="2">
        <v>1</v>
      </c>
      <c r="AU1059" s="58" t="s">
        <v>646</v>
      </c>
      <c r="AV1059" s="388" t="s">
        <v>1851</v>
      </c>
      <c r="AW1059" s="23"/>
      <c r="AX1059" s="23"/>
      <c r="AY1059" s="23"/>
      <c r="AZ1059" s="23">
        <v>1</v>
      </c>
      <c r="BA1059" s="23"/>
      <c r="BB1059" s="23"/>
      <c r="BC1059" s="223"/>
      <c r="BD1059" s="223">
        <v>1</v>
      </c>
      <c r="BE1059" s="223"/>
      <c r="BF1059" s="270">
        <v>2019</v>
      </c>
      <c r="BG1059" s="270">
        <v>2019</v>
      </c>
      <c r="BH1059" s="271"/>
      <c r="BI1059" s="271" t="s">
        <v>2375</v>
      </c>
    </row>
    <row r="1060" spans="1:61" ht="15" customHeight="1">
      <c r="A1060" s="160" t="s">
        <v>1</v>
      </c>
      <c r="B1060" s="58" t="s">
        <v>320</v>
      </c>
      <c r="C1060" s="122" t="s">
        <v>825</v>
      </c>
      <c r="D1060" s="33" t="s">
        <v>588</v>
      </c>
      <c r="E1060" s="33"/>
      <c r="F1060" s="33"/>
      <c r="G1060" s="33"/>
      <c r="H1060" s="30" t="s">
        <v>647</v>
      </c>
      <c r="I1060" s="30"/>
      <c r="J1060" s="212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25"/>
      <c r="V1060" s="23"/>
      <c r="W1060" s="311"/>
      <c r="X1060" s="311"/>
      <c r="Y1060" s="311"/>
      <c r="Z1060" s="94"/>
      <c r="AA1060" s="23"/>
      <c r="AB1060" s="23"/>
      <c r="AC1060" s="23"/>
      <c r="AD1060" s="23"/>
      <c r="AE1060" s="158"/>
      <c r="AF1060" s="158"/>
      <c r="AG1060" s="158"/>
      <c r="AH1060" s="158"/>
      <c r="AI1060" s="158"/>
      <c r="AJ1060" s="158"/>
      <c r="AK1060" s="158"/>
      <c r="AL1060" s="158"/>
      <c r="AM1060" s="158"/>
      <c r="AN1060" s="158"/>
      <c r="AO1060" s="158"/>
      <c r="AP1060" s="23"/>
      <c r="AQ1060" s="23"/>
      <c r="AR1060" s="23"/>
      <c r="AS1060" s="23"/>
      <c r="AT1060" s="2">
        <v>1</v>
      </c>
      <c r="AU1060" s="58" t="s">
        <v>646</v>
      </c>
      <c r="AV1060" s="105"/>
      <c r="AW1060" s="23"/>
      <c r="AX1060" s="23"/>
      <c r="AY1060" s="514">
        <v>1</v>
      </c>
      <c r="AZ1060" s="23"/>
      <c r="BA1060" s="23"/>
      <c r="BB1060" s="23">
        <v>1</v>
      </c>
      <c r="BC1060" s="223"/>
      <c r="BD1060" s="223"/>
      <c r="BE1060" s="223"/>
      <c r="BF1060" s="270">
        <v>2018</v>
      </c>
      <c r="BG1060" s="270"/>
      <c r="BH1060" s="268"/>
      <c r="BI1060" s="682" t="s">
        <v>2376</v>
      </c>
    </row>
    <row r="1061" spans="1:61" ht="15" customHeight="1">
      <c r="A1061" s="160" t="s">
        <v>1</v>
      </c>
      <c r="B1061" s="58" t="s">
        <v>320</v>
      </c>
      <c r="C1061" s="122" t="s">
        <v>826</v>
      </c>
      <c r="D1061" s="33" t="s">
        <v>588</v>
      </c>
      <c r="E1061" s="33"/>
      <c r="F1061" s="33"/>
      <c r="G1061" s="33"/>
      <c r="H1061" s="30" t="s">
        <v>647</v>
      </c>
      <c r="I1061" s="30"/>
      <c r="J1061" s="212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25"/>
      <c r="V1061" s="23"/>
      <c r="W1061" s="311"/>
      <c r="X1061" s="311"/>
      <c r="Y1061" s="311"/>
      <c r="Z1061" s="94"/>
      <c r="AA1061" s="23"/>
      <c r="AB1061" s="23"/>
      <c r="AC1061" s="23"/>
      <c r="AD1061" s="23"/>
      <c r="AE1061" s="158"/>
      <c r="AF1061" s="158"/>
      <c r="AG1061" s="158"/>
      <c r="AH1061" s="158"/>
      <c r="AI1061" s="158"/>
      <c r="AJ1061" s="158"/>
      <c r="AK1061" s="158"/>
      <c r="AL1061" s="158"/>
      <c r="AM1061" s="158"/>
      <c r="AN1061" s="158"/>
      <c r="AO1061" s="158"/>
      <c r="AP1061" s="23"/>
      <c r="AQ1061" s="23"/>
      <c r="AR1061" s="23"/>
      <c r="AS1061" s="23"/>
      <c r="AT1061" s="2">
        <v>1</v>
      </c>
      <c r="AU1061" s="58" t="s">
        <v>646</v>
      </c>
      <c r="AV1061" s="105"/>
      <c r="AW1061" s="23"/>
      <c r="AX1061" s="23"/>
      <c r="AY1061" s="514">
        <v>1</v>
      </c>
      <c r="AZ1061" s="23"/>
      <c r="BA1061" s="23"/>
      <c r="BB1061" s="23">
        <v>1</v>
      </c>
      <c r="BC1061" s="223"/>
      <c r="BD1061" s="223"/>
      <c r="BE1061" s="223"/>
      <c r="BF1061" s="270">
        <v>2018</v>
      </c>
      <c r="BG1061" s="270"/>
      <c r="BH1061" s="268"/>
      <c r="BI1061" s="682" t="s">
        <v>2376</v>
      </c>
    </row>
    <row r="1062" spans="1:61" ht="15" customHeight="1">
      <c r="A1062" s="160" t="s">
        <v>1</v>
      </c>
      <c r="B1062" s="58" t="s">
        <v>320</v>
      </c>
      <c r="C1062" s="122" t="s">
        <v>827</v>
      </c>
      <c r="D1062" s="33" t="s">
        <v>588</v>
      </c>
      <c r="E1062" s="33"/>
      <c r="F1062" s="33"/>
      <c r="G1062" s="33"/>
      <c r="H1062" s="30" t="s">
        <v>647</v>
      </c>
      <c r="I1062" s="30"/>
      <c r="J1062" s="212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25"/>
      <c r="V1062" s="23"/>
      <c r="W1062" s="311"/>
      <c r="X1062" s="311"/>
      <c r="Y1062" s="311"/>
      <c r="Z1062" s="94"/>
      <c r="AA1062" s="23"/>
      <c r="AB1062" s="23"/>
      <c r="AC1062" s="23"/>
      <c r="AD1062" s="23"/>
      <c r="AE1062" s="158"/>
      <c r="AF1062" s="158"/>
      <c r="AG1062" s="158"/>
      <c r="AH1062" s="158"/>
      <c r="AI1062" s="158"/>
      <c r="AJ1062" s="158"/>
      <c r="AK1062" s="158"/>
      <c r="AL1062" s="158"/>
      <c r="AM1062" s="158"/>
      <c r="AN1062" s="158"/>
      <c r="AO1062" s="158"/>
      <c r="AP1062" s="23"/>
      <c r="AQ1062" s="23"/>
      <c r="AR1062" s="23"/>
      <c r="AS1062" s="23"/>
      <c r="AT1062" s="2">
        <v>1</v>
      </c>
      <c r="AU1062" s="58" t="s">
        <v>646</v>
      </c>
      <c r="AV1062" s="105"/>
      <c r="AW1062" s="23"/>
      <c r="AX1062" s="23"/>
      <c r="AY1062" s="514">
        <v>1</v>
      </c>
      <c r="AZ1062" s="23"/>
      <c r="BA1062" s="23"/>
      <c r="BB1062" s="23">
        <v>1</v>
      </c>
      <c r="BC1062" s="223"/>
      <c r="BD1062" s="223"/>
      <c r="BE1062" s="223"/>
      <c r="BF1062" s="270">
        <v>2018</v>
      </c>
      <c r="BG1062" s="270"/>
      <c r="BH1062" s="268"/>
      <c r="BI1062" s="682" t="s">
        <v>2376</v>
      </c>
    </row>
    <row r="1063" spans="1:61" ht="15" customHeight="1">
      <c r="A1063" s="160" t="s">
        <v>1</v>
      </c>
      <c r="B1063" s="58" t="s">
        <v>320</v>
      </c>
      <c r="C1063" s="122" t="s">
        <v>1205</v>
      </c>
      <c r="D1063" s="33" t="s">
        <v>588</v>
      </c>
      <c r="E1063" s="33"/>
      <c r="F1063" s="33"/>
      <c r="G1063" s="33"/>
      <c r="H1063" s="30" t="s">
        <v>647</v>
      </c>
      <c r="I1063" s="30"/>
      <c r="J1063" s="212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25"/>
      <c r="V1063" s="23"/>
      <c r="W1063" s="311"/>
      <c r="X1063" s="311"/>
      <c r="Y1063" s="311"/>
      <c r="Z1063" s="94"/>
      <c r="AA1063" s="23"/>
      <c r="AB1063" s="23"/>
      <c r="AC1063" s="23"/>
      <c r="AD1063" s="23"/>
      <c r="AE1063" s="158"/>
      <c r="AF1063" s="158"/>
      <c r="AG1063" s="158"/>
      <c r="AH1063" s="158"/>
      <c r="AI1063" s="158"/>
      <c r="AJ1063" s="158"/>
      <c r="AK1063" s="158"/>
      <c r="AL1063" s="158"/>
      <c r="AM1063" s="158"/>
      <c r="AN1063" s="158"/>
      <c r="AO1063" s="158"/>
      <c r="AP1063" s="23"/>
      <c r="AQ1063" s="23"/>
      <c r="AR1063" s="23"/>
      <c r="AS1063" s="23"/>
      <c r="AT1063" s="2">
        <v>1</v>
      </c>
      <c r="AU1063" s="58" t="s">
        <v>646</v>
      </c>
      <c r="AV1063" s="105"/>
      <c r="AW1063" s="23"/>
      <c r="AX1063" s="23"/>
      <c r="AY1063" s="514">
        <v>1</v>
      </c>
      <c r="AZ1063" s="23"/>
      <c r="BA1063" s="23"/>
      <c r="BB1063" s="23">
        <v>1</v>
      </c>
      <c r="BC1063" s="223"/>
      <c r="BD1063" s="223"/>
      <c r="BE1063" s="223"/>
      <c r="BF1063" s="270">
        <v>2018</v>
      </c>
      <c r="BG1063" s="270"/>
      <c r="BH1063" s="268"/>
      <c r="BI1063" s="682" t="s">
        <v>2376</v>
      </c>
    </row>
    <row r="1064" spans="1:61" ht="15" customHeight="1">
      <c r="A1064" s="160" t="s">
        <v>1</v>
      </c>
      <c r="B1064" s="58" t="s">
        <v>320</v>
      </c>
      <c r="C1064" s="122" t="s">
        <v>828</v>
      </c>
      <c r="D1064" s="33" t="s">
        <v>588</v>
      </c>
      <c r="E1064" s="33"/>
      <c r="F1064" s="33"/>
      <c r="G1064" s="33"/>
      <c r="H1064" s="30" t="s">
        <v>663</v>
      </c>
      <c r="I1064" s="30"/>
      <c r="J1064" s="212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25"/>
      <c r="V1064" s="23"/>
      <c r="W1064" s="311"/>
      <c r="X1064" s="311"/>
      <c r="Y1064" s="311"/>
      <c r="Z1064" s="94"/>
      <c r="AA1064" s="23"/>
      <c r="AB1064" s="23"/>
      <c r="AC1064" s="23"/>
      <c r="AD1064" s="23"/>
      <c r="AE1064" s="158"/>
      <c r="AF1064" s="158"/>
      <c r="AG1064" s="158"/>
      <c r="AH1064" s="158"/>
      <c r="AI1064" s="158"/>
      <c r="AJ1064" s="158"/>
      <c r="AK1064" s="158"/>
      <c r="AL1064" s="158"/>
      <c r="AM1064" s="158"/>
      <c r="AN1064" s="158"/>
      <c r="AO1064" s="158"/>
      <c r="AP1064" s="23"/>
      <c r="AQ1064" s="50"/>
      <c r="AR1064" s="50"/>
      <c r="AS1064" s="50"/>
      <c r="AT1064" s="2">
        <v>1</v>
      </c>
      <c r="AU1064" s="58" t="s">
        <v>646</v>
      </c>
      <c r="AV1064" s="105"/>
      <c r="AW1064" s="23"/>
      <c r="AX1064" s="50"/>
      <c r="AY1064" s="514">
        <v>1</v>
      </c>
      <c r="AZ1064" s="23"/>
      <c r="BA1064" s="23"/>
      <c r="BB1064" s="23">
        <v>1</v>
      </c>
      <c r="BC1064" s="223"/>
      <c r="BD1064" s="223"/>
      <c r="BE1064" s="223"/>
      <c r="BF1064" s="270">
        <v>2018</v>
      </c>
      <c r="BG1064" s="270"/>
      <c r="BH1064" s="268"/>
      <c r="BI1064" s="682" t="s">
        <v>2376</v>
      </c>
    </row>
    <row r="1065" spans="1:61" ht="15" customHeight="1">
      <c r="A1065" s="160" t="s">
        <v>1</v>
      </c>
      <c r="B1065" s="58" t="s">
        <v>320</v>
      </c>
      <c r="C1065" s="122" t="s">
        <v>829</v>
      </c>
      <c r="D1065" s="33" t="s">
        <v>387</v>
      </c>
      <c r="E1065" s="33"/>
      <c r="F1065" s="33"/>
      <c r="G1065" s="33"/>
      <c r="H1065" s="30" t="s">
        <v>663</v>
      </c>
      <c r="I1065" s="30"/>
      <c r="J1065" s="212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25"/>
      <c r="V1065" s="23"/>
      <c r="W1065" s="311"/>
      <c r="X1065" s="311"/>
      <c r="Y1065" s="311"/>
      <c r="Z1065" s="94"/>
      <c r="AA1065" s="23"/>
      <c r="AB1065" s="23"/>
      <c r="AC1065" s="23"/>
      <c r="AD1065" s="23"/>
      <c r="AE1065" s="158"/>
      <c r="AF1065" s="158"/>
      <c r="AG1065" s="158"/>
      <c r="AH1065" s="158"/>
      <c r="AI1065" s="158"/>
      <c r="AJ1065" s="158"/>
      <c r="AK1065" s="158"/>
      <c r="AL1065" s="158"/>
      <c r="AM1065" s="158"/>
      <c r="AN1065" s="158"/>
      <c r="AO1065" s="158"/>
      <c r="AP1065" s="23"/>
      <c r="AQ1065" s="23"/>
      <c r="AR1065" s="23"/>
      <c r="AS1065" s="23"/>
      <c r="AT1065" s="2">
        <v>1</v>
      </c>
      <c r="AU1065" s="58" t="s">
        <v>646</v>
      </c>
      <c r="AV1065" s="105"/>
      <c r="AW1065" s="23"/>
      <c r="AX1065" s="50"/>
      <c r="AY1065" s="514">
        <v>1</v>
      </c>
      <c r="AZ1065" s="23"/>
      <c r="BA1065" s="23"/>
      <c r="BB1065" s="23">
        <v>1</v>
      </c>
      <c r="BC1065" s="223"/>
      <c r="BD1065" s="223"/>
      <c r="BE1065" s="223"/>
      <c r="BF1065" s="270">
        <v>2018</v>
      </c>
      <c r="BG1065" s="270"/>
      <c r="BH1065" s="268"/>
      <c r="BI1065" s="682" t="s">
        <v>2376</v>
      </c>
    </row>
    <row r="1066" spans="1:61" ht="15" customHeight="1">
      <c r="A1066" s="160" t="s">
        <v>1</v>
      </c>
      <c r="B1066" s="58" t="s">
        <v>320</v>
      </c>
      <c r="C1066" s="122" t="s">
        <v>830</v>
      </c>
      <c r="D1066" s="33" t="s">
        <v>588</v>
      </c>
      <c r="E1066" s="33"/>
      <c r="F1066" s="33"/>
      <c r="G1066" s="33"/>
      <c r="H1066" s="30" t="s">
        <v>661</v>
      </c>
      <c r="I1066" s="30"/>
      <c r="J1066" s="212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25"/>
      <c r="V1066" s="23"/>
      <c r="W1066" s="311"/>
      <c r="X1066" s="311"/>
      <c r="Y1066" s="311"/>
      <c r="Z1066" s="94"/>
      <c r="AA1066" s="23"/>
      <c r="AB1066" s="23"/>
      <c r="AC1066" s="23"/>
      <c r="AD1066" s="23"/>
      <c r="AE1066" s="158"/>
      <c r="AF1066" s="158"/>
      <c r="AG1066" s="158"/>
      <c r="AH1066" s="158"/>
      <c r="AI1066" s="158"/>
      <c r="AJ1066" s="158"/>
      <c r="AK1066" s="158"/>
      <c r="AL1066" s="158"/>
      <c r="AM1066" s="158"/>
      <c r="AN1066" s="158"/>
      <c r="AO1066" s="158"/>
      <c r="AP1066" s="23"/>
      <c r="AQ1066" s="50"/>
      <c r="AR1066" s="50"/>
      <c r="AS1066" s="50"/>
      <c r="AT1066" s="2">
        <v>1</v>
      </c>
      <c r="AU1066" s="58" t="s">
        <v>646</v>
      </c>
      <c r="AV1066" s="105"/>
      <c r="AW1066" s="23"/>
      <c r="AX1066" s="50"/>
      <c r="AY1066" s="514">
        <v>1</v>
      </c>
      <c r="AZ1066" s="23"/>
      <c r="BA1066" s="23"/>
      <c r="BB1066" s="23">
        <v>1</v>
      </c>
      <c r="BC1066" s="223"/>
      <c r="BD1066" s="223"/>
      <c r="BE1066" s="223"/>
      <c r="BF1066" s="270">
        <v>2018</v>
      </c>
      <c r="BG1066" s="270"/>
      <c r="BH1066" s="268"/>
      <c r="BI1066" s="682" t="s">
        <v>2376</v>
      </c>
    </row>
    <row r="1067" spans="1:61" ht="15" customHeight="1">
      <c r="A1067" s="160" t="s">
        <v>1</v>
      </c>
      <c r="B1067" s="58" t="s">
        <v>320</v>
      </c>
      <c r="C1067" s="122" t="s">
        <v>831</v>
      </c>
      <c r="D1067" s="33" t="s">
        <v>588</v>
      </c>
      <c r="E1067" s="33"/>
      <c r="F1067" s="33"/>
      <c r="G1067" s="33"/>
      <c r="H1067" s="30" t="s">
        <v>657</v>
      </c>
      <c r="I1067" s="30"/>
      <c r="J1067" s="212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25"/>
      <c r="V1067" s="23"/>
      <c r="W1067" s="311"/>
      <c r="X1067" s="311"/>
      <c r="Y1067" s="311"/>
      <c r="Z1067" s="94"/>
      <c r="AA1067" s="23"/>
      <c r="AB1067" s="23"/>
      <c r="AC1067" s="23"/>
      <c r="AD1067" s="23"/>
      <c r="AE1067" s="158"/>
      <c r="AF1067" s="158"/>
      <c r="AG1067" s="158"/>
      <c r="AH1067" s="158"/>
      <c r="AI1067" s="158"/>
      <c r="AJ1067" s="158"/>
      <c r="AK1067" s="158"/>
      <c r="AL1067" s="158"/>
      <c r="AM1067" s="158"/>
      <c r="AN1067" s="158"/>
      <c r="AO1067" s="158"/>
      <c r="AP1067" s="23"/>
      <c r="AQ1067" s="50"/>
      <c r="AR1067" s="50"/>
      <c r="AS1067" s="50"/>
      <c r="AT1067" s="2">
        <v>1</v>
      </c>
      <c r="AU1067" s="58" t="s">
        <v>646</v>
      </c>
      <c r="AV1067" s="105"/>
      <c r="AW1067" s="23"/>
      <c r="AX1067" s="50"/>
      <c r="AY1067" s="514">
        <v>1</v>
      </c>
      <c r="AZ1067" s="23"/>
      <c r="BA1067" s="23"/>
      <c r="BB1067" s="23">
        <v>1</v>
      </c>
      <c r="BC1067" s="223"/>
      <c r="BD1067" s="223"/>
      <c r="BE1067" s="223"/>
      <c r="BF1067" s="270">
        <v>2018</v>
      </c>
      <c r="BG1067" s="270"/>
      <c r="BH1067" s="268"/>
      <c r="BI1067" s="682" t="s">
        <v>2376</v>
      </c>
    </row>
    <row r="1068" spans="1:61" ht="15" customHeight="1">
      <c r="A1068" s="160" t="s">
        <v>1</v>
      </c>
      <c r="B1068" s="58" t="s">
        <v>320</v>
      </c>
      <c r="C1068" s="122" t="s">
        <v>902</v>
      </c>
      <c r="D1068" s="33" t="s">
        <v>588</v>
      </c>
      <c r="E1068" s="33"/>
      <c r="F1068" s="33"/>
      <c r="G1068" s="33"/>
      <c r="H1068" s="30" t="s">
        <v>663</v>
      </c>
      <c r="I1068" s="30"/>
      <c r="J1068" s="212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25"/>
      <c r="V1068" s="23"/>
      <c r="W1068" s="311"/>
      <c r="X1068" s="311"/>
      <c r="Y1068" s="311"/>
      <c r="Z1068" s="94"/>
      <c r="AA1068" s="23"/>
      <c r="AB1068" s="23"/>
      <c r="AC1068" s="23"/>
      <c r="AD1068" s="23"/>
      <c r="AE1068" s="158"/>
      <c r="AF1068" s="158"/>
      <c r="AG1068" s="158"/>
      <c r="AH1068" s="158"/>
      <c r="AI1068" s="158"/>
      <c r="AJ1068" s="158"/>
      <c r="AK1068" s="158"/>
      <c r="AL1068" s="158"/>
      <c r="AM1068" s="158"/>
      <c r="AN1068" s="158"/>
      <c r="AO1068" s="158"/>
      <c r="AP1068" s="23"/>
      <c r="AQ1068" s="50"/>
      <c r="AR1068" s="50"/>
      <c r="AS1068" s="50"/>
      <c r="AT1068" s="2">
        <v>1</v>
      </c>
      <c r="AU1068" s="58" t="s">
        <v>646</v>
      </c>
      <c r="AV1068" s="105" t="s">
        <v>704</v>
      </c>
      <c r="AW1068" s="23"/>
      <c r="AX1068" s="50"/>
      <c r="AY1068" s="514">
        <v>1</v>
      </c>
      <c r="AZ1068" s="23"/>
      <c r="BA1068" s="23"/>
      <c r="BB1068" s="23">
        <v>1</v>
      </c>
      <c r="BC1068" s="223"/>
      <c r="BD1068" s="223"/>
      <c r="BE1068" s="223"/>
      <c r="BF1068" s="270">
        <v>2018</v>
      </c>
      <c r="BG1068" s="270"/>
      <c r="BH1068" s="268"/>
      <c r="BI1068" s="682" t="s">
        <v>2376</v>
      </c>
    </row>
    <row r="1069" spans="1:61" ht="15" customHeight="1">
      <c r="A1069" s="160" t="s">
        <v>1</v>
      </c>
      <c r="B1069" s="58" t="s">
        <v>320</v>
      </c>
      <c r="C1069" s="122" t="s">
        <v>832</v>
      </c>
      <c r="D1069" s="33" t="s">
        <v>387</v>
      </c>
      <c r="E1069" s="33"/>
      <c r="F1069" s="33"/>
      <c r="G1069" s="33"/>
      <c r="H1069" s="30" t="s">
        <v>659</v>
      </c>
      <c r="I1069" s="30"/>
      <c r="J1069" s="212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25"/>
      <c r="V1069" s="23"/>
      <c r="W1069" s="311"/>
      <c r="X1069" s="311"/>
      <c r="Y1069" s="311"/>
      <c r="Z1069" s="94"/>
      <c r="AA1069" s="23"/>
      <c r="AB1069" s="23"/>
      <c r="AC1069" s="23"/>
      <c r="AD1069" s="23"/>
      <c r="AE1069" s="158"/>
      <c r="AF1069" s="158"/>
      <c r="AG1069" s="158"/>
      <c r="AH1069" s="158"/>
      <c r="AI1069" s="158"/>
      <c r="AJ1069" s="158"/>
      <c r="AK1069" s="158"/>
      <c r="AL1069" s="158"/>
      <c r="AM1069" s="158"/>
      <c r="AN1069" s="158"/>
      <c r="AO1069" s="158"/>
      <c r="AP1069" s="23"/>
      <c r="AQ1069" s="50"/>
      <c r="AR1069" s="50"/>
      <c r="AS1069" s="50"/>
      <c r="AT1069" s="2">
        <v>1</v>
      </c>
      <c r="AU1069" s="58" t="s">
        <v>646</v>
      </c>
      <c r="AV1069" s="105"/>
      <c r="AW1069" s="23"/>
      <c r="AX1069" s="50"/>
      <c r="AY1069" s="514">
        <v>1</v>
      </c>
      <c r="AZ1069" s="23"/>
      <c r="BA1069" s="23"/>
      <c r="BB1069" s="23">
        <v>1</v>
      </c>
      <c r="BC1069" s="223"/>
      <c r="BD1069" s="223"/>
      <c r="BE1069" s="223"/>
      <c r="BF1069" s="270">
        <v>2018</v>
      </c>
      <c r="BG1069" s="270"/>
      <c r="BH1069" s="268"/>
      <c r="BI1069" s="682" t="s">
        <v>2376</v>
      </c>
    </row>
    <row r="1070" spans="1:61" ht="15" customHeight="1">
      <c r="A1070" s="230" t="s">
        <v>1</v>
      </c>
      <c r="B1070" s="58" t="s">
        <v>320</v>
      </c>
      <c r="C1070" s="236" t="s">
        <v>833</v>
      </c>
      <c r="D1070" s="33" t="s">
        <v>588</v>
      </c>
      <c r="E1070" s="33"/>
      <c r="F1070" s="33"/>
      <c r="G1070" s="33"/>
      <c r="H1070" s="30" t="s">
        <v>663</v>
      </c>
      <c r="I1070" s="30"/>
      <c r="J1070" s="212"/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25"/>
      <c r="V1070" s="23"/>
      <c r="W1070" s="311"/>
      <c r="X1070" s="311"/>
      <c r="Y1070" s="311"/>
      <c r="Z1070" s="94"/>
      <c r="AA1070" s="23"/>
      <c r="AB1070" s="57"/>
      <c r="AC1070" s="57"/>
      <c r="AD1070" s="57"/>
      <c r="AE1070" s="158"/>
      <c r="AF1070" s="158"/>
      <c r="AG1070" s="158"/>
      <c r="AH1070" s="158"/>
      <c r="AI1070" s="158"/>
      <c r="AJ1070" s="158"/>
      <c r="AK1070" s="158"/>
      <c r="AL1070" s="158"/>
      <c r="AM1070" s="158"/>
      <c r="AN1070" s="158"/>
      <c r="AO1070" s="158"/>
      <c r="AP1070" s="23"/>
      <c r="AQ1070" s="50"/>
      <c r="AR1070" s="50"/>
      <c r="AS1070" s="50"/>
      <c r="AT1070" s="2">
        <v>1</v>
      </c>
      <c r="AU1070" s="58" t="s">
        <v>646</v>
      </c>
      <c r="AV1070" s="105"/>
      <c r="AW1070" s="23"/>
      <c r="AX1070" s="50"/>
      <c r="AY1070" s="514">
        <v>1</v>
      </c>
      <c r="AZ1070" s="23"/>
      <c r="BA1070" s="23"/>
      <c r="BB1070" s="23">
        <v>1</v>
      </c>
      <c r="BC1070" s="223"/>
      <c r="BD1070" s="223"/>
      <c r="BE1070" s="223"/>
      <c r="BF1070" s="270">
        <v>2018</v>
      </c>
      <c r="BG1070" s="270"/>
      <c r="BH1070" s="268"/>
      <c r="BI1070" s="682" t="s">
        <v>2376</v>
      </c>
    </row>
    <row r="1071" spans="1:61" s="204" customFormat="1" ht="18" customHeight="1">
      <c r="A1071" s="160" t="s">
        <v>1</v>
      </c>
      <c r="B1071" s="58" t="s">
        <v>320</v>
      </c>
      <c r="C1071" s="122" t="s">
        <v>1029</v>
      </c>
      <c r="D1071" s="33" t="s">
        <v>438</v>
      </c>
      <c r="E1071" s="33"/>
      <c r="F1071" s="33"/>
      <c r="G1071" s="33"/>
      <c r="H1071" s="30" t="s">
        <v>713</v>
      </c>
      <c r="I1071" s="228" t="s">
        <v>1520</v>
      </c>
      <c r="J1071" s="215" t="s">
        <v>1519</v>
      </c>
      <c r="K1071" s="23"/>
      <c r="L1071" s="23"/>
      <c r="M1071" s="23">
        <v>1</v>
      </c>
      <c r="N1071" s="23">
        <v>1</v>
      </c>
      <c r="O1071" s="23"/>
      <c r="P1071" s="23">
        <v>77562674</v>
      </c>
      <c r="Q1071" s="23"/>
      <c r="R1071" s="23"/>
      <c r="S1071" s="23"/>
      <c r="T1071" s="23"/>
      <c r="U1071" s="225"/>
      <c r="V1071" s="23"/>
      <c r="W1071" s="311"/>
      <c r="X1071" s="311"/>
      <c r="Y1071" s="311"/>
      <c r="Z1071" s="94"/>
      <c r="AA1071" s="223"/>
      <c r="AB1071" s="223"/>
      <c r="AC1071" s="223"/>
      <c r="AD1071" s="223"/>
      <c r="AE1071" s="158"/>
      <c r="AF1071" s="158">
        <f t="shared" ref="AF1071:AF1076" si="248">P1071-U1071-Z1071</f>
        <v>77562674</v>
      </c>
      <c r="AG1071" s="158"/>
      <c r="AH1071" s="94">
        <v>0</v>
      </c>
      <c r="AI1071" s="94">
        <v>77562674</v>
      </c>
      <c r="AJ1071" s="94"/>
      <c r="AK1071" s="602">
        <f t="shared" ref="AK1071:AK1075" si="249">P1071-R1071-U1071-Z1071</f>
        <v>77562674</v>
      </c>
      <c r="AL1071" s="72">
        <v>877</v>
      </c>
      <c r="AM1071" s="72">
        <v>10</v>
      </c>
      <c r="AN1071" s="158">
        <v>1</v>
      </c>
      <c r="AO1071" s="158"/>
      <c r="AP1071" s="50"/>
      <c r="AQ1071" s="50"/>
      <c r="AR1071" s="50"/>
      <c r="AS1071" s="50"/>
      <c r="AT1071" s="2">
        <v>0</v>
      </c>
      <c r="AU1071" s="58" t="s">
        <v>521</v>
      </c>
      <c r="AV1071" s="386"/>
      <c r="AW1071" s="23"/>
      <c r="AX1071" s="50"/>
      <c r="AY1071" s="50"/>
      <c r="AZ1071" s="50"/>
      <c r="BA1071" s="50"/>
      <c r="BB1071" s="50"/>
      <c r="BC1071" s="293"/>
      <c r="BD1071" s="293"/>
      <c r="BE1071" s="293"/>
      <c r="BF1071" s="271"/>
      <c r="BG1071" s="271">
        <v>2019</v>
      </c>
      <c r="BH1071" s="271">
        <v>2020</v>
      </c>
      <c r="BI1071" s="271" t="s">
        <v>2375</v>
      </c>
    </row>
    <row r="1072" spans="1:61" s="204" customFormat="1" ht="18" customHeight="1">
      <c r="A1072" s="160" t="s">
        <v>1</v>
      </c>
      <c r="B1072" s="58" t="s">
        <v>320</v>
      </c>
      <c r="C1072" s="122" t="s">
        <v>891</v>
      </c>
      <c r="D1072" s="33" t="s">
        <v>438</v>
      </c>
      <c r="E1072" s="33"/>
      <c r="F1072" s="33"/>
      <c r="G1072" s="33"/>
      <c r="H1072" s="30" t="s">
        <v>713</v>
      </c>
      <c r="I1072" s="228" t="s">
        <v>1521</v>
      </c>
      <c r="J1072" s="215" t="s">
        <v>1519</v>
      </c>
      <c r="K1072" s="23"/>
      <c r="L1072" s="23"/>
      <c r="M1072" s="23">
        <v>1</v>
      </c>
      <c r="N1072" s="23">
        <v>1</v>
      </c>
      <c r="O1072" s="23"/>
      <c r="P1072" s="23">
        <v>66948834</v>
      </c>
      <c r="Q1072" s="23"/>
      <c r="R1072" s="23"/>
      <c r="S1072" s="23"/>
      <c r="T1072" s="23"/>
      <c r="U1072" s="225"/>
      <c r="V1072" s="23"/>
      <c r="W1072" s="311"/>
      <c r="X1072" s="311"/>
      <c r="Y1072" s="311"/>
      <c r="Z1072" s="94"/>
      <c r="AA1072" s="223"/>
      <c r="AB1072" s="223"/>
      <c r="AC1072" s="223"/>
      <c r="AD1072" s="223"/>
      <c r="AE1072" s="158"/>
      <c r="AF1072" s="158">
        <f t="shared" si="248"/>
        <v>66948834</v>
      </c>
      <c r="AG1072" s="158"/>
      <c r="AH1072" s="94">
        <v>0</v>
      </c>
      <c r="AI1072" s="94">
        <v>66948834</v>
      </c>
      <c r="AJ1072" s="94"/>
      <c r="AK1072" s="602">
        <f t="shared" si="249"/>
        <v>66948834</v>
      </c>
      <c r="AL1072" s="72">
        <v>877</v>
      </c>
      <c r="AM1072" s="72">
        <v>10</v>
      </c>
      <c r="AN1072" s="158">
        <v>1</v>
      </c>
      <c r="AO1072" s="158"/>
      <c r="AP1072" s="50"/>
      <c r="AQ1072" s="50"/>
      <c r="AR1072" s="50"/>
      <c r="AS1072" s="50"/>
      <c r="AT1072" s="2">
        <v>0</v>
      </c>
      <c r="AU1072" s="58" t="s">
        <v>521</v>
      </c>
      <c r="AV1072" s="386"/>
      <c r="AW1072" s="23"/>
      <c r="AX1072" s="50"/>
      <c r="AY1072" s="50"/>
      <c r="AZ1072" s="50"/>
      <c r="BA1072" s="50"/>
      <c r="BB1072" s="50"/>
      <c r="BC1072" s="293"/>
      <c r="BD1072" s="293"/>
      <c r="BE1072" s="293"/>
      <c r="BF1072" s="271"/>
      <c r="BG1072" s="271">
        <v>2019</v>
      </c>
      <c r="BH1072" s="271">
        <v>2020</v>
      </c>
      <c r="BI1072" s="271" t="s">
        <v>2375</v>
      </c>
    </row>
    <row r="1073" spans="1:61" s="204" customFormat="1" ht="18" customHeight="1">
      <c r="A1073" s="160" t="s">
        <v>1</v>
      </c>
      <c r="B1073" s="58" t="s">
        <v>320</v>
      </c>
      <c r="C1073" s="122" t="s">
        <v>889</v>
      </c>
      <c r="D1073" s="33" t="s">
        <v>438</v>
      </c>
      <c r="E1073" s="33"/>
      <c r="F1073" s="33"/>
      <c r="G1073" s="33"/>
      <c r="H1073" s="30" t="s">
        <v>713</v>
      </c>
      <c r="I1073" s="228" t="s">
        <v>1522</v>
      </c>
      <c r="J1073" s="215" t="s">
        <v>1519</v>
      </c>
      <c r="K1073" s="23"/>
      <c r="L1073" s="23"/>
      <c r="M1073" s="23">
        <v>1</v>
      </c>
      <c r="N1073" s="23">
        <v>1</v>
      </c>
      <c r="O1073" s="23"/>
      <c r="P1073" s="23">
        <v>68581733</v>
      </c>
      <c r="Q1073" s="23"/>
      <c r="R1073" s="23"/>
      <c r="S1073" s="23"/>
      <c r="T1073" s="23"/>
      <c r="U1073" s="225"/>
      <c r="V1073" s="23"/>
      <c r="W1073" s="311"/>
      <c r="X1073" s="311"/>
      <c r="Y1073" s="311"/>
      <c r="Z1073" s="94"/>
      <c r="AA1073" s="223"/>
      <c r="AB1073" s="223"/>
      <c r="AC1073" s="223"/>
      <c r="AD1073" s="223"/>
      <c r="AE1073" s="158"/>
      <c r="AF1073" s="158">
        <f t="shared" si="248"/>
        <v>68581733</v>
      </c>
      <c r="AG1073" s="158"/>
      <c r="AH1073" s="94">
        <v>0</v>
      </c>
      <c r="AI1073" s="94">
        <v>68581733</v>
      </c>
      <c r="AJ1073" s="94"/>
      <c r="AK1073" s="602">
        <f t="shared" si="249"/>
        <v>68581733</v>
      </c>
      <c r="AL1073" s="72">
        <v>877</v>
      </c>
      <c r="AM1073" s="72">
        <v>10</v>
      </c>
      <c r="AN1073" s="158">
        <v>1</v>
      </c>
      <c r="AO1073" s="158"/>
      <c r="AP1073" s="50"/>
      <c r="AQ1073" s="50"/>
      <c r="AR1073" s="50"/>
      <c r="AS1073" s="50"/>
      <c r="AT1073" s="2">
        <v>0</v>
      </c>
      <c r="AU1073" s="58" t="s">
        <v>521</v>
      </c>
      <c r="AV1073" s="386"/>
      <c r="AW1073" s="23"/>
      <c r="AX1073" s="50"/>
      <c r="AY1073" s="50"/>
      <c r="AZ1073" s="50"/>
      <c r="BA1073" s="50"/>
      <c r="BB1073" s="50"/>
      <c r="BC1073" s="293"/>
      <c r="BD1073" s="293"/>
      <c r="BE1073" s="293"/>
      <c r="BF1073" s="271"/>
      <c r="BG1073" s="271">
        <v>2019</v>
      </c>
      <c r="BH1073" s="271">
        <v>2020</v>
      </c>
      <c r="BI1073" s="271" t="s">
        <v>2375</v>
      </c>
    </row>
    <row r="1074" spans="1:61" s="204" customFormat="1" ht="18" customHeight="1">
      <c r="A1074" s="160" t="s">
        <v>1</v>
      </c>
      <c r="B1074" s="58" t="s">
        <v>320</v>
      </c>
      <c r="C1074" s="122" t="s">
        <v>1075</v>
      </c>
      <c r="D1074" s="33" t="s">
        <v>438</v>
      </c>
      <c r="E1074" s="33"/>
      <c r="F1074" s="33"/>
      <c r="G1074" s="33"/>
      <c r="H1074" s="30" t="s">
        <v>713</v>
      </c>
      <c r="I1074" s="228" t="s">
        <v>1522</v>
      </c>
      <c r="J1074" s="215" t="s">
        <v>1519</v>
      </c>
      <c r="K1074" s="23"/>
      <c r="L1074" s="23"/>
      <c r="M1074" s="23">
        <v>1</v>
      </c>
      <c r="N1074" s="23">
        <v>1</v>
      </c>
      <c r="O1074" s="23"/>
      <c r="P1074" s="23">
        <v>77562674</v>
      </c>
      <c r="Q1074" s="23"/>
      <c r="R1074" s="23"/>
      <c r="S1074" s="23"/>
      <c r="T1074" s="23"/>
      <c r="U1074" s="225"/>
      <c r="V1074" s="23"/>
      <c r="W1074" s="311"/>
      <c r="X1074" s="311"/>
      <c r="Y1074" s="311"/>
      <c r="Z1074" s="94"/>
      <c r="AA1074" s="223"/>
      <c r="AB1074" s="223"/>
      <c r="AC1074" s="223"/>
      <c r="AD1074" s="223"/>
      <c r="AE1074" s="158"/>
      <c r="AF1074" s="158">
        <f t="shared" si="248"/>
        <v>77562674</v>
      </c>
      <c r="AG1074" s="158">
        <v>10</v>
      </c>
      <c r="AH1074" s="94">
        <v>0</v>
      </c>
      <c r="AI1074" s="94">
        <v>77562674</v>
      </c>
      <c r="AJ1074" s="94"/>
      <c r="AK1074" s="602">
        <f t="shared" si="249"/>
        <v>77562674</v>
      </c>
      <c r="AL1074" s="72">
        <v>877</v>
      </c>
      <c r="AM1074" s="72">
        <v>10</v>
      </c>
      <c r="AN1074" s="158">
        <v>1</v>
      </c>
      <c r="AO1074" s="158"/>
      <c r="AP1074" s="50"/>
      <c r="AQ1074" s="50"/>
      <c r="AR1074" s="50"/>
      <c r="AS1074" s="50"/>
      <c r="AT1074" s="2">
        <v>0</v>
      </c>
      <c r="AU1074" s="58" t="s">
        <v>521</v>
      </c>
      <c r="AV1074" s="386"/>
      <c r="AW1074" s="23"/>
      <c r="AX1074" s="50"/>
      <c r="AY1074" s="50"/>
      <c r="AZ1074" s="50"/>
      <c r="BA1074" s="50"/>
      <c r="BB1074" s="50"/>
      <c r="BC1074" s="293"/>
      <c r="BD1074" s="293"/>
      <c r="BE1074" s="293"/>
      <c r="BF1074" s="271"/>
      <c r="BG1074" s="271">
        <v>2019</v>
      </c>
      <c r="BH1074" s="271">
        <v>2020</v>
      </c>
      <c r="BI1074" s="271" t="s">
        <v>2375</v>
      </c>
    </row>
    <row r="1075" spans="1:61" s="204" customFormat="1" ht="18" customHeight="1">
      <c r="A1075" s="160" t="s">
        <v>1</v>
      </c>
      <c r="B1075" s="58" t="s">
        <v>320</v>
      </c>
      <c r="C1075" s="122" t="s">
        <v>2293</v>
      </c>
      <c r="D1075" s="33" t="s">
        <v>438</v>
      </c>
      <c r="E1075" s="33"/>
      <c r="F1075" s="33"/>
      <c r="G1075" s="33"/>
      <c r="H1075" s="30" t="s">
        <v>713</v>
      </c>
      <c r="I1075" s="228" t="s">
        <v>1522</v>
      </c>
      <c r="J1075" s="215" t="s">
        <v>1519</v>
      </c>
      <c r="K1075" s="23"/>
      <c r="L1075" s="23"/>
      <c r="M1075" s="23">
        <v>1</v>
      </c>
      <c r="N1075" s="23">
        <v>1</v>
      </c>
      <c r="O1075" s="23"/>
      <c r="P1075" s="23">
        <v>80277356</v>
      </c>
      <c r="Q1075" s="23"/>
      <c r="R1075" s="23"/>
      <c r="S1075" s="23"/>
      <c r="T1075" s="23"/>
      <c r="U1075" s="225">
        <f>(77562674+2714682)</f>
        <v>80277356</v>
      </c>
      <c r="V1075" s="23" t="s">
        <v>1822</v>
      </c>
      <c r="W1075" s="311">
        <v>43980</v>
      </c>
      <c r="X1075" s="311"/>
      <c r="Y1075" s="311"/>
      <c r="Z1075" s="94"/>
      <c r="AA1075" s="223"/>
      <c r="AB1075" s="223"/>
      <c r="AC1075" s="223"/>
      <c r="AD1075" s="223"/>
      <c r="AE1075" s="158"/>
      <c r="AF1075" s="158">
        <f>P1075</f>
        <v>80277356</v>
      </c>
      <c r="AG1075" s="158"/>
      <c r="AH1075" s="94">
        <v>0</v>
      </c>
      <c r="AI1075" s="94">
        <v>80277356</v>
      </c>
      <c r="AJ1075" s="94">
        <v>20</v>
      </c>
      <c r="AK1075" s="666">
        <f t="shared" si="249"/>
        <v>0</v>
      </c>
      <c r="AL1075" s="666">
        <v>877</v>
      </c>
      <c r="AM1075" s="666" t="s">
        <v>1657</v>
      </c>
      <c r="AN1075" s="158"/>
      <c r="AO1075" s="158"/>
      <c r="AP1075" s="23">
        <v>1</v>
      </c>
      <c r="AQ1075" s="50"/>
      <c r="AR1075" s="50"/>
      <c r="AS1075" s="23"/>
      <c r="AT1075" s="2">
        <v>1</v>
      </c>
      <c r="AU1075" s="58" t="s">
        <v>646</v>
      </c>
      <c r="AV1075" s="386"/>
      <c r="AW1075" s="23"/>
      <c r="AX1075" s="23"/>
      <c r="AY1075" s="23"/>
      <c r="AZ1075" s="23"/>
      <c r="BA1075" s="671">
        <v>1</v>
      </c>
      <c r="BB1075" s="23"/>
      <c r="BC1075" s="223"/>
      <c r="BD1075" s="223">
        <v>1</v>
      </c>
      <c r="BE1075" s="223"/>
      <c r="BF1075" s="351">
        <v>2020</v>
      </c>
      <c r="BG1075" s="351">
        <v>2019</v>
      </c>
      <c r="BH1075" s="504">
        <v>2020</v>
      </c>
      <c r="BI1075" s="271" t="s">
        <v>2375</v>
      </c>
    </row>
    <row r="1076" spans="1:61" s="204" customFormat="1" ht="18" customHeight="1">
      <c r="A1076" s="248" t="s">
        <v>1</v>
      </c>
      <c r="B1076" s="58" t="s">
        <v>320</v>
      </c>
      <c r="C1076" s="258" t="s">
        <v>1202</v>
      </c>
      <c r="D1076" s="33" t="s">
        <v>387</v>
      </c>
      <c r="E1076" s="33"/>
      <c r="F1076" s="33"/>
      <c r="G1076" s="33"/>
      <c r="H1076" s="30" t="s">
        <v>659</v>
      </c>
      <c r="I1076" s="30">
        <v>3029</v>
      </c>
      <c r="J1076" s="212">
        <v>43091</v>
      </c>
      <c r="K1076" s="23"/>
      <c r="L1076" s="23"/>
      <c r="M1076" s="23">
        <v>1</v>
      </c>
      <c r="N1076" s="23">
        <v>1</v>
      </c>
      <c r="O1076" s="23"/>
      <c r="P1076" s="23">
        <f>47359106+8747214</f>
        <v>56106320</v>
      </c>
      <c r="Q1076" s="23"/>
      <c r="R1076" s="23"/>
      <c r="S1076" s="23"/>
      <c r="T1076" s="23"/>
      <c r="U1076" s="225">
        <v>25247844</v>
      </c>
      <c r="V1076" s="23">
        <v>10</v>
      </c>
      <c r="W1076" s="311"/>
      <c r="X1076" s="311"/>
      <c r="Y1076" s="311"/>
      <c r="Z1076" s="225">
        <v>30858476</v>
      </c>
      <c r="AA1076" s="23">
        <v>10</v>
      </c>
      <c r="AB1076" s="311">
        <v>43465</v>
      </c>
      <c r="AC1076" s="265"/>
      <c r="AD1076" s="265"/>
      <c r="AE1076" s="158"/>
      <c r="AF1076" s="158">
        <f t="shared" si="248"/>
        <v>0</v>
      </c>
      <c r="AG1076" s="158"/>
      <c r="AH1076" s="94">
        <v>0</v>
      </c>
      <c r="AI1076" s="94">
        <v>0</v>
      </c>
      <c r="AJ1076" s="94"/>
      <c r="AK1076" s="176">
        <f>P1076-R1076-U1076-Z1076</f>
        <v>0</v>
      </c>
      <c r="AL1076" s="158">
        <v>877</v>
      </c>
      <c r="AM1076" s="158">
        <v>10</v>
      </c>
      <c r="AN1076" s="158"/>
      <c r="AO1076" s="158">
        <v>1</v>
      </c>
      <c r="AP1076" s="50"/>
      <c r="AQ1076" s="50"/>
      <c r="AR1076" s="50"/>
      <c r="AS1076" s="50"/>
      <c r="AT1076" s="2">
        <v>0.45</v>
      </c>
      <c r="AU1076" s="58" t="s">
        <v>38</v>
      </c>
      <c r="AV1076" s="482" t="s">
        <v>2369</v>
      </c>
      <c r="AW1076" s="23"/>
      <c r="AX1076" s="50"/>
      <c r="AY1076" s="50"/>
      <c r="AZ1076" s="50"/>
      <c r="BA1076" s="50"/>
      <c r="BB1076" s="50"/>
      <c r="BC1076" s="293"/>
      <c r="BD1076" s="293"/>
      <c r="BE1076" s="293"/>
      <c r="BF1076" s="271"/>
      <c r="BG1076" s="271">
        <v>2019</v>
      </c>
      <c r="BH1076" s="430">
        <v>2020</v>
      </c>
      <c r="BI1076" s="271" t="s">
        <v>2375</v>
      </c>
    </row>
    <row r="1077" spans="1:61" ht="15" customHeight="1">
      <c r="A1077" s="160" t="s">
        <v>1</v>
      </c>
      <c r="B1077" s="58" t="s">
        <v>320</v>
      </c>
      <c r="C1077" s="122" t="s">
        <v>967</v>
      </c>
      <c r="D1077" s="33" t="s">
        <v>588</v>
      </c>
      <c r="E1077" s="33"/>
      <c r="F1077" s="33"/>
      <c r="G1077" s="33"/>
      <c r="H1077" s="30" t="s">
        <v>647</v>
      </c>
      <c r="I1077" s="30"/>
      <c r="J1077" s="212"/>
      <c r="K1077" s="23"/>
      <c r="L1077" s="23"/>
      <c r="M1077" s="23"/>
      <c r="N1077" s="23"/>
      <c r="O1077" s="23"/>
      <c r="P1077" s="23"/>
      <c r="Q1077" s="23"/>
      <c r="R1077" s="23"/>
      <c r="S1077" s="23"/>
      <c r="T1077" s="23"/>
      <c r="U1077" s="225"/>
      <c r="V1077" s="23"/>
      <c r="W1077" s="311"/>
      <c r="X1077" s="311"/>
      <c r="Y1077" s="311"/>
      <c r="Z1077" s="94"/>
      <c r="AA1077" s="23"/>
      <c r="AB1077" s="23"/>
      <c r="AC1077" s="23"/>
      <c r="AD1077" s="23"/>
      <c r="AE1077" s="158"/>
      <c r="AF1077" s="158"/>
      <c r="AG1077" s="158"/>
      <c r="AH1077" s="158"/>
      <c r="AI1077" s="158"/>
      <c r="AJ1077" s="158"/>
      <c r="AK1077" s="158"/>
      <c r="AL1077" s="158"/>
      <c r="AM1077" s="158"/>
      <c r="AN1077" s="158"/>
      <c r="AO1077" s="158"/>
      <c r="AP1077" s="23"/>
      <c r="AQ1077" s="50"/>
      <c r="AR1077" s="50"/>
      <c r="AS1077" s="50"/>
      <c r="AT1077" s="2">
        <v>1</v>
      </c>
      <c r="AU1077" s="58" t="s">
        <v>646</v>
      </c>
      <c r="AV1077" s="105"/>
      <c r="AW1077" s="23"/>
      <c r="AX1077" s="50"/>
      <c r="AY1077" s="514">
        <v>1</v>
      </c>
      <c r="AZ1077" s="23"/>
      <c r="BA1077" s="23"/>
      <c r="BB1077" s="23">
        <v>1</v>
      </c>
      <c r="BC1077" s="223"/>
      <c r="BD1077" s="223"/>
      <c r="BE1077" s="223"/>
      <c r="BF1077" s="270">
        <v>2018</v>
      </c>
      <c r="BG1077" s="270"/>
      <c r="BH1077" s="268"/>
      <c r="BI1077" s="682" t="s">
        <v>2376</v>
      </c>
    </row>
    <row r="1078" spans="1:61" ht="15" customHeight="1">
      <c r="A1078" s="160" t="s">
        <v>1</v>
      </c>
      <c r="B1078" s="58" t="s">
        <v>320</v>
      </c>
      <c r="C1078" s="122" t="s">
        <v>893</v>
      </c>
      <c r="D1078" s="33" t="s">
        <v>588</v>
      </c>
      <c r="E1078" s="33"/>
      <c r="F1078" s="33"/>
      <c r="G1078" s="33"/>
      <c r="H1078" s="30" t="s">
        <v>647</v>
      </c>
      <c r="I1078" s="30"/>
      <c r="J1078" s="212"/>
      <c r="K1078" s="23"/>
      <c r="L1078" s="23"/>
      <c r="M1078" s="23"/>
      <c r="N1078" s="23"/>
      <c r="O1078" s="23"/>
      <c r="P1078" s="23"/>
      <c r="Q1078" s="23"/>
      <c r="R1078" s="23"/>
      <c r="S1078" s="23"/>
      <c r="T1078" s="23"/>
      <c r="U1078" s="225"/>
      <c r="V1078" s="23"/>
      <c r="W1078" s="311"/>
      <c r="X1078" s="311"/>
      <c r="Y1078" s="311"/>
      <c r="Z1078" s="94"/>
      <c r="AA1078" s="23"/>
      <c r="AB1078" s="23"/>
      <c r="AC1078" s="23"/>
      <c r="AD1078" s="23"/>
      <c r="AE1078" s="158"/>
      <c r="AF1078" s="158"/>
      <c r="AG1078" s="158"/>
      <c r="AH1078" s="158"/>
      <c r="AI1078" s="158"/>
      <c r="AJ1078" s="158"/>
      <c r="AK1078" s="158"/>
      <c r="AL1078" s="158"/>
      <c r="AM1078" s="158"/>
      <c r="AN1078" s="158"/>
      <c r="AO1078" s="158"/>
      <c r="AP1078" s="23"/>
      <c r="AQ1078" s="50"/>
      <c r="AR1078" s="50"/>
      <c r="AS1078" s="50"/>
      <c r="AT1078" s="2">
        <v>1</v>
      </c>
      <c r="AU1078" s="58" t="s">
        <v>646</v>
      </c>
      <c r="AV1078" s="105"/>
      <c r="AW1078" s="23"/>
      <c r="AX1078" s="50"/>
      <c r="AY1078" s="514">
        <v>1</v>
      </c>
      <c r="AZ1078" s="23"/>
      <c r="BA1078" s="23"/>
      <c r="BB1078" s="23">
        <v>1</v>
      </c>
      <c r="BC1078" s="223"/>
      <c r="BD1078" s="223"/>
      <c r="BE1078" s="223"/>
      <c r="BF1078" s="270">
        <v>2018</v>
      </c>
      <c r="BG1078" s="270"/>
      <c r="BH1078" s="268"/>
      <c r="BI1078" s="682" t="s">
        <v>2376</v>
      </c>
    </row>
    <row r="1079" spans="1:61" ht="15" customHeight="1">
      <c r="A1079" s="160" t="s">
        <v>1</v>
      </c>
      <c r="B1079" s="58" t="s">
        <v>320</v>
      </c>
      <c r="C1079" s="122" t="s">
        <v>1030</v>
      </c>
      <c r="D1079" s="33" t="s">
        <v>588</v>
      </c>
      <c r="E1079" s="33"/>
      <c r="F1079" s="33"/>
      <c r="G1079" s="33"/>
      <c r="H1079" s="30" t="s">
        <v>647</v>
      </c>
      <c r="I1079" s="30"/>
      <c r="J1079" s="212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25"/>
      <c r="V1079" s="23"/>
      <c r="W1079" s="311"/>
      <c r="X1079" s="311"/>
      <c r="Y1079" s="311"/>
      <c r="Z1079" s="94"/>
      <c r="AA1079" s="23"/>
      <c r="AB1079" s="23"/>
      <c r="AC1079" s="23"/>
      <c r="AD1079" s="23"/>
      <c r="AE1079" s="158"/>
      <c r="AF1079" s="158"/>
      <c r="AG1079" s="158"/>
      <c r="AH1079" s="158"/>
      <c r="AI1079" s="158"/>
      <c r="AJ1079" s="158"/>
      <c r="AK1079" s="158"/>
      <c r="AL1079" s="158"/>
      <c r="AM1079" s="158"/>
      <c r="AN1079" s="158"/>
      <c r="AO1079" s="158"/>
      <c r="AP1079" s="23"/>
      <c r="AQ1079" s="50"/>
      <c r="AR1079" s="50"/>
      <c r="AS1079" s="50"/>
      <c r="AT1079" s="2">
        <v>1</v>
      </c>
      <c r="AU1079" s="58" t="s">
        <v>646</v>
      </c>
      <c r="AV1079" s="105"/>
      <c r="AW1079" s="23"/>
      <c r="AX1079" s="50"/>
      <c r="AY1079" s="514">
        <v>1</v>
      </c>
      <c r="AZ1079" s="23"/>
      <c r="BA1079" s="23"/>
      <c r="BB1079" s="23">
        <v>1</v>
      </c>
      <c r="BC1079" s="223"/>
      <c r="BD1079" s="223"/>
      <c r="BE1079" s="223"/>
      <c r="BF1079" s="270">
        <v>2018</v>
      </c>
      <c r="BG1079" s="270"/>
      <c r="BH1079" s="268"/>
      <c r="BI1079" s="682" t="s">
        <v>2376</v>
      </c>
    </row>
    <row r="1080" spans="1:61" ht="15" customHeight="1">
      <c r="A1080" s="160" t="s">
        <v>1</v>
      </c>
      <c r="B1080" s="58" t="s">
        <v>320</v>
      </c>
      <c r="C1080" s="122" t="s">
        <v>965</v>
      </c>
      <c r="D1080" s="33" t="s">
        <v>588</v>
      </c>
      <c r="E1080" s="33"/>
      <c r="F1080" s="33"/>
      <c r="G1080" s="33"/>
      <c r="H1080" s="30" t="s">
        <v>647</v>
      </c>
      <c r="I1080" s="30"/>
      <c r="J1080" s="212"/>
      <c r="K1080" s="23"/>
      <c r="L1080" s="23"/>
      <c r="M1080" s="23"/>
      <c r="N1080" s="23"/>
      <c r="O1080" s="23"/>
      <c r="P1080" s="23"/>
      <c r="Q1080" s="23"/>
      <c r="R1080" s="23"/>
      <c r="S1080" s="23"/>
      <c r="T1080" s="23"/>
      <c r="U1080" s="225"/>
      <c r="V1080" s="23"/>
      <c r="W1080" s="311"/>
      <c r="X1080" s="311"/>
      <c r="Y1080" s="311"/>
      <c r="Z1080" s="94"/>
      <c r="AA1080" s="23"/>
      <c r="AB1080" s="23"/>
      <c r="AC1080" s="23"/>
      <c r="AD1080" s="23"/>
      <c r="AE1080" s="158"/>
      <c r="AF1080" s="158"/>
      <c r="AG1080" s="158"/>
      <c r="AH1080" s="158"/>
      <c r="AI1080" s="158"/>
      <c r="AJ1080" s="158"/>
      <c r="AK1080" s="158"/>
      <c r="AL1080" s="158"/>
      <c r="AM1080" s="158"/>
      <c r="AN1080" s="158"/>
      <c r="AO1080" s="158"/>
      <c r="AP1080" s="23"/>
      <c r="AQ1080" s="50"/>
      <c r="AR1080" s="50"/>
      <c r="AS1080" s="50"/>
      <c r="AT1080" s="2">
        <v>1</v>
      </c>
      <c r="AU1080" s="58" t="s">
        <v>646</v>
      </c>
      <c r="AV1080" s="105" t="s">
        <v>894</v>
      </c>
      <c r="AW1080" s="23"/>
      <c r="AX1080" s="50"/>
      <c r="AY1080" s="514">
        <v>1</v>
      </c>
      <c r="AZ1080" s="23"/>
      <c r="BA1080" s="23"/>
      <c r="BB1080" s="23">
        <v>1</v>
      </c>
      <c r="BC1080" s="223"/>
      <c r="BD1080" s="223"/>
      <c r="BE1080" s="223"/>
      <c r="BF1080" s="270">
        <v>2018</v>
      </c>
      <c r="BG1080" s="270"/>
      <c r="BH1080" s="268"/>
      <c r="BI1080" s="682" t="s">
        <v>2376</v>
      </c>
    </row>
    <row r="1081" spans="1:61" ht="15" customHeight="1">
      <c r="A1081" s="160" t="s">
        <v>1</v>
      </c>
      <c r="B1081" s="58" t="s">
        <v>320</v>
      </c>
      <c r="C1081" s="122" t="s">
        <v>895</v>
      </c>
      <c r="D1081" s="33" t="s">
        <v>588</v>
      </c>
      <c r="E1081" s="33"/>
      <c r="F1081" s="33"/>
      <c r="G1081" s="33"/>
      <c r="H1081" s="30" t="s">
        <v>647</v>
      </c>
      <c r="I1081" s="30"/>
      <c r="J1081" s="212"/>
      <c r="K1081" s="23"/>
      <c r="L1081" s="23"/>
      <c r="M1081" s="23"/>
      <c r="N1081" s="23"/>
      <c r="O1081" s="23"/>
      <c r="P1081" s="23"/>
      <c r="Q1081" s="23"/>
      <c r="R1081" s="23"/>
      <c r="S1081" s="23"/>
      <c r="T1081" s="23"/>
      <c r="U1081" s="225"/>
      <c r="V1081" s="23"/>
      <c r="W1081" s="311"/>
      <c r="X1081" s="311"/>
      <c r="Y1081" s="311"/>
      <c r="Z1081" s="94"/>
      <c r="AA1081" s="23"/>
      <c r="AB1081" s="23"/>
      <c r="AC1081" s="23"/>
      <c r="AD1081" s="23"/>
      <c r="AE1081" s="158"/>
      <c r="AF1081" s="158"/>
      <c r="AG1081" s="158"/>
      <c r="AH1081" s="158"/>
      <c r="AI1081" s="158"/>
      <c r="AJ1081" s="158"/>
      <c r="AK1081" s="158"/>
      <c r="AL1081" s="158"/>
      <c r="AM1081" s="158"/>
      <c r="AN1081" s="158"/>
      <c r="AO1081" s="158"/>
      <c r="AP1081" s="23"/>
      <c r="AQ1081" s="50"/>
      <c r="AR1081" s="50"/>
      <c r="AS1081" s="50"/>
      <c r="AT1081" s="2">
        <v>1</v>
      </c>
      <c r="AU1081" s="58" t="s">
        <v>646</v>
      </c>
      <c r="AV1081" s="105"/>
      <c r="AW1081" s="23"/>
      <c r="AX1081" s="50"/>
      <c r="AY1081" s="514">
        <v>1</v>
      </c>
      <c r="AZ1081" s="23"/>
      <c r="BA1081" s="23"/>
      <c r="BB1081" s="23">
        <v>1</v>
      </c>
      <c r="BC1081" s="223"/>
      <c r="BD1081" s="223"/>
      <c r="BE1081" s="223"/>
      <c r="BF1081" s="270">
        <v>2018</v>
      </c>
      <c r="BG1081" s="270"/>
      <c r="BH1081" s="268"/>
      <c r="BI1081" s="682" t="s">
        <v>2376</v>
      </c>
    </row>
    <row r="1082" spans="1:61" ht="18" customHeight="1">
      <c r="A1082" s="160" t="s">
        <v>1</v>
      </c>
      <c r="B1082" s="58" t="s">
        <v>320</v>
      </c>
      <c r="C1082" s="122" t="s">
        <v>896</v>
      </c>
      <c r="D1082" s="33" t="s">
        <v>387</v>
      </c>
      <c r="E1082" s="33"/>
      <c r="F1082" s="33"/>
      <c r="G1082" s="33"/>
      <c r="H1082" s="30" t="s">
        <v>647</v>
      </c>
      <c r="I1082" s="30">
        <v>2964</v>
      </c>
      <c r="J1082" s="212">
        <v>43088</v>
      </c>
      <c r="K1082" s="23"/>
      <c r="L1082" s="23">
        <v>1</v>
      </c>
      <c r="M1082" s="23"/>
      <c r="N1082" s="23"/>
      <c r="O1082" s="23"/>
      <c r="P1082" s="23">
        <v>60837116</v>
      </c>
      <c r="Q1082" s="23"/>
      <c r="R1082" s="23"/>
      <c r="S1082" s="23"/>
      <c r="T1082" s="23"/>
      <c r="U1082" s="225">
        <v>27376702</v>
      </c>
      <c r="V1082" s="23"/>
      <c r="W1082" s="311"/>
      <c r="X1082" s="311"/>
      <c r="Y1082" s="311"/>
      <c r="Z1082" s="23">
        <v>33460414</v>
      </c>
      <c r="AA1082" s="23"/>
      <c r="AB1082" s="23"/>
      <c r="AC1082" s="23"/>
      <c r="AD1082" s="23"/>
      <c r="AE1082" s="158"/>
      <c r="AF1082" s="158">
        <f>P1082-U1082-Z1082</f>
        <v>0</v>
      </c>
      <c r="AG1082" s="158"/>
      <c r="AH1082" s="94">
        <v>0</v>
      </c>
      <c r="AI1082" s="94">
        <v>0</v>
      </c>
      <c r="AJ1082" s="94"/>
      <c r="AK1082" s="158">
        <f t="shared" ref="AK1082" si="250">AF1082+AH1082</f>
        <v>0</v>
      </c>
      <c r="AL1082" s="158"/>
      <c r="AM1082" s="158"/>
      <c r="AN1082" s="158"/>
      <c r="AO1082" s="158"/>
      <c r="AP1082" s="23"/>
      <c r="AQ1082" s="23"/>
      <c r="AR1082" s="23"/>
      <c r="AS1082" s="23"/>
      <c r="AT1082" s="2">
        <v>1</v>
      </c>
      <c r="AU1082" s="58" t="s">
        <v>646</v>
      </c>
      <c r="AV1082" s="388" t="s">
        <v>1865</v>
      </c>
      <c r="AW1082" s="23"/>
      <c r="AX1082" s="50"/>
      <c r="AY1082" s="50"/>
      <c r="AZ1082" s="23">
        <v>1</v>
      </c>
      <c r="BA1082" s="23"/>
      <c r="BB1082" s="50"/>
      <c r="BC1082" s="293"/>
      <c r="BD1082" s="223">
        <v>1</v>
      </c>
      <c r="BE1082" s="223"/>
      <c r="BF1082" s="270">
        <v>2019</v>
      </c>
      <c r="BG1082" s="270">
        <v>2019</v>
      </c>
      <c r="BH1082" s="271"/>
      <c r="BI1082" s="271" t="s">
        <v>2375</v>
      </c>
    </row>
    <row r="1083" spans="1:61" ht="15" customHeight="1">
      <c r="A1083" s="160" t="s">
        <v>1</v>
      </c>
      <c r="B1083" s="58" t="s">
        <v>320</v>
      </c>
      <c r="C1083" s="122" t="s">
        <v>897</v>
      </c>
      <c r="D1083" s="33" t="s">
        <v>588</v>
      </c>
      <c r="E1083" s="33"/>
      <c r="F1083" s="33"/>
      <c r="G1083" s="33"/>
      <c r="H1083" s="30" t="s">
        <v>647</v>
      </c>
      <c r="I1083" s="30"/>
      <c r="J1083" s="212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25"/>
      <c r="V1083" s="23"/>
      <c r="W1083" s="311"/>
      <c r="X1083" s="311"/>
      <c r="Y1083" s="311"/>
      <c r="Z1083" s="23"/>
      <c r="AA1083" s="23"/>
      <c r="AB1083" s="23"/>
      <c r="AC1083" s="23"/>
      <c r="AD1083" s="23"/>
      <c r="AE1083" s="158"/>
      <c r="AF1083" s="158"/>
      <c r="AG1083" s="158"/>
      <c r="AH1083" s="158"/>
      <c r="AI1083" s="158"/>
      <c r="AJ1083" s="158"/>
      <c r="AK1083" s="158"/>
      <c r="AL1083" s="158"/>
      <c r="AM1083" s="158"/>
      <c r="AN1083" s="158"/>
      <c r="AO1083" s="158"/>
      <c r="AP1083" s="23"/>
      <c r="AQ1083" s="50"/>
      <c r="AR1083" s="50"/>
      <c r="AS1083" s="50"/>
      <c r="AT1083" s="2">
        <v>1</v>
      </c>
      <c r="AU1083" s="58" t="s">
        <v>646</v>
      </c>
      <c r="AV1083" s="105"/>
      <c r="AW1083" s="23"/>
      <c r="AX1083" s="50"/>
      <c r="AY1083" s="514">
        <v>1</v>
      </c>
      <c r="AZ1083" s="23"/>
      <c r="BA1083" s="23"/>
      <c r="BB1083" s="23">
        <v>1</v>
      </c>
      <c r="BC1083" s="223"/>
      <c r="BD1083" s="223"/>
      <c r="BE1083" s="223"/>
      <c r="BF1083" s="270">
        <v>2018</v>
      </c>
      <c r="BG1083" s="270"/>
      <c r="BH1083" s="268"/>
      <c r="BI1083" s="682" t="s">
        <v>2376</v>
      </c>
    </row>
    <row r="1084" spans="1:61" ht="18" customHeight="1">
      <c r="A1084" s="160" t="s">
        <v>1</v>
      </c>
      <c r="B1084" s="58" t="s">
        <v>320</v>
      </c>
      <c r="C1084" s="122" t="s">
        <v>898</v>
      </c>
      <c r="D1084" s="33" t="s">
        <v>387</v>
      </c>
      <c r="E1084" s="33"/>
      <c r="F1084" s="33"/>
      <c r="G1084" s="33"/>
      <c r="H1084" s="30" t="s">
        <v>647</v>
      </c>
      <c r="I1084" s="30">
        <v>2965</v>
      </c>
      <c r="J1084" s="212">
        <v>43088</v>
      </c>
      <c r="K1084" s="23"/>
      <c r="L1084" s="23">
        <v>1</v>
      </c>
      <c r="M1084" s="23"/>
      <c r="N1084" s="23"/>
      <c r="O1084" s="23"/>
      <c r="P1084" s="23">
        <v>60837116</v>
      </c>
      <c r="Q1084" s="23"/>
      <c r="R1084" s="23"/>
      <c r="S1084" s="23"/>
      <c r="T1084" s="23"/>
      <c r="U1084" s="225">
        <v>27376702</v>
      </c>
      <c r="V1084" s="23"/>
      <c r="W1084" s="311"/>
      <c r="X1084" s="311"/>
      <c r="Y1084" s="311"/>
      <c r="Z1084" s="23">
        <v>33460414</v>
      </c>
      <c r="AA1084" s="23"/>
      <c r="AB1084" s="23"/>
      <c r="AC1084" s="23"/>
      <c r="AD1084" s="23"/>
      <c r="AE1084" s="158"/>
      <c r="AF1084" s="158">
        <f>P1084-U1084-Z1084</f>
        <v>0</v>
      </c>
      <c r="AG1084" s="158"/>
      <c r="AH1084" s="94">
        <v>0</v>
      </c>
      <c r="AI1084" s="94">
        <v>0</v>
      </c>
      <c r="AJ1084" s="94"/>
      <c r="AK1084" s="158">
        <f t="shared" ref="AK1084:AK1085" si="251">AF1084+AH1084</f>
        <v>0</v>
      </c>
      <c r="AL1084" s="158"/>
      <c r="AM1084" s="158"/>
      <c r="AN1084" s="158"/>
      <c r="AO1084" s="158"/>
      <c r="AP1084" s="23"/>
      <c r="AQ1084" s="23"/>
      <c r="AR1084" s="23"/>
      <c r="AS1084" s="23"/>
      <c r="AT1084" s="2">
        <v>1</v>
      </c>
      <c r="AU1084" s="58" t="s">
        <v>646</v>
      </c>
      <c r="AV1084" s="388" t="s">
        <v>1856</v>
      </c>
      <c r="AW1084" s="23"/>
      <c r="AX1084" s="50"/>
      <c r="AY1084" s="50"/>
      <c r="AZ1084" s="23">
        <v>1</v>
      </c>
      <c r="BA1084" s="23"/>
      <c r="BB1084" s="50"/>
      <c r="BC1084" s="293"/>
      <c r="BD1084" s="223">
        <v>1</v>
      </c>
      <c r="BE1084" s="223"/>
      <c r="BF1084" s="270">
        <v>2019</v>
      </c>
      <c r="BG1084" s="270">
        <v>2019</v>
      </c>
      <c r="BH1084" s="271"/>
      <c r="BI1084" s="271" t="s">
        <v>2375</v>
      </c>
    </row>
    <row r="1085" spans="1:61" ht="18" customHeight="1">
      <c r="A1085" s="160" t="s">
        <v>1</v>
      </c>
      <c r="B1085" s="58" t="s">
        <v>320</v>
      </c>
      <c r="C1085" s="122" t="s">
        <v>1852</v>
      </c>
      <c r="D1085" s="33" t="s">
        <v>387</v>
      </c>
      <c r="E1085" s="33"/>
      <c r="F1085" s="33"/>
      <c r="G1085" s="33"/>
      <c r="H1085" s="30" t="s">
        <v>647</v>
      </c>
      <c r="I1085" s="30">
        <v>202</v>
      </c>
      <c r="J1085" s="212">
        <v>42402</v>
      </c>
      <c r="K1085" s="23"/>
      <c r="L1085" s="23">
        <v>1</v>
      </c>
      <c r="M1085" s="23"/>
      <c r="N1085" s="23"/>
      <c r="O1085" s="23"/>
      <c r="P1085" s="23">
        <v>60837116</v>
      </c>
      <c r="Q1085" s="23"/>
      <c r="R1085" s="23"/>
      <c r="S1085" s="23"/>
      <c r="T1085" s="23"/>
      <c r="U1085" s="225">
        <v>27376702</v>
      </c>
      <c r="V1085" s="23"/>
      <c r="W1085" s="311"/>
      <c r="X1085" s="311"/>
      <c r="Y1085" s="311"/>
      <c r="Z1085" s="23">
        <v>33460414</v>
      </c>
      <c r="AA1085" s="23"/>
      <c r="AB1085" s="23"/>
      <c r="AC1085" s="23"/>
      <c r="AD1085" s="23"/>
      <c r="AE1085" s="158"/>
      <c r="AF1085" s="158">
        <f>P1085-U1085-Z1085</f>
        <v>0</v>
      </c>
      <c r="AG1085" s="158"/>
      <c r="AH1085" s="94">
        <v>0</v>
      </c>
      <c r="AI1085" s="94">
        <v>0</v>
      </c>
      <c r="AJ1085" s="94"/>
      <c r="AK1085" s="158">
        <f t="shared" si="251"/>
        <v>0</v>
      </c>
      <c r="AL1085" s="158"/>
      <c r="AM1085" s="158"/>
      <c r="AN1085" s="158"/>
      <c r="AO1085" s="158"/>
      <c r="AP1085" s="23"/>
      <c r="AQ1085" s="23"/>
      <c r="AR1085" s="23"/>
      <c r="AS1085" s="23"/>
      <c r="AT1085" s="2">
        <v>1</v>
      </c>
      <c r="AU1085" s="58" t="s">
        <v>646</v>
      </c>
      <c r="AV1085" s="388" t="s">
        <v>1853</v>
      </c>
      <c r="AW1085" s="23"/>
      <c r="AX1085" s="50"/>
      <c r="AY1085" s="50"/>
      <c r="AZ1085" s="23">
        <v>1</v>
      </c>
      <c r="BA1085" s="23"/>
      <c r="BB1085" s="50"/>
      <c r="BC1085" s="293"/>
      <c r="BD1085" s="223">
        <v>1</v>
      </c>
      <c r="BE1085" s="223"/>
      <c r="BF1085" s="270">
        <v>2019</v>
      </c>
      <c r="BG1085" s="270">
        <v>2019</v>
      </c>
      <c r="BH1085" s="271"/>
      <c r="BI1085" s="271" t="s">
        <v>2375</v>
      </c>
    </row>
    <row r="1086" spans="1:61" ht="15" customHeight="1">
      <c r="A1086" s="230" t="s">
        <v>1</v>
      </c>
      <c r="B1086" s="58" t="s">
        <v>320</v>
      </c>
      <c r="C1086" s="28" t="s">
        <v>966</v>
      </c>
      <c r="D1086" s="33" t="s">
        <v>588</v>
      </c>
      <c r="E1086" s="33"/>
      <c r="F1086" s="33"/>
      <c r="G1086" s="33"/>
      <c r="H1086" s="30" t="s">
        <v>647</v>
      </c>
      <c r="I1086" s="30"/>
      <c r="J1086" s="212"/>
      <c r="K1086" s="23"/>
      <c r="L1086" s="23"/>
      <c r="M1086" s="23"/>
      <c r="N1086" s="23"/>
      <c r="O1086" s="23"/>
      <c r="P1086" s="23"/>
      <c r="Q1086" s="23"/>
      <c r="R1086" s="23"/>
      <c r="S1086" s="23"/>
      <c r="T1086" s="23"/>
      <c r="U1086" s="225"/>
      <c r="V1086" s="23"/>
      <c r="W1086" s="311"/>
      <c r="X1086" s="311"/>
      <c r="Y1086" s="311"/>
      <c r="Z1086" s="23"/>
      <c r="AA1086" s="23"/>
      <c r="AB1086" s="57"/>
      <c r="AC1086" s="57"/>
      <c r="AD1086" s="57"/>
      <c r="AE1086" s="158"/>
      <c r="AF1086" s="158"/>
      <c r="AG1086" s="158"/>
      <c r="AH1086" s="158"/>
      <c r="AI1086" s="158"/>
      <c r="AJ1086" s="158"/>
      <c r="AK1086" s="158"/>
      <c r="AL1086" s="158"/>
      <c r="AM1086" s="158"/>
      <c r="AN1086" s="158"/>
      <c r="AO1086" s="158"/>
      <c r="AP1086" s="23"/>
      <c r="AQ1086" s="50"/>
      <c r="AR1086" s="50"/>
      <c r="AS1086" s="50"/>
      <c r="AT1086" s="2">
        <v>1</v>
      </c>
      <c r="AU1086" s="58" t="s">
        <v>646</v>
      </c>
      <c r="AV1086" s="154"/>
      <c r="AW1086" s="23"/>
      <c r="AX1086" s="50"/>
      <c r="AY1086" s="514">
        <v>1</v>
      </c>
      <c r="AZ1086" s="23"/>
      <c r="BA1086" s="23"/>
      <c r="BB1086" s="23">
        <v>1</v>
      </c>
      <c r="BC1086" s="223"/>
      <c r="BD1086" s="223"/>
      <c r="BE1086" s="223"/>
      <c r="BF1086" s="270">
        <v>2018</v>
      </c>
      <c r="BG1086" s="270"/>
      <c r="BH1086" s="268"/>
      <c r="BI1086" s="682" t="s">
        <v>2376</v>
      </c>
    </row>
    <row r="1087" spans="1:61" s="204" customFormat="1" ht="18" customHeight="1">
      <c r="A1087" s="160" t="s">
        <v>1</v>
      </c>
      <c r="B1087" s="58" t="s">
        <v>320</v>
      </c>
      <c r="C1087" s="58" t="s">
        <v>900</v>
      </c>
      <c r="D1087" s="33" t="s">
        <v>387</v>
      </c>
      <c r="E1087" s="33"/>
      <c r="F1087" s="33"/>
      <c r="G1087" s="33"/>
      <c r="H1087" s="30" t="s">
        <v>663</v>
      </c>
      <c r="I1087" s="228" t="s">
        <v>1525</v>
      </c>
      <c r="J1087" s="215" t="s">
        <v>1526</v>
      </c>
      <c r="K1087" s="23"/>
      <c r="L1087" s="23"/>
      <c r="M1087" s="23">
        <v>1</v>
      </c>
      <c r="N1087" s="23">
        <v>1</v>
      </c>
      <c r="O1087" s="23"/>
      <c r="P1087" s="23">
        <f>51670509+10615051</f>
        <v>62285560</v>
      </c>
      <c r="Q1087" s="32"/>
      <c r="R1087" s="456"/>
      <c r="S1087" s="23"/>
      <c r="T1087" s="225"/>
      <c r="U1087" s="225">
        <v>28028502</v>
      </c>
      <c r="V1087" s="23">
        <v>10</v>
      </c>
      <c r="W1087" s="311">
        <v>43770</v>
      </c>
      <c r="X1087" s="311"/>
      <c r="Y1087" s="311"/>
      <c r="Z1087" s="23"/>
      <c r="AA1087" s="94"/>
      <c r="AB1087" s="94"/>
      <c r="AC1087" s="94"/>
      <c r="AD1087" s="94"/>
      <c r="AE1087" s="158"/>
      <c r="AF1087" s="158">
        <f>P1087-U1087-Z1087</f>
        <v>34257058</v>
      </c>
      <c r="AG1087" s="158"/>
      <c r="AH1087" s="94">
        <v>0</v>
      </c>
      <c r="AI1087" s="94">
        <v>34257058</v>
      </c>
      <c r="AJ1087" s="94"/>
      <c r="AK1087" s="666">
        <f t="shared" ref="AK1087:AK1088" si="252">P1087-R1087-U1087-Z1087</f>
        <v>34257058</v>
      </c>
      <c r="AL1087" s="666" t="s">
        <v>2384</v>
      </c>
      <c r="AM1087" s="666" t="s">
        <v>1657</v>
      </c>
      <c r="AN1087" s="158"/>
      <c r="AO1087" s="158">
        <v>1</v>
      </c>
      <c r="AP1087" s="23"/>
      <c r="AQ1087" s="23"/>
      <c r="AR1087" s="23"/>
      <c r="AS1087" s="23"/>
      <c r="AT1087" s="2">
        <v>0</v>
      </c>
      <c r="AU1087" s="58" t="s">
        <v>38</v>
      </c>
      <c r="AV1087" s="386" t="s">
        <v>2198</v>
      </c>
      <c r="AW1087" s="23"/>
      <c r="AX1087" s="23"/>
      <c r="AY1087" s="23"/>
      <c r="AZ1087" s="23"/>
      <c r="BA1087" s="23"/>
      <c r="BB1087" s="23"/>
      <c r="BC1087" s="223"/>
      <c r="BD1087" s="223"/>
      <c r="BE1087" s="223"/>
      <c r="BF1087" s="351"/>
      <c r="BG1087" s="351">
        <v>2019</v>
      </c>
      <c r="BH1087" s="504">
        <v>2020</v>
      </c>
      <c r="BI1087" s="271" t="s">
        <v>2375</v>
      </c>
    </row>
    <row r="1088" spans="1:61" s="204" customFormat="1" ht="18" customHeight="1">
      <c r="A1088" s="160" t="s">
        <v>1</v>
      </c>
      <c r="B1088" s="58" t="s">
        <v>320</v>
      </c>
      <c r="C1088" s="122" t="s">
        <v>904</v>
      </c>
      <c r="D1088" s="33" t="s">
        <v>387</v>
      </c>
      <c r="E1088" s="33"/>
      <c r="F1088" s="33"/>
      <c r="G1088" s="33"/>
      <c r="H1088" s="30" t="s">
        <v>715</v>
      </c>
      <c r="I1088" s="228" t="s">
        <v>1524</v>
      </c>
      <c r="J1088" s="215" t="s">
        <v>1523</v>
      </c>
      <c r="K1088" s="23"/>
      <c r="L1088" s="23"/>
      <c r="M1088" s="23">
        <v>1</v>
      </c>
      <c r="N1088" s="23">
        <v>1</v>
      </c>
      <c r="O1088" s="23"/>
      <c r="P1088" s="23">
        <v>36932136</v>
      </c>
      <c r="Q1088" s="23"/>
      <c r="R1088" s="23"/>
      <c r="S1088" s="23"/>
      <c r="T1088" s="23"/>
      <c r="U1088" s="225"/>
      <c r="V1088" s="23"/>
      <c r="W1088" s="311"/>
      <c r="X1088" s="311"/>
      <c r="Y1088" s="311"/>
      <c r="Z1088" s="23"/>
      <c r="AA1088" s="223"/>
      <c r="AB1088" s="311"/>
      <c r="AC1088" s="223"/>
      <c r="AD1088" s="223"/>
      <c r="AE1088" s="158"/>
      <c r="AF1088" s="158">
        <f>P1088-U1088-Z1088</f>
        <v>36932136</v>
      </c>
      <c r="AG1088" s="158"/>
      <c r="AH1088" s="94">
        <v>0</v>
      </c>
      <c r="AI1088" s="94">
        <v>36932136</v>
      </c>
      <c r="AJ1088" s="94"/>
      <c r="AK1088" s="666">
        <f t="shared" si="252"/>
        <v>36932136</v>
      </c>
      <c r="AL1088" s="666">
        <v>877</v>
      </c>
      <c r="AM1088" s="666">
        <v>20</v>
      </c>
      <c r="AN1088" s="158">
        <v>1</v>
      </c>
      <c r="AO1088" s="158"/>
      <c r="AP1088" s="23"/>
      <c r="AQ1088" s="50"/>
      <c r="AR1088" s="50"/>
      <c r="AS1088" s="23"/>
      <c r="AT1088" s="2">
        <v>0</v>
      </c>
      <c r="AU1088" s="58" t="s">
        <v>521</v>
      </c>
      <c r="AV1088" s="386"/>
      <c r="AW1088" s="23"/>
      <c r="AX1088" s="23"/>
      <c r="AY1088" s="23"/>
      <c r="AZ1088" s="23"/>
      <c r="BA1088" s="23"/>
      <c r="BB1088" s="23"/>
      <c r="BC1088" s="223"/>
      <c r="BD1088" s="223"/>
      <c r="BE1088" s="223"/>
      <c r="BF1088" s="351"/>
      <c r="BG1088" s="351">
        <v>2019</v>
      </c>
      <c r="BH1088" s="351">
        <v>2020</v>
      </c>
      <c r="BI1088" s="271" t="s">
        <v>2375</v>
      </c>
    </row>
    <row r="1089" spans="1:61" s="204" customFormat="1" ht="18" customHeight="1">
      <c r="A1089" s="243" t="s">
        <v>1</v>
      </c>
      <c r="B1089" s="58" t="s">
        <v>320</v>
      </c>
      <c r="C1089" s="267" t="s">
        <v>1918</v>
      </c>
      <c r="D1089" s="33" t="s">
        <v>387</v>
      </c>
      <c r="E1089" s="33"/>
      <c r="F1089" s="33"/>
      <c r="G1089" s="33"/>
      <c r="H1089" s="30" t="s">
        <v>715</v>
      </c>
      <c r="I1089" s="228" t="s">
        <v>1524</v>
      </c>
      <c r="J1089" s="215" t="s">
        <v>1523</v>
      </c>
      <c r="K1089" s="23"/>
      <c r="L1089" s="23"/>
      <c r="M1089" s="23"/>
      <c r="N1089" s="23"/>
      <c r="O1089" s="23"/>
      <c r="P1089" s="23">
        <v>58181752</v>
      </c>
      <c r="Q1089" s="23"/>
      <c r="R1089" s="23"/>
      <c r="S1089" s="23"/>
      <c r="T1089" s="23"/>
      <c r="U1089" s="225">
        <v>26181788</v>
      </c>
      <c r="V1089" s="23">
        <v>10</v>
      </c>
      <c r="W1089" s="311"/>
      <c r="X1089" s="311"/>
      <c r="Y1089" s="311"/>
      <c r="Z1089" s="23">
        <f>31999964-31999964+31999964</f>
        <v>31999964</v>
      </c>
      <c r="AA1089" s="23" t="s">
        <v>1822</v>
      </c>
      <c r="AB1089" s="311" t="s">
        <v>2382</v>
      </c>
      <c r="AC1089" s="311"/>
      <c r="AD1089" s="23"/>
      <c r="AE1089" s="158"/>
      <c r="AF1089" s="158">
        <f>P1089-U1089-Z1089</f>
        <v>0</v>
      </c>
      <c r="AG1089" s="158"/>
      <c r="AH1089" s="94">
        <v>0</v>
      </c>
      <c r="AI1089" s="94">
        <v>0</v>
      </c>
      <c r="AJ1089" s="94"/>
      <c r="AK1089" s="158">
        <f t="shared" ref="AK1089:AK1096" si="253">AF1089+AH1089</f>
        <v>0</v>
      </c>
      <c r="AL1089" s="158">
        <v>877</v>
      </c>
      <c r="AM1089" s="158">
        <v>20</v>
      </c>
      <c r="AN1089" s="158"/>
      <c r="AO1089" s="158"/>
      <c r="AP1089" s="23"/>
      <c r="AQ1089" s="50"/>
      <c r="AR1089" s="50"/>
      <c r="AS1089" s="50"/>
      <c r="AT1089" s="2">
        <v>1</v>
      </c>
      <c r="AU1089" s="58" t="s">
        <v>646</v>
      </c>
      <c r="AV1089" s="386" t="s">
        <v>1811</v>
      </c>
      <c r="AW1089" s="23"/>
      <c r="AX1089" s="50"/>
      <c r="AY1089" s="514">
        <v>1</v>
      </c>
      <c r="AZ1089" s="23"/>
      <c r="BA1089" s="23"/>
      <c r="BB1089" s="23">
        <v>1</v>
      </c>
      <c r="BC1089" s="223"/>
      <c r="BD1089" s="223"/>
      <c r="BE1089" s="223"/>
      <c r="BF1089" s="271">
        <v>2018</v>
      </c>
      <c r="BG1089" s="271" t="s">
        <v>1919</v>
      </c>
      <c r="BH1089" s="271"/>
      <c r="BI1089" s="271" t="s">
        <v>2376</v>
      </c>
    </row>
    <row r="1090" spans="1:61" s="204" customFormat="1" ht="18" customHeight="1">
      <c r="A1090" s="160" t="s">
        <v>1</v>
      </c>
      <c r="B1090" s="58" t="s">
        <v>320</v>
      </c>
      <c r="C1090" s="122" t="s">
        <v>905</v>
      </c>
      <c r="D1090" s="33" t="s">
        <v>387</v>
      </c>
      <c r="E1090" s="33"/>
      <c r="F1090" s="33"/>
      <c r="G1090" s="33"/>
      <c r="H1090" s="30" t="s">
        <v>715</v>
      </c>
      <c r="I1090" s="228" t="s">
        <v>1524</v>
      </c>
      <c r="J1090" s="215" t="s">
        <v>1523</v>
      </c>
      <c r="K1090" s="23"/>
      <c r="L1090" s="23"/>
      <c r="M1090" s="23">
        <v>1</v>
      </c>
      <c r="N1090" s="23">
        <v>1</v>
      </c>
      <c r="O1090" s="23"/>
      <c r="P1090" s="23">
        <f>33460414+27376702</f>
        <v>60837116</v>
      </c>
      <c r="Q1090" s="23"/>
      <c r="R1090" s="23"/>
      <c r="S1090" s="23"/>
      <c r="T1090" s="23"/>
      <c r="U1090" s="225">
        <v>27376702</v>
      </c>
      <c r="V1090" s="223">
        <v>10</v>
      </c>
      <c r="W1090" s="311">
        <v>43647</v>
      </c>
      <c r="X1090" s="311"/>
      <c r="Y1090" s="311"/>
      <c r="Z1090" s="23">
        <v>33460414</v>
      </c>
      <c r="AA1090" s="223">
        <v>20</v>
      </c>
      <c r="AB1090" s="311">
        <v>43770</v>
      </c>
      <c r="AC1090" s="577"/>
      <c r="AD1090" s="223"/>
      <c r="AE1090" s="158"/>
      <c r="AF1090" s="158">
        <f t="shared" ref="AF1090:AF1108" si="254">P1090-U1090-Z1090</f>
        <v>0</v>
      </c>
      <c r="AG1090" s="158"/>
      <c r="AH1090" s="94">
        <v>0</v>
      </c>
      <c r="AI1090" s="94">
        <v>0</v>
      </c>
      <c r="AJ1090" s="94"/>
      <c r="AK1090" s="158">
        <f>P1090-R1090-U1090-Z1090</f>
        <v>0</v>
      </c>
      <c r="AL1090" s="158">
        <v>877</v>
      </c>
      <c r="AM1090" s="158">
        <v>20</v>
      </c>
      <c r="AN1090" s="158"/>
      <c r="AO1090" s="158">
        <v>1</v>
      </c>
      <c r="AP1090" s="50"/>
      <c r="AQ1090" s="50"/>
      <c r="AR1090" s="50"/>
      <c r="AS1090" s="50"/>
      <c r="AT1090" s="2">
        <v>0</v>
      </c>
      <c r="AU1090" s="58" t="s">
        <v>38</v>
      </c>
      <c r="AV1090" s="386"/>
      <c r="AW1090" s="23"/>
      <c r="AX1090" s="50"/>
      <c r="AY1090" s="50"/>
      <c r="AZ1090" s="50"/>
      <c r="BA1090" s="50"/>
      <c r="BB1090" s="50"/>
      <c r="BC1090" s="293"/>
      <c r="BD1090" s="293"/>
      <c r="BE1090" s="293"/>
      <c r="BF1090" s="271"/>
      <c r="BG1090" s="271">
        <v>2019</v>
      </c>
      <c r="BH1090" s="430">
        <v>2020</v>
      </c>
      <c r="BI1090" s="271" t="s">
        <v>2375</v>
      </c>
    </row>
    <row r="1091" spans="1:61" ht="18" customHeight="1">
      <c r="A1091" s="160" t="s">
        <v>1</v>
      </c>
      <c r="B1091" s="58" t="s">
        <v>320</v>
      </c>
      <c r="C1091" s="122" t="s">
        <v>906</v>
      </c>
      <c r="D1091" s="33" t="s">
        <v>438</v>
      </c>
      <c r="E1091" s="33"/>
      <c r="F1091" s="33"/>
      <c r="G1091" s="33"/>
      <c r="H1091" s="30" t="s">
        <v>715</v>
      </c>
      <c r="I1091" s="228" t="s">
        <v>1528</v>
      </c>
      <c r="J1091" s="215" t="s">
        <v>1527</v>
      </c>
      <c r="K1091" s="23"/>
      <c r="L1091" s="23">
        <v>1</v>
      </c>
      <c r="M1091" s="23"/>
      <c r="N1091" s="23"/>
      <c r="O1091" s="23"/>
      <c r="P1091" s="23">
        <v>77562674</v>
      </c>
      <c r="Q1091" s="23"/>
      <c r="R1091" s="23"/>
      <c r="S1091" s="23"/>
      <c r="T1091" s="23"/>
      <c r="U1091" s="225">
        <v>77562674</v>
      </c>
      <c r="V1091" s="23">
        <v>10</v>
      </c>
      <c r="W1091" s="311">
        <v>43586</v>
      </c>
      <c r="X1091" s="311"/>
      <c r="Y1091" s="311"/>
      <c r="Z1091" s="23"/>
      <c r="AA1091" s="23"/>
      <c r="AB1091" s="23"/>
      <c r="AC1091" s="23"/>
      <c r="AD1091" s="23"/>
      <c r="AE1091" s="158"/>
      <c r="AF1091" s="158">
        <f t="shared" si="254"/>
        <v>0</v>
      </c>
      <c r="AG1091" s="158"/>
      <c r="AH1091" s="94">
        <v>0</v>
      </c>
      <c r="AI1091" s="94">
        <v>0</v>
      </c>
      <c r="AJ1091" s="94"/>
      <c r="AK1091" s="158">
        <f t="shared" si="253"/>
        <v>0</v>
      </c>
      <c r="AL1091" s="158">
        <v>877</v>
      </c>
      <c r="AM1091" s="158">
        <v>10</v>
      </c>
      <c r="AN1091" s="158"/>
      <c r="AO1091" s="158"/>
      <c r="AP1091" s="23"/>
      <c r="AQ1091" s="50"/>
      <c r="AR1091" s="50"/>
      <c r="AS1091" s="50"/>
      <c r="AT1091" s="2">
        <v>1</v>
      </c>
      <c r="AU1091" s="58" t="s">
        <v>646</v>
      </c>
      <c r="AV1091" s="386" t="s">
        <v>1390</v>
      </c>
      <c r="AW1091" s="23"/>
      <c r="AX1091" s="50"/>
      <c r="AY1091" s="50"/>
      <c r="AZ1091" s="23">
        <v>1</v>
      </c>
      <c r="BA1091" s="23"/>
      <c r="BB1091" s="50"/>
      <c r="BC1091" s="293"/>
      <c r="BD1091" s="223">
        <v>1</v>
      </c>
      <c r="BE1091" s="223"/>
      <c r="BF1091" s="270">
        <v>2019</v>
      </c>
      <c r="BG1091" s="270">
        <v>2019</v>
      </c>
      <c r="BH1091" s="271"/>
      <c r="BI1091" s="271" t="s">
        <v>2375</v>
      </c>
    </row>
    <row r="1092" spans="1:61" s="204" customFormat="1" ht="18" customHeight="1">
      <c r="A1092" s="160" t="s">
        <v>1</v>
      </c>
      <c r="B1092" s="58" t="s">
        <v>320</v>
      </c>
      <c r="C1092" s="122" t="s">
        <v>907</v>
      </c>
      <c r="D1092" s="33" t="s">
        <v>438</v>
      </c>
      <c r="E1092" s="33"/>
      <c r="F1092" s="33"/>
      <c r="G1092" s="33"/>
      <c r="H1092" s="30" t="s">
        <v>715</v>
      </c>
      <c r="I1092" s="228" t="s">
        <v>1528</v>
      </c>
      <c r="J1092" s="215" t="s">
        <v>1527</v>
      </c>
      <c r="K1092" s="23"/>
      <c r="L1092" s="23"/>
      <c r="M1092" s="23">
        <v>1</v>
      </c>
      <c r="N1092" s="23">
        <v>1</v>
      </c>
      <c r="O1092" s="23"/>
      <c r="P1092" s="23">
        <v>77562674</v>
      </c>
      <c r="Q1092" s="23"/>
      <c r="R1092" s="23"/>
      <c r="S1092" s="23"/>
      <c r="T1092" s="23"/>
      <c r="U1092" s="225"/>
      <c r="V1092" s="23"/>
      <c r="W1092" s="311"/>
      <c r="X1092" s="311"/>
      <c r="Y1092" s="311"/>
      <c r="Z1092" s="23"/>
      <c r="AA1092" s="223"/>
      <c r="AB1092" s="223"/>
      <c r="AC1092" s="223"/>
      <c r="AD1092" s="223"/>
      <c r="AE1092" s="158"/>
      <c r="AF1092" s="158">
        <f t="shared" si="254"/>
        <v>77562674</v>
      </c>
      <c r="AG1092" s="158"/>
      <c r="AH1092" s="94">
        <v>0</v>
      </c>
      <c r="AI1092" s="94">
        <v>77562674</v>
      </c>
      <c r="AJ1092" s="94"/>
      <c r="AK1092" s="666">
        <f t="shared" ref="AK1092:AK1093" si="255">P1092-R1092-U1092-Z1092</f>
        <v>77562674</v>
      </c>
      <c r="AL1092" s="666">
        <v>877</v>
      </c>
      <c r="AM1092" s="666">
        <v>20</v>
      </c>
      <c r="AN1092" s="158">
        <v>1</v>
      </c>
      <c r="AO1092" s="158"/>
      <c r="AP1092" s="23"/>
      <c r="AQ1092" s="50"/>
      <c r="AR1092" s="50"/>
      <c r="AS1092" s="23"/>
      <c r="AT1092" s="2">
        <v>0</v>
      </c>
      <c r="AU1092" s="58" t="s">
        <v>521</v>
      </c>
      <c r="AV1092" s="386"/>
      <c r="AW1092" s="23"/>
      <c r="AX1092" s="23"/>
      <c r="AY1092" s="23"/>
      <c r="AZ1092" s="23"/>
      <c r="BA1092" s="23"/>
      <c r="BB1092" s="23"/>
      <c r="BC1092" s="223"/>
      <c r="BD1092" s="223"/>
      <c r="BE1092" s="223"/>
      <c r="BF1092" s="351"/>
      <c r="BG1092" s="351">
        <v>2019</v>
      </c>
      <c r="BH1092" s="351">
        <v>2020</v>
      </c>
      <c r="BI1092" s="271" t="s">
        <v>2375</v>
      </c>
    </row>
    <row r="1093" spans="1:61" s="204" customFormat="1" ht="18" customHeight="1">
      <c r="A1093" s="160" t="s">
        <v>1</v>
      </c>
      <c r="B1093" s="58" t="s">
        <v>320</v>
      </c>
      <c r="C1093" s="122" t="s">
        <v>908</v>
      </c>
      <c r="D1093" s="33" t="s">
        <v>387</v>
      </c>
      <c r="E1093" s="33"/>
      <c r="F1093" s="33"/>
      <c r="G1093" s="33"/>
      <c r="H1093" s="30" t="s">
        <v>715</v>
      </c>
      <c r="I1093" s="228" t="s">
        <v>1697</v>
      </c>
      <c r="J1093" s="215" t="s">
        <v>1529</v>
      </c>
      <c r="K1093" s="23"/>
      <c r="L1093" s="23"/>
      <c r="M1093" s="23">
        <v>1</v>
      </c>
      <c r="N1093" s="23">
        <v>1</v>
      </c>
      <c r="O1093" s="23"/>
      <c r="P1093" s="23">
        <v>56106320</v>
      </c>
      <c r="Q1093" s="23"/>
      <c r="R1093" s="23"/>
      <c r="S1093" s="23"/>
      <c r="T1093" s="23"/>
      <c r="U1093" s="225"/>
      <c r="V1093" s="23"/>
      <c r="W1093" s="311"/>
      <c r="X1093" s="311"/>
      <c r="Y1093" s="311"/>
      <c r="Z1093" s="23"/>
      <c r="AA1093" s="223"/>
      <c r="AB1093" s="223"/>
      <c r="AC1093" s="223"/>
      <c r="AD1093" s="223"/>
      <c r="AE1093" s="158"/>
      <c r="AF1093" s="158">
        <f t="shared" si="254"/>
        <v>56106320</v>
      </c>
      <c r="AG1093" s="158"/>
      <c r="AH1093" s="94">
        <v>0</v>
      </c>
      <c r="AI1093" s="94">
        <v>56106320</v>
      </c>
      <c r="AJ1093" s="94"/>
      <c r="AK1093" s="602">
        <f t="shared" si="255"/>
        <v>56106320</v>
      </c>
      <c r="AL1093" s="72">
        <v>877</v>
      </c>
      <c r="AM1093" s="72">
        <v>10</v>
      </c>
      <c r="AN1093" s="158">
        <v>1</v>
      </c>
      <c r="AO1093" s="158"/>
      <c r="AP1093" s="50"/>
      <c r="AQ1093" s="50"/>
      <c r="AR1093" s="50"/>
      <c r="AS1093" s="50"/>
      <c r="AT1093" s="2">
        <v>0</v>
      </c>
      <c r="AU1093" s="58" t="s">
        <v>521</v>
      </c>
      <c r="AV1093" s="386"/>
      <c r="AW1093" s="23"/>
      <c r="AX1093" s="50"/>
      <c r="AY1093" s="50"/>
      <c r="AZ1093" s="50"/>
      <c r="BA1093" s="50"/>
      <c r="BB1093" s="50"/>
      <c r="BC1093" s="293"/>
      <c r="BD1093" s="293"/>
      <c r="BE1093" s="293"/>
      <c r="BF1093" s="271"/>
      <c r="BG1093" s="271">
        <v>2019</v>
      </c>
      <c r="BH1093" s="271">
        <v>2020</v>
      </c>
      <c r="BI1093" s="271" t="s">
        <v>2375</v>
      </c>
    </row>
    <row r="1094" spans="1:61" ht="18" customHeight="1">
      <c r="A1094" s="248" t="s">
        <v>1</v>
      </c>
      <c r="B1094" s="58" t="s">
        <v>320</v>
      </c>
      <c r="C1094" s="258" t="s">
        <v>901</v>
      </c>
      <c r="D1094" s="33" t="s">
        <v>387</v>
      </c>
      <c r="E1094" s="33"/>
      <c r="F1094" s="33"/>
      <c r="G1094" s="33"/>
      <c r="H1094" s="30" t="s">
        <v>715</v>
      </c>
      <c r="I1094" s="228" t="s">
        <v>1697</v>
      </c>
      <c r="J1094" s="215" t="s">
        <v>1529</v>
      </c>
      <c r="K1094" s="23"/>
      <c r="L1094" s="23">
        <v>1</v>
      </c>
      <c r="M1094" s="23"/>
      <c r="N1094" s="23"/>
      <c r="O1094" s="23"/>
      <c r="P1094" s="23">
        <v>61214038</v>
      </c>
      <c r="Q1094" s="23"/>
      <c r="R1094" s="23"/>
      <c r="S1094" s="23"/>
      <c r="T1094" s="23"/>
      <c r="U1094" s="225">
        <v>27546317</v>
      </c>
      <c r="V1094" s="23"/>
      <c r="W1094" s="311"/>
      <c r="X1094" s="311"/>
      <c r="Y1094" s="311"/>
      <c r="Z1094" s="23">
        <v>33667721</v>
      </c>
      <c r="AA1094" s="23"/>
      <c r="AB1094" s="265"/>
      <c r="AC1094" s="265"/>
      <c r="AD1094" s="265"/>
      <c r="AE1094" s="158"/>
      <c r="AF1094" s="158">
        <f t="shared" si="254"/>
        <v>0</v>
      </c>
      <c r="AG1094" s="158"/>
      <c r="AH1094" s="94">
        <v>0</v>
      </c>
      <c r="AI1094" s="94">
        <v>0</v>
      </c>
      <c r="AJ1094" s="94"/>
      <c r="AK1094" s="158">
        <f t="shared" si="253"/>
        <v>0</v>
      </c>
      <c r="AL1094" s="158"/>
      <c r="AM1094" s="158"/>
      <c r="AN1094" s="158"/>
      <c r="AO1094" s="158"/>
      <c r="AP1094" s="23"/>
      <c r="AQ1094" s="23"/>
      <c r="AR1094" s="23"/>
      <c r="AS1094" s="23"/>
      <c r="AT1094" s="2">
        <v>1</v>
      </c>
      <c r="AU1094" s="58" t="s">
        <v>646</v>
      </c>
      <c r="AV1094" s="388" t="s">
        <v>1861</v>
      </c>
      <c r="AW1094" s="23"/>
      <c r="AX1094" s="50"/>
      <c r="AY1094" s="50"/>
      <c r="AZ1094" s="23">
        <v>1</v>
      </c>
      <c r="BA1094" s="23"/>
      <c r="BB1094" s="50"/>
      <c r="BC1094" s="293"/>
      <c r="BD1094" s="223">
        <v>1</v>
      </c>
      <c r="BE1094" s="223"/>
      <c r="BF1094" s="270">
        <v>2019</v>
      </c>
      <c r="BG1094" s="270">
        <v>2019</v>
      </c>
      <c r="BH1094" s="271"/>
      <c r="BI1094" s="271" t="s">
        <v>2375</v>
      </c>
    </row>
    <row r="1095" spans="1:61" ht="18" customHeight="1">
      <c r="A1095" s="230" t="s">
        <v>1</v>
      </c>
      <c r="B1095" s="58" t="s">
        <v>320</v>
      </c>
      <c r="C1095" s="236" t="s">
        <v>910</v>
      </c>
      <c r="D1095" s="33" t="s">
        <v>438</v>
      </c>
      <c r="E1095" s="33"/>
      <c r="F1095" s="33"/>
      <c r="G1095" s="33"/>
      <c r="H1095" s="30" t="s">
        <v>731</v>
      </c>
      <c r="I1095" s="78">
        <v>3128</v>
      </c>
      <c r="J1095" s="212">
        <v>43098</v>
      </c>
      <c r="K1095" s="23"/>
      <c r="L1095" s="23">
        <v>1</v>
      </c>
      <c r="M1095" s="23"/>
      <c r="N1095" s="23"/>
      <c r="O1095" s="23"/>
      <c r="P1095" s="23">
        <v>76950000</v>
      </c>
      <c r="Q1095" s="23"/>
      <c r="R1095" s="23"/>
      <c r="S1095" s="23"/>
      <c r="T1095" s="23"/>
      <c r="U1095" s="225">
        <v>76950000</v>
      </c>
      <c r="V1095" s="23">
        <v>10</v>
      </c>
      <c r="W1095" s="311">
        <v>43586</v>
      </c>
      <c r="X1095" s="311"/>
      <c r="Y1095" s="311"/>
      <c r="Z1095" s="23"/>
      <c r="AA1095" s="23"/>
      <c r="AB1095" s="57"/>
      <c r="AC1095" s="57"/>
      <c r="AD1095" s="57"/>
      <c r="AE1095" s="158"/>
      <c r="AF1095" s="158">
        <f t="shared" si="254"/>
        <v>0</v>
      </c>
      <c r="AG1095" s="158"/>
      <c r="AH1095" s="94">
        <v>0</v>
      </c>
      <c r="AI1095" s="94">
        <v>0</v>
      </c>
      <c r="AJ1095" s="94"/>
      <c r="AK1095" s="158">
        <f t="shared" si="253"/>
        <v>0</v>
      </c>
      <c r="AL1095" s="158">
        <v>877</v>
      </c>
      <c r="AM1095" s="158">
        <v>10</v>
      </c>
      <c r="AN1095" s="158"/>
      <c r="AO1095" s="158"/>
      <c r="AP1095" s="23"/>
      <c r="AQ1095" s="50"/>
      <c r="AR1095" s="50"/>
      <c r="AS1095" s="50"/>
      <c r="AT1095" s="2">
        <v>1</v>
      </c>
      <c r="AU1095" s="58" t="s">
        <v>646</v>
      </c>
      <c r="AV1095" s="386" t="s">
        <v>1391</v>
      </c>
      <c r="AW1095" s="23"/>
      <c r="AX1095" s="50"/>
      <c r="AY1095" s="50"/>
      <c r="AZ1095" s="23">
        <v>1</v>
      </c>
      <c r="BA1095" s="23"/>
      <c r="BB1095" s="50"/>
      <c r="BC1095" s="293"/>
      <c r="BD1095" s="223">
        <v>1</v>
      </c>
      <c r="BE1095" s="223"/>
      <c r="BF1095" s="270">
        <v>2019</v>
      </c>
      <c r="BG1095" s="270">
        <v>2019</v>
      </c>
      <c r="BH1095" s="271"/>
      <c r="BI1095" s="271" t="s">
        <v>2375</v>
      </c>
    </row>
    <row r="1096" spans="1:61" ht="18" customHeight="1">
      <c r="A1096" s="160" t="s">
        <v>1</v>
      </c>
      <c r="B1096" s="58" t="s">
        <v>320</v>
      </c>
      <c r="C1096" s="122" t="s">
        <v>909</v>
      </c>
      <c r="D1096" s="33" t="s">
        <v>438</v>
      </c>
      <c r="E1096" s="33"/>
      <c r="F1096" s="33"/>
      <c r="G1096" s="33"/>
      <c r="H1096" s="30" t="s">
        <v>731</v>
      </c>
      <c r="I1096" s="78">
        <v>3127</v>
      </c>
      <c r="J1096" s="212">
        <v>43098</v>
      </c>
      <c r="K1096" s="23"/>
      <c r="L1096" s="23">
        <v>1</v>
      </c>
      <c r="M1096" s="23"/>
      <c r="N1096" s="23"/>
      <c r="O1096" s="23"/>
      <c r="P1096" s="23">
        <f>77562674+2714682</f>
        <v>80277356</v>
      </c>
      <c r="Q1096" s="23"/>
      <c r="R1096" s="23"/>
      <c r="S1096" s="23"/>
      <c r="T1096" s="23"/>
      <c r="U1096" s="225">
        <f>80277356-80277356+2714682+77562674</f>
        <v>80277356</v>
      </c>
      <c r="V1096" s="81" t="s">
        <v>1657</v>
      </c>
      <c r="W1096" s="311" t="s">
        <v>1725</v>
      </c>
      <c r="X1096" s="311"/>
      <c r="Y1096" s="311"/>
      <c r="Z1096" s="23"/>
      <c r="AA1096" s="223"/>
      <c r="AB1096" s="223"/>
      <c r="AC1096" s="223"/>
      <c r="AD1096" s="223"/>
      <c r="AE1096" s="158"/>
      <c r="AF1096" s="158">
        <f>P1096-U1096-Z1096</f>
        <v>0</v>
      </c>
      <c r="AG1096" s="158"/>
      <c r="AH1096" s="158">
        <f>P1096-U1096-Z1096</f>
        <v>0</v>
      </c>
      <c r="AI1096" s="158">
        <v>0</v>
      </c>
      <c r="AJ1096" s="158"/>
      <c r="AK1096" s="158">
        <f t="shared" si="253"/>
        <v>0</v>
      </c>
      <c r="AL1096" s="158">
        <v>877</v>
      </c>
      <c r="AM1096" s="158">
        <v>20</v>
      </c>
      <c r="AN1096" s="158"/>
      <c r="AO1096" s="158"/>
      <c r="AP1096" s="23"/>
      <c r="AQ1096" s="23"/>
      <c r="AR1096" s="23"/>
      <c r="AS1096" s="23"/>
      <c r="AT1096" s="2">
        <v>1</v>
      </c>
      <c r="AU1096" s="58" t="s">
        <v>646</v>
      </c>
      <c r="AV1096" s="386" t="s">
        <v>1800</v>
      </c>
      <c r="AW1096" s="23"/>
      <c r="AX1096" s="50"/>
      <c r="AY1096" s="50"/>
      <c r="AZ1096" s="23">
        <v>1</v>
      </c>
      <c r="BA1096" s="23"/>
      <c r="BB1096" s="50"/>
      <c r="BC1096" s="50"/>
      <c r="BD1096" s="23">
        <v>1</v>
      </c>
      <c r="BE1096" s="23"/>
      <c r="BF1096" s="270">
        <v>2019</v>
      </c>
      <c r="BG1096" s="270">
        <v>2019</v>
      </c>
      <c r="BH1096" s="271"/>
      <c r="BI1096" s="271" t="s">
        <v>2375</v>
      </c>
    </row>
    <row r="1097" spans="1:61" s="204" customFormat="1" ht="28.5" customHeight="1">
      <c r="A1097" s="248" t="s">
        <v>1</v>
      </c>
      <c r="B1097" s="58" t="s">
        <v>320</v>
      </c>
      <c r="C1097" s="264" t="s">
        <v>953</v>
      </c>
      <c r="D1097" s="33" t="s">
        <v>387</v>
      </c>
      <c r="E1097" s="33"/>
      <c r="F1097" s="33"/>
      <c r="G1097" s="33"/>
      <c r="H1097" s="30" t="s">
        <v>968</v>
      </c>
      <c r="I1097" s="115" t="s">
        <v>2354</v>
      </c>
      <c r="J1097" s="215" t="s">
        <v>2355</v>
      </c>
      <c r="K1097" s="158"/>
      <c r="L1097" s="158"/>
      <c r="M1097" s="158">
        <v>1</v>
      </c>
      <c r="N1097" s="158"/>
      <c r="O1097" s="158">
        <v>1</v>
      </c>
      <c r="P1097" s="158">
        <v>62534985</v>
      </c>
      <c r="Q1097" s="158"/>
      <c r="R1097" s="158"/>
      <c r="S1097" s="158"/>
      <c r="T1097" s="158"/>
      <c r="U1097" s="225"/>
      <c r="V1097" s="158"/>
      <c r="W1097" s="311"/>
      <c r="X1097" s="311"/>
      <c r="Y1097" s="311"/>
      <c r="Z1097" s="23"/>
      <c r="AA1097" s="158"/>
      <c r="AB1097" s="92"/>
      <c r="AC1097" s="92"/>
      <c r="AD1097" s="92">
        <v>62534985</v>
      </c>
      <c r="AE1097" s="158"/>
      <c r="AF1097" s="158">
        <f t="shared" si="254"/>
        <v>62534985</v>
      </c>
      <c r="AG1097" s="158"/>
      <c r="AH1097" s="94">
        <v>0</v>
      </c>
      <c r="AI1097" s="94">
        <v>0</v>
      </c>
      <c r="AJ1097" s="94"/>
      <c r="AK1097" s="158">
        <f>P1097-R1097-U1097-Z1097-AD1097</f>
        <v>0</v>
      </c>
      <c r="AL1097" s="158"/>
      <c r="AM1097" s="158"/>
      <c r="AN1097" s="158"/>
      <c r="AO1097" s="158"/>
      <c r="AP1097" s="50"/>
      <c r="AQ1097" s="23"/>
      <c r="AR1097" s="23"/>
      <c r="AS1097" s="23">
        <v>1</v>
      </c>
      <c r="AT1097" s="2">
        <v>0</v>
      </c>
      <c r="AU1097" s="58" t="s">
        <v>687</v>
      </c>
      <c r="AV1097" s="478" t="s">
        <v>2358</v>
      </c>
      <c r="AW1097" s="23"/>
      <c r="AX1097" s="50"/>
      <c r="AY1097" s="50"/>
      <c r="AZ1097" s="50"/>
      <c r="BA1097" s="50"/>
      <c r="BB1097" s="50"/>
      <c r="BC1097" s="293"/>
      <c r="BD1097" s="293"/>
      <c r="BE1097" s="293"/>
      <c r="BF1097" s="271"/>
      <c r="BG1097" s="271">
        <v>2019</v>
      </c>
      <c r="BH1097" s="271">
        <v>2020</v>
      </c>
      <c r="BI1097" s="271" t="s">
        <v>2375</v>
      </c>
    </row>
    <row r="1098" spans="1:61" s="204" customFormat="1" ht="18" customHeight="1">
      <c r="A1098" s="230" t="s">
        <v>1</v>
      </c>
      <c r="B1098" s="58" t="s">
        <v>320</v>
      </c>
      <c r="C1098" s="66" t="s">
        <v>1392</v>
      </c>
      <c r="D1098" s="33" t="s">
        <v>387</v>
      </c>
      <c r="E1098" s="33"/>
      <c r="F1098" s="33"/>
      <c r="G1098" s="33"/>
      <c r="H1098" s="30" t="s">
        <v>968</v>
      </c>
      <c r="I1098" s="228" t="s">
        <v>1477</v>
      </c>
      <c r="J1098" s="215" t="s">
        <v>1476</v>
      </c>
      <c r="K1098" s="158"/>
      <c r="L1098" s="158"/>
      <c r="M1098" s="158">
        <v>1</v>
      </c>
      <c r="N1098" s="158">
        <v>1</v>
      </c>
      <c r="O1098" s="23"/>
      <c r="P1098" s="23">
        <v>63194238</v>
      </c>
      <c r="Q1098" s="23"/>
      <c r="R1098" s="158"/>
      <c r="S1098" s="158"/>
      <c r="T1098" s="158"/>
      <c r="U1098" s="225">
        <v>28437407</v>
      </c>
      <c r="V1098" s="158">
        <v>10</v>
      </c>
      <c r="W1098" s="311"/>
      <c r="X1098" s="311"/>
      <c r="Y1098" s="311"/>
      <c r="Z1098" s="23">
        <v>34756831</v>
      </c>
      <c r="AA1098" s="158">
        <v>10</v>
      </c>
      <c r="AB1098" s="311">
        <v>43586</v>
      </c>
      <c r="AC1098" s="329"/>
      <c r="AD1098" s="5"/>
      <c r="AE1098" s="158"/>
      <c r="AF1098" s="158">
        <f t="shared" si="254"/>
        <v>0</v>
      </c>
      <c r="AG1098" s="158"/>
      <c r="AH1098" s="94">
        <v>0</v>
      </c>
      <c r="AI1098" s="94">
        <v>0</v>
      </c>
      <c r="AJ1098" s="94"/>
      <c r="AK1098" s="158">
        <f t="shared" ref="AK1098:AK1108" si="256">P1098-R1098-U1098-Z1098</f>
        <v>0</v>
      </c>
      <c r="AL1098" s="158">
        <v>877</v>
      </c>
      <c r="AM1098" s="158">
        <v>10</v>
      </c>
      <c r="AN1098" s="158"/>
      <c r="AO1098" s="158">
        <v>1</v>
      </c>
      <c r="AP1098" s="50"/>
      <c r="AQ1098" s="23"/>
      <c r="AR1098" s="23"/>
      <c r="AS1098" s="23"/>
      <c r="AT1098" s="2">
        <v>0.45</v>
      </c>
      <c r="AU1098" s="58" t="s">
        <v>38</v>
      </c>
      <c r="AV1098" s="386" t="s">
        <v>1393</v>
      </c>
      <c r="AW1098" s="23"/>
      <c r="AX1098" s="50"/>
      <c r="AY1098" s="50"/>
      <c r="AZ1098" s="50"/>
      <c r="BA1098" s="50"/>
      <c r="BB1098" s="50"/>
      <c r="BC1098" s="293"/>
      <c r="BD1098" s="293"/>
      <c r="BE1098" s="293"/>
      <c r="BF1098" s="271"/>
      <c r="BG1098" s="271">
        <v>2019</v>
      </c>
      <c r="BH1098" s="430">
        <v>2020</v>
      </c>
      <c r="BI1098" s="271" t="s">
        <v>2375</v>
      </c>
    </row>
    <row r="1099" spans="1:61" s="204" customFormat="1" ht="18" customHeight="1">
      <c r="A1099" s="160" t="s">
        <v>1</v>
      </c>
      <c r="B1099" s="58" t="s">
        <v>320</v>
      </c>
      <c r="C1099" s="66" t="s">
        <v>2191</v>
      </c>
      <c r="D1099" s="33" t="s">
        <v>387</v>
      </c>
      <c r="E1099" s="33"/>
      <c r="F1099" s="33"/>
      <c r="G1099" s="33"/>
      <c r="H1099" s="30" t="s">
        <v>968</v>
      </c>
      <c r="I1099" s="228" t="s">
        <v>1448</v>
      </c>
      <c r="J1099" s="215" t="s">
        <v>1449</v>
      </c>
      <c r="K1099" s="158"/>
      <c r="L1099" s="158"/>
      <c r="M1099" s="158">
        <v>1</v>
      </c>
      <c r="N1099" s="158">
        <v>1</v>
      </c>
      <c r="O1099" s="23"/>
      <c r="P1099" s="158">
        <v>63593000</v>
      </c>
      <c r="Q1099" s="158"/>
      <c r="R1099" s="158"/>
      <c r="S1099" s="158"/>
      <c r="T1099" s="225"/>
      <c r="U1099" s="225">
        <f>28616850-28616850+28616850</f>
        <v>28616850</v>
      </c>
      <c r="V1099" s="158" t="s">
        <v>1822</v>
      </c>
      <c r="W1099" s="311" t="s">
        <v>2383</v>
      </c>
      <c r="X1099" s="311"/>
      <c r="Y1099" s="311"/>
      <c r="Z1099" s="23">
        <v>34976150</v>
      </c>
      <c r="AA1099" s="69">
        <v>20</v>
      </c>
      <c r="AB1099" s="311">
        <v>44012</v>
      </c>
      <c r="AC1099" s="69"/>
      <c r="AD1099" s="69"/>
      <c r="AE1099" s="158"/>
      <c r="AF1099" s="158">
        <f t="shared" si="254"/>
        <v>0</v>
      </c>
      <c r="AG1099" s="158"/>
      <c r="AH1099" s="94">
        <v>0</v>
      </c>
      <c r="AI1099" s="94">
        <v>34976150</v>
      </c>
      <c r="AJ1099" s="94"/>
      <c r="AK1099" s="666">
        <f t="shared" si="256"/>
        <v>0</v>
      </c>
      <c r="AL1099" s="666">
        <v>877</v>
      </c>
      <c r="AM1099" s="666">
        <v>20</v>
      </c>
      <c r="AN1099" s="158"/>
      <c r="AO1099" s="158">
        <v>1</v>
      </c>
      <c r="AP1099" s="23"/>
      <c r="AQ1099" s="23"/>
      <c r="AR1099" s="23"/>
      <c r="AS1099" s="23"/>
      <c r="AT1099" s="2">
        <v>0.45</v>
      </c>
      <c r="AU1099" s="58" t="s">
        <v>38</v>
      </c>
      <c r="AV1099" s="386"/>
      <c r="AW1099" s="23"/>
      <c r="AX1099" s="23"/>
      <c r="AY1099" s="23"/>
      <c r="AZ1099" s="23"/>
      <c r="BA1099" s="23"/>
      <c r="BB1099" s="23"/>
      <c r="BC1099" s="223"/>
      <c r="BD1099" s="223"/>
      <c r="BE1099" s="223"/>
      <c r="BF1099" s="351"/>
      <c r="BG1099" s="351">
        <v>2019</v>
      </c>
      <c r="BH1099" s="504">
        <v>2020</v>
      </c>
      <c r="BI1099" s="271" t="s">
        <v>2375</v>
      </c>
    </row>
    <row r="1100" spans="1:61" s="204" customFormat="1" ht="18" customHeight="1">
      <c r="A1100" s="160" t="s">
        <v>1</v>
      </c>
      <c r="B1100" s="58" t="s">
        <v>320</v>
      </c>
      <c r="C1100" s="66" t="s">
        <v>956</v>
      </c>
      <c r="D1100" s="33" t="s">
        <v>387</v>
      </c>
      <c r="E1100" s="33"/>
      <c r="F1100" s="33"/>
      <c r="G1100" s="33"/>
      <c r="H1100" s="30" t="s">
        <v>968</v>
      </c>
      <c r="I1100" s="228" t="s">
        <v>1450</v>
      </c>
      <c r="J1100" s="215" t="s">
        <v>1451</v>
      </c>
      <c r="K1100" s="158"/>
      <c r="L1100" s="158"/>
      <c r="M1100" s="158">
        <v>1</v>
      </c>
      <c r="N1100" s="158">
        <v>1</v>
      </c>
      <c r="O1100" s="23"/>
      <c r="P1100" s="158">
        <v>63589970</v>
      </c>
      <c r="Q1100" s="158"/>
      <c r="R1100" s="158"/>
      <c r="S1100" s="158"/>
      <c r="T1100" s="158"/>
      <c r="U1100" s="225">
        <v>28615487</v>
      </c>
      <c r="V1100" s="158">
        <v>10</v>
      </c>
      <c r="W1100" s="311">
        <v>43435</v>
      </c>
      <c r="X1100" s="311"/>
      <c r="Y1100" s="311"/>
      <c r="Z1100" s="23">
        <v>34974483</v>
      </c>
      <c r="AA1100" s="69">
        <v>20</v>
      </c>
      <c r="AB1100" s="311">
        <v>43770</v>
      </c>
      <c r="AC1100" s="577"/>
      <c r="AD1100" s="69"/>
      <c r="AE1100" s="158"/>
      <c r="AF1100" s="158">
        <f t="shared" si="254"/>
        <v>0</v>
      </c>
      <c r="AG1100" s="158"/>
      <c r="AH1100" s="94">
        <v>0</v>
      </c>
      <c r="AI1100" s="94">
        <v>0</v>
      </c>
      <c r="AJ1100" s="94"/>
      <c r="AK1100" s="158">
        <f t="shared" si="256"/>
        <v>0</v>
      </c>
      <c r="AL1100" s="158">
        <v>877</v>
      </c>
      <c r="AM1100" s="158">
        <v>20</v>
      </c>
      <c r="AN1100" s="158"/>
      <c r="AO1100" s="158">
        <v>1</v>
      </c>
      <c r="AP1100" s="50"/>
      <c r="AQ1100" s="23"/>
      <c r="AR1100" s="23"/>
      <c r="AS1100" s="23"/>
      <c r="AT1100" s="2">
        <v>0.45</v>
      </c>
      <c r="AU1100" s="58" t="s">
        <v>38</v>
      </c>
      <c r="AV1100" s="386"/>
      <c r="AW1100" s="23"/>
      <c r="AX1100" s="50"/>
      <c r="AY1100" s="50"/>
      <c r="AZ1100" s="50"/>
      <c r="BA1100" s="50"/>
      <c r="BB1100" s="50"/>
      <c r="BC1100" s="293"/>
      <c r="BD1100" s="293"/>
      <c r="BE1100" s="293"/>
      <c r="BF1100" s="271"/>
      <c r="BG1100" s="271">
        <v>2019</v>
      </c>
      <c r="BH1100" s="430">
        <v>2020</v>
      </c>
      <c r="BI1100" s="271" t="s">
        <v>2375</v>
      </c>
    </row>
    <row r="1101" spans="1:61" s="204" customFormat="1" ht="18" customHeight="1">
      <c r="A1101" s="160" t="s">
        <v>1</v>
      </c>
      <c r="B1101" s="58" t="s">
        <v>320</v>
      </c>
      <c r="C1101" s="66" t="s">
        <v>957</v>
      </c>
      <c r="D1101" s="33" t="s">
        <v>387</v>
      </c>
      <c r="E1101" s="33"/>
      <c r="F1101" s="33"/>
      <c r="G1101" s="33"/>
      <c r="H1101" s="30" t="s">
        <v>968</v>
      </c>
      <c r="I1101" s="228" t="s">
        <v>1452</v>
      </c>
      <c r="J1101" s="215" t="s">
        <v>1449</v>
      </c>
      <c r="K1101" s="158"/>
      <c r="L1101" s="158"/>
      <c r="M1101" s="158">
        <v>1</v>
      </c>
      <c r="N1101" s="158">
        <v>1</v>
      </c>
      <c r="O1101" s="23"/>
      <c r="P1101" s="158">
        <v>63589970</v>
      </c>
      <c r="Q1101" s="158"/>
      <c r="R1101" s="158"/>
      <c r="S1101" s="158"/>
      <c r="T1101" s="158"/>
      <c r="U1101" s="225">
        <v>28615487</v>
      </c>
      <c r="V1101" s="158">
        <v>10</v>
      </c>
      <c r="W1101" s="311">
        <v>43497</v>
      </c>
      <c r="X1101" s="311"/>
      <c r="Y1101" s="311"/>
      <c r="Z1101" s="23">
        <f>34974483-34974483+34974483</f>
        <v>34974483</v>
      </c>
      <c r="AA1101" s="69">
        <v>20</v>
      </c>
      <c r="AB1101" s="311">
        <v>43770</v>
      </c>
      <c r="AC1101" s="577"/>
      <c r="AD1101" s="69"/>
      <c r="AE1101" s="158"/>
      <c r="AF1101" s="158">
        <f t="shared" si="254"/>
        <v>0</v>
      </c>
      <c r="AG1101" s="158"/>
      <c r="AH1101" s="94">
        <v>0</v>
      </c>
      <c r="AI1101" s="94">
        <v>0</v>
      </c>
      <c r="AJ1101" s="94"/>
      <c r="AK1101" s="158">
        <f t="shared" si="256"/>
        <v>0</v>
      </c>
      <c r="AL1101" s="158">
        <v>877</v>
      </c>
      <c r="AM1101" s="158">
        <v>20</v>
      </c>
      <c r="AN1101" s="158"/>
      <c r="AO1101" s="158">
        <v>1</v>
      </c>
      <c r="AP1101" s="50"/>
      <c r="AQ1101" s="23"/>
      <c r="AR1101" s="23"/>
      <c r="AS1101" s="23"/>
      <c r="AT1101" s="2">
        <v>0.45</v>
      </c>
      <c r="AU1101" s="58" t="s">
        <v>38</v>
      </c>
      <c r="AV1101" s="386"/>
      <c r="AW1101" s="23"/>
      <c r="AX1101" s="50"/>
      <c r="AY1101" s="50"/>
      <c r="AZ1101" s="50"/>
      <c r="BA1101" s="50"/>
      <c r="BB1101" s="50"/>
      <c r="BC1101" s="293"/>
      <c r="BD1101" s="293"/>
      <c r="BE1101" s="293"/>
      <c r="BF1101" s="271"/>
      <c r="BG1101" s="271">
        <v>2019</v>
      </c>
      <c r="BH1101" s="430">
        <v>2020</v>
      </c>
      <c r="BI1101" s="271" t="s">
        <v>2375</v>
      </c>
    </row>
    <row r="1102" spans="1:61" s="204" customFormat="1" ht="18" customHeight="1">
      <c r="A1102" s="248" t="s">
        <v>1</v>
      </c>
      <c r="B1102" s="58" t="s">
        <v>320</v>
      </c>
      <c r="C1102" s="264" t="s">
        <v>958</v>
      </c>
      <c r="D1102" s="33" t="s">
        <v>387</v>
      </c>
      <c r="E1102" s="33"/>
      <c r="F1102" s="33"/>
      <c r="G1102" s="33"/>
      <c r="H1102" s="30" t="s">
        <v>968</v>
      </c>
      <c r="I1102" s="228" t="s">
        <v>1654</v>
      </c>
      <c r="J1102" s="215" t="s">
        <v>1653</v>
      </c>
      <c r="K1102" s="158"/>
      <c r="L1102" s="158"/>
      <c r="M1102" s="158">
        <v>1</v>
      </c>
      <c r="N1102" s="158">
        <v>1</v>
      </c>
      <c r="O1102" s="23"/>
      <c r="P1102" s="158">
        <v>63194238</v>
      </c>
      <c r="Q1102" s="158"/>
      <c r="R1102" s="158"/>
      <c r="S1102" s="158"/>
      <c r="T1102" s="158"/>
      <c r="U1102" s="225">
        <v>28437407</v>
      </c>
      <c r="V1102" s="158">
        <v>20</v>
      </c>
      <c r="W1102" s="311"/>
      <c r="X1102" s="311"/>
      <c r="Y1102" s="311"/>
      <c r="Z1102" s="23">
        <v>34756831</v>
      </c>
      <c r="AA1102" s="158">
        <v>20</v>
      </c>
      <c r="AB1102" s="311">
        <v>43586</v>
      </c>
      <c r="AC1102" s="583"/>
      <c r="AD1102" s="92"/>
      <c r="AE1102" s="158"/>
      <c r="AF1102" s="158">
        <f t="shared" si="254"/>
        <v>0</v>
      </c>
      <c r="AG1102" s="158"/>
      <c r="AH1102" s="94">
        <v>0</v>
      </c>
      <c r="AI1102" s="94">
        <v>0</v>
      </c>
      <c r="AJ1102" s="94"/>
      <c r="AK1102" s="158">
        <f t="shared" si="256"/>
        <v>0</v>
      </c>
      <c r="AL1102" s="158">
        <v>877</v>
      </c>
      <c r="AM1102" s="158">
        <v>20</v>
      </c>
      <c r="AN1102" s="158"/>
      <c r="AO1102" s="158">
        <v>1</v>
      </c>
      <c r="AP1102" s="50"/>
      <c r="AQ1102" s="23"/>
      <c r="AR1102" s="23"/>
      <c r="AS1102" s="23"/>
      <c r="AT1102" s="2">
        <v>0.45</v>
      </c>
      <c r="AU1102" s="58" t="s">
        <v>38</v>
      </c>
      <c r="AV1102" s="386" t="s">
        <v>1393</v>
      </c>
      <c r="AW1102" s="23"/>
      <c r="AX1102" s="50"/>
      <c r="AY1102" s="50"/>
      <c r="AZ1102" s="50"/>
      <c r="BA1102" s="50"/>
      <c r="BB1102" s="50"/>
      <c r="BC1102" s="293"/>
      <c r="BD1102" s="293"/>
      <c r="BE1102" s="293"/>
      <c r="BF1102" s="271"/>
      <c r="BG1102" s="271">
        <v>2019</v>
      </c>
      <c r="BH1102" s="430">
        <v>2020</v>
      </c>
      <c r="BI1102" s="271" t="s">
        <v>2375</v>
      </c>
    </row>
    <row r="1103" spans="1:61" s="204" customFormat="1" ht="18" customHeight="1">
      <c r="A1103" s="160" t="s">
        <v>1</v>
      </c>
      <c r="B1103" s="58" t="s">
        <v>320</v>
      </c>
      <c r="C1103" s="66" t="s">
        <v>959</v>
      </c>
      <c r="D1103" s="33" t="s">
        <v>387</v>
      </c>
      <c r="E1103" s="33"/>
      <c r="F1103" s="33"/>
      <c r="G1103" s="33"/>
      <c r="H1103" s="30" t="s">
        <v>968</v>
      </c>
      <c r="I1103" s="228" t="s">
        <v>1807</v>
      </c>
      <c r="J1103" s="215" t="s">
        <v>1808</v>
      </c>
      <c r="K1103" s="158"/>
      <c r="L1103" s="158"/>
      <c r="M1103" s="158">
        <v>1</v>
      </c>
      <c r="N1103" s="158">
        <v>1</v>
      </c>
      <c r="O1103" s="23"/>
      <c r="P1103" s="158">
        <v>58294473</v>
      </c>
      <c r="Q1103" s="158"/>
      <c r="R1103" s="158"/>
      <c r="S1103" s="158"/>
      <c r="T1103" s="158"/>
      <c r="U1103" s="225">
        <v>26232513</v>
      </c>
      <c r="V1103" s="158">
        <v>20</v>
      </c>
      <c r="W1103" s="311">
        <v>43405</v>
      </c>
      <c r="X1103" s="311"/>
      <c r="Y1103" s="311"/>
      <c r="Z1103" s="23">
        <v>32061960</v>
      </c>
      <c r="AA1103" s="158">
        <v>20</v>
      </c>
      <c r="AB1103" s="311">
        <v>43739</v>
      </c>
      <c r="AC1103" s="311"/>
      <c r="AD1103" s="158"/>
      <c r="AE1103" s="158"/>
      <c r="AF1103" s="158">
        <f t="shared" si="254"/>
        <v>0</v>
      </c>
      <c r="AG1103" s="158"/>
      <c r="AH1103" s="94">
        <v>0</v>
      </c>
      <c r="AI1103" s="94">
        <v>0</v>
      </c>
      <c r="AJ1103" s="94"/>
      <c r="AK1103" s="158">
        <f t="shared" si="256"/>
        <v>0</v>
      </c>
      <c r="AL1103" s="158">
        <v>877</v>
      </c>
      <c r="AM1103" s="158">
        <v>20</v>
      </c>
      <c r="AN1103" s="158"/>
      <c r="AO1103" s="158">
        <v>1</v>
      </c>
      <c r="AP1103" s="50"/>
      <c r="AQ1103" s="23"/>
      <c r="AR1103" s="23"/>
      <c r="AS1103" s="23"/>
      <c r="AT1103" s="2">
        <v>0.45</v>
      </c>
      <c r="AU1103" s="58" t="s">
        <v>38</v>
      </c>
      <c r="AV1103" s="386"/>
      <c r="AW1103" s="23"/>
      <c r="AX1103" s="50"/>
      <c r="AY1103" s="50"/>
      <c r="AZ1103" s="50"/>
      <c r="BA1103" s="50"/>
      <c r="BB1103" s="50"/>
      <c r="BC1103" s="293"/>
      <c r="BD1103" s="293"/>
      <c r="BE1103" s="293"/>
      <c r="BF1103" s="271"/>
      <c r="BG1103" s="271">
        <v>2019</v>
      </c>
      <c r="BH1103" s="430">
        <v>2020</v>
      </c>
      <c r="BI1103" s="271" t="s">
        <v>2375</v>
      </c>
    </row>
    <row r="1104" spans="1:61" s="204" customFormat="1" ht="18" customHeight="1">
      <c r="A1104" s="160" t="s">
        <v>1</v>
      </c>
      <c r="B1104" s="58" t="s">
        <v>320</v>
      </c>
      <c r="C1104" s="66" t="s">
        <v>960</v>
      </c>
      <c r="D1104" s="33" t="s">
        <v>387</v>
      </c>
      <c r="E1104" s="33"/>
      <c r="F1104" s="33"/>
      <c r="G1104" s="33"/>
      <c r="H1104" s="30" t="s">
        <v>968</v>
      </c>
      <c r="I1104" s="115" t="s">
        <v>1749</v>
      </c>
      <c r="J1104" s="215" t="s">
        <v>1653</v>
      </c>
      <c r="K1104" s="158"/>
      <c r="L1104" s="158"/>
      <c r="M1104" s="158">
        <v>1</v>
      </c>
      <c r="N1104" s="158">
        <v>1</v>
      </c>
      <c r="O1104" s="23"/>
      <c r="P1104" s="158">
        <v>52150020</v>
      </c>
      <c r="Q1104" s="158"/>
      <c r="R1104" s="158"/>
      <c r="S1104" s="158"/>
      <c r="T1104" s="158"/>
      <c r="U1104" s="225">
        <v>23467509</v>
      </c>
      <c r="V1104" s="158">
        <v>20</v>
      </c>
      <c r="W1104" s="311">
        <v>43647</v>
      </c>
      <c r="X1104" s="311"/>
      <c r="Y1104" s="311"/>
      <c r="Z1104" s="23">
        <v>28682511</v>
      </c>
      <c r="AA1104" s="158">
        <v>20</v>
      </c>
      <c r="AB1104" s="311">
        <v>43800</v>
      </c>
      <c r="AC1104" s="311"/>
      <c r="AD1104" s="158"/>
      <c r="AE1104" s="158"/>
      <c r="AF1104" s="158">
        <f t="shared" si="254"/>
        <v>0</v>
      </c>
      <c r="AG1104" s="158"/>
      <c r="AH1104" s="94">
        <v>0</v>
      </c>
      <c r="AI1104" s="94">
        <v>0</v>
      </c>
      <c r="AJ1104" s="94"/>
      <c r="AK1104" s="158">
        <f t="shared" si="256"/>
        <v>0</v>
      </c>
      <c r="AL1104" s="158">
        <v>877</v>
      </c>
      <c r="AM1104" s="158">
        <v>20</v>
      </c>
      <c r="AN1104" s="158"/>
      <c r="AO1104" s="158">
        <v>1</v>
      </c>
      <c r="AP1104" s="50"/>
      <c r="AQ1104" s="23"/>
      <c r="AR1104" s="23"/>
      <c r="AS1104" s="23"/>
      <c r="AT1104" s="2">
        <v>0.45</v>
      </c>
      <c r="AU1104" s="58" t="s">
        <v>38</v>
      </c>
      <c r="AV1104" s="386" t="s">
        <v>1873</v>
      </c>
      <c r="AW1104" s="23"/>
      <c r="AX1104" s="50"/>
      <c r="AY1104" s="50"/>
      <c r="AZ1104" s="50"/>
      <c r="BA1104" s="50"/>
      <c r="BB1104" s="50"/>
      <c r="BC1104" s="293"/>
      <c r="BD1104" s="293"/>
      <c r="BE1104" s="293"/>
      <c r="BF1104" s="271"/>
      <c r="BG1104" s="271">
        <v>2019</v>
      </c>
      <c r="BH1104" s="430">
        <v>2020</v>
      </c>
      <c r="BI1104" s="271" t="s">
        <v>2375</v>
      </c>
    </row>
    <row r="1105" spans="1:61" s="204" customFormat="1" ht="18" customHeight="1">
      <c r="A1105" s="160" t="s">
        <v>1</v>
      </c>
      <c r="B1105" s="58" t="s">
        <v>320</v>
      </c>
      <c r="C1105" s="66" t="s">
        <v>961</v>
      </c>
      <c r="D1105" s="33" t="s">
        <v>387</v>
      </c>
      <c r="E1105" s="33"/>
      <c r="F1105" s="33"/>
      <c r="G1105" s="33"/>
      <c r="H1105" s="30" t="s">
        <v>968</v>
      </c>
      <c r="I1105" s="228" t="s">
        <v>1805</v>
      </c>
      <c r="J1105" s="215" t="s">
        <v>1806</v>
      </c>
      <c r="K1105" s="158"/>
      <c r="L1105" s="158"/>
      <c r="M1105" s="158">
        <v>1</v>
      </c>
      <c r="N1105" s="158">
        <v>1</v>
      </c>
      <c r="O1105" s="23"/>
      <c r="P1105" s="158">
        <v>58115540</v>
      </c>
      <c r="Q1105" s="158"/>
      <c r="R1105" s="158"/>
      <c r="S1105" s="158"/>
      <c r="T1105" s="158"/>
      <c r="U1105" s="225">
        <v>26151993</v>
      </c>
      <c r="V1105" s="158">
        <v>20</v>
      </c>
      <c r="W1105" s="311">
        <v>43678</v>
      </c>
      <c r="X1105" s="311"/>
      <c r="Y1105" s="311"/>
      <c r="Z1105" s="23">
        <v>31963547</v>
      </c>
      <c r="AA1105" s="158">
        <v>20</v>
      </c>
      <c r="AB1105" s="311">
        <v>43800</v>
      </c>
      <c r="AC1105" s="311"/>
      <c r="AD1105" s="158"/>
      <c r="AE1105" s="158"/>
      <c r="AF1105" s="158">
        <f t="shared" si="254"/>
        <v>0</v>
      </c>
      <c r="AG1105" s="158"/>
      <c r="AH1105" s="94">
        <v>0</v>
      </c>
      <c r="AI1105" s="94">
        <v>0</v>
      </c>
      <c r="AJ1105" s="94"/>
      <c r="AK1105" s="158">
        <f t="shared" si="256"/>
        <v>0</v>
      </c>
      <c r="AL1105" s="158">
        <v>877</v>
      </c>
      <c r="AM1105" s="158">
        <v>20</v>
      </c>
      <c r="AN1105" s="158"/>
      <c r="AO1105" s="158">
        <v>1</v>
      </c>
      <c r="AP1105" s="50"/>
      <c r="AQ1105" s="23"/>
      <c r="AR1105" s="23"/>
      <c r="AS1105" s="23"/>
      <c r="AT1105" s="2">
        <v>0.45</v>
      </c>
      <c r="AU1105" s="58" t="s">
        <v>38</v>
      </c>
      <c r="AV1105" s="386" t="s">
        <v>1873</v>
      </c>
      <c r="AW1105" s="23"/>
      <c r="AX1105" s="50"/>
      <c r="AY1105" s="50"/>
      <c r="AZ1105" s="50"/>
      <c r="BA1105" s="50"/>
      <c r="BB1105" s="50"/>
      <c r="BC1105" s="293"/>
      <c r="BD1105" s="293"/>
      <c r="BE1105" s="293"/>
      <c r="BF1105" s="271"/>
      <c r="BG1105" s="271">
        <v>2019</v>
      </c>
      <c r="BH1105" s="430">
        <v>2020</v>
      </c>
      <c r="BI1105" s="271" t="s">
        <v>2375</v>
      </c>
    </row>
    <row r="1106" spans="1:61" s="204" customFormat="1" ht="18" customHeight="1">
      <c r="A1106" s="160" t="s">
        <v>1</v>
      </c>
      <c r="B1106" s="58" t="s">
        <v>320</v>
      </c>
      <c r="C1106" s="66" t="s">
        <v>962</v>
      </c>
      <c r="D1106" s="33" t="s">
        <v>387</v>
      </c>
      <c r="E1106" s="33"/>
      <c r="F1106" s="33"/>
      <c r="G1106" s="33"/>
      <c r="H1106" s="30" t="s">
        <v>968</v>
      </c>
      <c r="I1106" s="228" t="s">
        <v>1656</v>
      </c>
      <c r="J1106" s="215" t="s">
        <v>1655</v>
      </c>
      <c r="K1106" s="158"/>
      <c r="L1106" s="158"/>
      <c r="M1106" s="158">
        <v>1</v>
      </c>
      <c r="N1106" s="158">
        <v>1</v>
      </c>
      <c r="O1106" s="23"/>
      <c r="P1106" s="158">
        <v>54317225</v>
      </c>
      <c r="Q1106" s="158"/>
      <c r="R1106" s="158"/>
      <c r="S1106" s="158"/>
      <c r="T1106" s="158"/>
      <c r="U1106" s="225">
        <v>24442751</v>
      </c>
      <c r="V1106" s="158">
        <v>20</v>
      </c>
      <c r="W1106" s="311">
        <v>43586</v>
      </c>
      <c r="X1106" s="311"/>
      <c r="Y1106" s="311"/>
      <c r="Z1106" s="23">
        <v>29874474</v>
      </c>
      <c r="AA1106" s="158">
        <v>20</v>
      </c>
      <c r="AB1106" s="311">
        <v>43770</v>
      </c>
      <c r="AC1106" s="311"/>
      <c r="AD1106" s="158"/>
      <c r="AE1106" s="158"/>
      <c r="AF1106" s="158">
        <f t="shared" si="254"/>
        <v>0</v>
      </c>
      <c r="AG1106" s="158"/>
      <c r="AH1106" s="94">
        <v>0</v>
      </c>
      <c r="AI1106" s="94">
        <v>0</v>
      </c>
      <c r="AJ1106" s="94"/>
      <c r="AK1106" s="158">
        <f t="shared" si="256"/>
        <v>0</v>
      </c>
      <c r="AL1106" s="158">
        <v>877</v>
      </c>
      <c r="AM1106" s="158">
        <v>20</v>
      </c>
      <c r="AN1106" s="158"/>
      <c r="AO1106" s="158">
        <v>1</v>
      </c>
      <c r="AP1106" s="50"/>
      <c r="AQ1106" s="23"/>
      <c r="AR1106" s="23"/>
      <c r="AS1106" s="23"/>
      <c r="AT1106" s="2">
        <v>0</v>
      </c>
      <c r="AU1106" s="58" t="s">
        <v>38</v>
      </c>
      <c r="AV1106" s="386" t="s">
        <v>1401</v>
      </c>
      <c r="AW1106" s="23"/>
      <c r="AX1106" s="50"/>
      <c r="AY1106" s="50"/>
      <c r="AZ1106" s="50"/>
      <c r="BA1106" s="50"/>
      <c r="BB1106" s="50"/>
      <c r="BC1106" s="293"/>
      <c r="BD1106" s="293"/>
      <c r="BE1106" s="293"/>
      <c r="BF1106" s="271"/>
      <c r="BG1106" s="271">
        <v>2019</v>
      </c>
      <c r="BH1106" s="430">
        <v>2020</v>
      </c>
      <c r="BI1106" s="271" t="s">
        <v>2375</v>
      </c>
    </row>
    <row r="1107" spans="1:61" s="204" customFormat="1" ht="18" customHeight="1">
      <c r="A1107" s="160" t="s">
        <v>1</v>
      </c>
      <c r="B1107" s="58" t="s">
        <v>320</v>
      </c>
      <c r="C1107" s="66" t="s">
        <v>963</v>
      </c>
      <c r="D1107" s="33" t="s">
        <v>387</v>
      </c>
      <c r="E1107" s="33"/>
      <c r="F1107" s="33"/>
      <c r="G1107" s="33"/>
      <c r="H1107" s="30" t="s">
        <v>968</v>
      </c>
      <c r="I1107" s="228" t="s">
        <v>1809</v>
      </c>
      <c r="J1107" s="215" t="s">
        <v>1810</v>
      </c>
      <c r="K1107" s="158"/>
      <c r="L1107" s="158"/>
      <c r="M1107" s="158">
        <v>1</v>
      </c>
      <c r="N1107" s="158">
        <v>1</v>
      </c>
      <c r="O1107" s="23"/>
      <c r="P1107" s="158">
        <v>56773500</v>
      </c>
      <c r="Q1107" s="158"/>
      <c r="R1107" s="158"/>
      <c r="S1107" s="158"/>
      <c r="T1107" s="158"/>
      <c r="U1107" s="225">
        <v>25548075</v>
      </c>
      <c r="V1107" s="158">
        <v>20</v>
      </c>
      <c r="W1107" s="311">
        <v>43739</v>
      </c>
      <c r="X1107" s="311"/>
      <c r="Y1107" s="311"/>
      <c r="Z1107" s="23"/>
      <c r="AA1107" s="158"/>
      <c r="AB1107" s="158"/>
      <c r="AC1107" s="158"/>
      <c r="AD1107" s="158"/>
      <c r="AE1107" s="158"/>
      <c r="AF1107" s="158">
        <f t="shared" si="254"/>
        <v>31225425</v>
      </c>
      <c r="AG1107" s="158"/>
      <c r="AH1107" s="94">
        <v>0</v>
      </c>
      <c r="AI1107" s="94">
        <v>31225425</v>
      </c>
      <c r="AJ1107" s="94"/>
      <c r="AK1107" s="666">
        <f t="shared" si="256"/>
        <v>31225425</v>
      </c>
      <c r="AL1107" s="666">
        <v>877</v>
      </c>
      <c r="AM1107" s="666">
        <v>20</v>
      </c>
      <c r="AN1107" s="158"/>
      <c r="AO1107" s="158">
        <v>1</v>
      </c>
      <c r="AP1107" s="23"/>
      <c r="AQ1107" s="23"/>
      <c r="AR1107" s="23"/>
      <c r="AS1107" s="23"/>
      <c r="AT1107" s="2">
        <v>0</v>
      </c>
      <c r="AU1107" s="58" t="s">
        <v>38</v>
      </c>
      <c r="AV1107" s="386"/>
      <c r="AW1107" s="23"/>
      <c r="AX1107" s="23"/>
      <c r="AY1107" s="23"/>
      <c r="AZ1107" s="23"/>
      <c r="BA1107" s="23"/>
      <c r="BB1107" s="23"/>
      <c r="BC1107" s="223"/>
      <c r="BD1107" s="223"/>
      <c r="BE1107" s="223"/>
      <c r="BF1107" s="351"/>
      <c r="BG1107" s="351">
        <v>2019</v>
      </c>
      <c r="BH1107" s="504">
        <v>2020</v>
      </c>
      <c r="BI1107" s="271" t="s">
        <v>2375</v>
      </c>
    </row>
    <row r="1108" spans="1:61" s="204" customFormat="1" ht="18" customHeight="1">
      <c r="A1108" s="160" t="s">
        <v>1</v>
      </c>
      <c r="B1108" s="58" t="s">
        <v>320</v>
      </c>
      <c r="C1108" s="66" t="s">
        <v>1013</v>
      </c>
      <c r="D1108" s="33" t="s">
        <v>387</v>
      </c>
      <c r="E1108" s="33"/>
      <c r="F1108" s="33"/>
      <c r="G1108" s="33"/>
      <c r="H1108" s="30" t="s">
        <v>968</v>
      </c>
      <c r="I1108" s="215" t="s">
        <v>1977</v>
      </c>
      <c r="J1108" s="215" t="s">
        <v>1976</v>
      </c>
      <c r="K1108" s="158"/>
      <c r="L1108" s="158"/>
      <c r="M1108" s="158">
        <v>1</v>
      </c>
      <c r="N1108" s="158">
        <v>1</v>
      </c>
      <c r="O1108" s="23"/>
      <c r="P1108" s="158">
        <v>56075355</v>
      </c>
      <c r="Q1108" s="158"/>
      <c r="R1108" s="158"/>
      <c r="S1108" s="158"/>
      <c r="T1108" s="158"/>
      <c r="U1108" s="225"/>
      <c r="V1108" s="158"/>
      <c r="W1108" s="311"/>
      <c r="X1108" s="311"/>
      <c r="Y1108" s="311"/>
      <c r="Z1108" s="23"/>
      <c r="AA1108" s="158"/>
      <c r="AB1108" s="158"/>
      <c r="AC1108" s="158"/>
      <c r="AD1108" s="158"/>
      <c r="AE1108" s="158"/>
      <c r="AF1108" s="158">
        <f t="shared" si="254"/>
        <v>56075355</v>
      </c>
      <c r="AG1108" s="158"/>
      <c r="AH1108" s="94">
        <v>0</v>
      </c>
      <c r="AI1108" s="94">
        <v>56075355</v>
      </c>
      <c r="AJ1108" s="94"/>
      <c r="AK1108" s="666">
        <f t="shared" si="256"/>
        <v>56075355</v>
      </c>
      <c r="AL1108" s="666">
        <v>877</v>
      </c>
      <c r="AM1108" s="666">
        <v>20</v>
      </c>
      <c r="AN1108" s="158">
        <v>1</v>
      </c>
      <c r="AO1108" s="158"/>
      <c r="AP1108" s="23"/>
      <c r="AQ1108" s="23"/>
      <c r="AR1108" s="23"/>
      <c r="AS1108" s="23"/>
      <c r="AT1108" s="2">
        <v>0</v>
      </c>
      <c r="AU1108" s="58" t="s">
        <v>521</v>
      </c>
      <c r="AV1108" s="386"/>
      <c r="AW1108" s="23"/>
      <c r="AX1108" s="23"/>
      <c r="AY1108" s="23"/>
      <c r="AZ1108" s="23"/>
      <c r="BA1108" s="23"/>
      <c r="BB1108" s="23"/>
      <c r="BC1108" s="223"/>
      <c r="BD1108" s="223"/>
      <c r="BE1108" s="223"/>
      <c r="BF1108" s="351"/>
      <c r="BG1108" s="351">
        <v>2019</v>
      </c>
      <c r="BH1108" s="351">
        <v>2020</v>
      </c>
      <c r="BI1108" s="271" t="s">
        <v>2375</v>
      </c>
    </row>
    <row r="1109" spans="1:61" ht="15" customHeight="1">
      <c r="A1109" s="160" t="s">
        <v>1</v>
      </c>
      <c r="B1109" s="58" t="s">
        <v>320</v>
      </c>
      <c r="C1109" s="66" t="s">
        <v>969</v>
      </c>
      <c r="D1109" s="33" t="s">
        <v>984</v>
      </c>
      <c r="E1109" s="33"/>
      <c r="F1109" s="33"/>
      <c r="G1109" s="33"/>
      <c r="H1109" s="30" t="s">
        <v>647</v>
      </c>
      <c r="I1109" s="30"/>
      <c r="J1109" s="212"/>
      <c r="K1109" s="158"/>
      <c r="L1109" s="158"/>
      <c r="M1109" s="158"/>
      <c r="N1109" s="158"/>
      <c r="O1109" s="158"/>
      <c r="P1109" s="158"/>
      <c r="Q1109" s="158"/>
      <c r="R1109" s="158"/>
      <c r="S1109" s="158"/>
      <c r="T1109" s="158"/>
      <c r="U1109" s="225"/>
      <c r="V1109" s="158"/>
      <c r="W1109" s="311"/>
      <c r="X1109" s="311"/>
      <c r="Y1109" s="311"/>
      <c r="Z1109" s="23"/>
      <c r="AA1109" s="158"/>
      <c r="AB1109" s="158"/>
      <c r="AC1109" s="158"/>
      <c r="AD1109" s="158"/>
      <c r="AE1109" s="158"/>
      <c r="AF1109" s="158"/>
      <c r="AG1109" s="158"/>
      <c r="AH1109" s="158"/>
      <c r="AI1109" s="158"/>
      <c r="AJ1109" s="158"/>
      <c r="AK1109" s="158"/>
      <c r="AL1109" s="158"/>
      <c r="AM1109" s="158"/>
      <c r="AN1109" s="158"/>
      <c r="AO1109" s="158"/>
      <c r="AP1109" s="23"/>
      <c r="AQ1109" s="23"/>
      <c r="AR1109" s="23"/>
      <c r="AS1109" s="23"/>
      <c r="AT1109" s="2">
        <v>1</v>
      </c>
      <c r="AU1109" s="58" t="s">
        <v>646</v>
      </c>
      <c r="AV1109" s="105"/>
      <c r="AW1109" s="23"/>
      <c r="AX1109" s="50"/>
      <c r="AY1109" s="514">
        <v>1</v>
      </c>
      <c r="AZ1109" s="23"/>
      <c r="BA1109" s="23"/>
      <c r="BB1109" s="23">
        <v>1</v>
      </c>
      <c r="BC1109" s="223"/>
      <c r="BD1109" s="223"/>
      <c r="BE1109" s="223"/>
      <c r="BF1109" s="270">
        <v>2018</v>
      </c>
      <c r="BG1109" s="270"/>
      <c r="BH1109" s="268"/>
      <c r="BI1109" s="682" t="s">
        <v>2376</v>
      </c>
    </row>
    <row r="1110" spans="1:61" ht="15" customHeight="1">
      <c r="A1110" s="160" t="s">
        <v>1</v>
      </c>
      <c r="B1110" s="58" t="s">
        <v>320</v>
      </c>
      <c r="C1110" s="66" t="s">
        <v>970</v>
      </c>
      <c r="D1110" s="33" t="s">
        <v>984</v>
      </c>
      <c r="E1110" s="33"/>
      <c r="F1110" s="33"/>
      <c r="G1110" s="33"/>
      <c r="H1110" s="30" t="s">
        <v>647</v>
      </c>
      <c r="I1110" s="30"/>
      <c r="J1110" s="212"/>
      <c r="K1110" s="158"/>
      <c r="L1110" s="158"/>
      <c r="M1110" s="158"/>
      <c r="N1110" s="158"/>
      <c r="O1110" s="158"/>
      <c r="P1110" s="158"/>
      <c r="Q1110" s="158"/>
      <c r="R1110" s="158"/>
      <c r="S1110" s="158"/>
      <c r="T1110" s="158"/>
      <c r="U1110" s="225"/>
      <c r="V1110" s="158"/>
      <c r="W1110" s="311"/>
      <c r="X1110" s="311"/>
      <c r="Y1110" s="311"/>
      <c r="Z1110" s="23"/>
      <c r="AA1110" s="158"/>
      <c r="AB1110" s="158"/>
      <c r="AC1110" s="158"/>
      <c r="AD1110" s="158"/>
      <c r="AE1110" s="158"/>
      <c r="AF1110" s="158"/>
      <c r="AG1110" s="158"/>
      <c r="AH1110" s="158"/>
      <c r="AI1110" s="158"/>
      <c r="AJ1110" s="158"/>
      <c r="AK1110" s="158"/>
      <c r="AL1110" s="158"/>
      <c r="AM1110" s="158"/>
      <c r="AN1110" s="158"/>
      <c r="AO1110" s="158"/>
      <c r="AP1110" s="23"/>
      <c r="AQ1110" s="23"/>
      <c r="AR1110" s="23"/>
      <c r="AS1110" s="23"/>
      <c r="AT1110" s="2">
        <v>1</v>
      </c>
      <c r="AU1110" s="58" t="s">
        <v>646</v>
      </c>
      <c r="AV1110" s="105"/>
      <c r="AW1110" s="23"/>
      <c r="AX1110" s="50"/>
      <c r="AY1110" s="514">
        <v>1</v>
      </c>
      <c r="AZ1110" s="23"/>
      <c r="BA1110" s="23"/>
      <c r="BB1110" s="23">
        <v>1</v>
      </c>
      <c r="BC1110" s="223"/>
      <c r="BD1110" s="223"/>
      <c r="BE1110" s="223"/>
      <c r="BF1110" s="270">
        <v>2018</v>
      </c>
      <c r="BG1110" s="270"/>
      <c r="BH1110" s="268"/>
      <c r="BI1110" s="682" t="s">
        <v>2376</v>
      </c>
    </row>
    <row r="1111" spans="1:61" ht="15" customHeight="1">
      <c r="A1111" s="160" t="s">
        <v>1</v>
      </c>
      <c r="B1111" s="58" t="s">
        <v>320</v>
      </c>
      <c r="C1111" s="66" t="s">
        <v>971</v>
      </c>
      <c r="D1111" s="33" t="s">
        <v>984</v>
      </c>
      <c r="E1111" s="33"/>
      <c r="F1111" s="33"/>
      <c r="G1111" s="33"/>
      <c r="H1111" s="30" t="s">
        <v>647</v>
      </c>
      <c r="I1111" s="30"/>
      <c r="J1111" s="212"/>
      <c r="K1111" s="158"/>
      <c r="L1111" s="158"/>
      <c r="M1111" s="158"/>
      <c r="N1111" s="158"/>
      <c r="O1111" s="158"/>
      <c r="P1111" s="158"/>
      <c r="Q1111" s="158"/>
      <c r="R1111" s="158"/>
      <c r="S1111" s="158"/>
      <c r="T1111" s="158"/>
      <c r="U1111" s="225"/>
      <c r="V1111" s="158"/>
      <c r="W1111" s="311"/>
      <c r="X1111" s="311"/>
      <c r="Y1111" s="311"/>
      <c r="Z1111" s="23"/>
      <c r="AA1111" s="158"/>
      <c r="AB1111" s="158"/>
      <c r="AC1111" s="158"/>
      <c r="AD1111" s="158"/>
      <c r="AE1111" s="158"/>
      <c r="AF1111" s="158"/>
      <c r="AG1111" s="158"/>
      <c r="AH1111" s="158"/>
      <c r="AI1111" s="158"/>
      <c r="AJ1111" s="158"/>
      <c r="AK1111" s="158"/>
      <c r="AL1111" s="158"/>
      <c r="AM1111" s="158"/>
      <c r="AN1111" s="158"/>
      <c r="AO1111" s="158"/>
      <c r="AP1111" s="23"/>
      <c r="AQ1111" s="23"/>
      <c r="AR1111" s="23"/>
      <c r="AS1111" s="23"/>
      <c r="AT1111" s="2">
        <v>1</v>
      </c>
      <c r="AU1111" s="58" t="s">
        <v>646</v>
      </c>
      <c r="AV1111" s="105"/>
      <c r="AW1111" s="23"/>
      <c r="AX1111" s="50"/>
      <c r="AY1111" s="514">
        <v>1</v>
      </c>
      <c r="AZ1111" s="23"/>
      <c r="BA1111" s="23"/>
      <c r="BB1111" s="23">
        <v>1</v>
      </c>
      <c r="BC1111" s="223"/>
      <c r="BD1111" s="223"/>
      <c r="BE1111" s="223"/>
      <c r="BF1111" s="270">
        <v>2018</v>
      </c>
      <c r="BG1111" s="270"/>
      <c r="BH1111" s="268"/>
      <c r="BI1111" s="682" t="s">
        <v>2376</v>
      </c>
    </row>
    <row r="1112" spans="1:61" ht="15" customHeight="1">
      <c r="A1112" s="160" t="s">
        <v>1</v>
      </c>
      <c r="B1112" s="58" t="s">
        <v>320</v>
      </c>
      <c r="C1112" s="66" t="s">
        <v>972</v>
      </c>
      <c r="D1112" s="33" t="s">
        <v>984</v>
      </c>
      <c r="E1112" s="33"/>
      <c r="F1112" s="33"/>
      <c r="G1112" s="33"/>
      <c r="H1112" s="30" t="s">
        <v>647</v>
      </c>
      <c r="I1112" s="30"/>
      <c r="J1112" s="212"/>
      <c r="K1112" s="158"/>
      <c r="L1112" s="158"/>
      <c r="M1112" s="158"/>
      <c r="N1112" s="158"/>
      <c r="O1112" s="158"/>
      <c r="P1112" s="158"/>
      <c r="Q1112" s="158"/>
      <c r="R1112" s="158"/>
      <c r="S1112" s="158"/>
      <c r="T1112" s="158"/>
      <c r="U1112" s="225"/>
      <c r="V1112" s="158"/>
      <c r="W1112" s="311"/>
      <c r="X1112" s="311"/>
      <c r="Y1112" s="311"/>
      <c r="Z1112" s="23"/>
      <c r="AA1112" s="158"/>
      <c r="AB1112" s="158"/>
      <c r="AC1112" s="158"/>
      <c r="AD1112" s="158"/>
      <c r="AE1112" s="158"/>
      <c r="AF1112" s="158"/>
      <c r="AG1112" s="158"/>
      <c r="AH1112" s="158"/>
      <c r="AI1112" s="158"/>
      <c r="AJ1112" s="158"/>
      <c r="AK1112" s="158"/>
      <c r="AL1112" s="158"/>
      <c r="AM1112" s="158"/>
      <c r="AN1112" s="158"/>
      <c r="AO1112" s="158"/>
      <c r="AP1112" s="23"/>
      <c r="AQ1112" s="23"/>
      <c r="AR1112" s="23"/>
      <c r="AS1112" s="23"/>
      <c r="AT1112" s="2">
        <v>1</v>
      </c>
      <c r="AU1112" s="58" t="s">
        <v>646</v>
      </c>
      <c r="AV1112" s="105"/>
      <c r="AW1112" s="23"/>
      <c r="AX1112" s="50"/>
      <c r="AY1112" s="514">
        <v>1</v>
      </c>
      <c r="AZ1112" s="23"/>
      <c r="BA1112" s="23"/>
      <c r="BB1112" s="23">
        <v>1</v>
      </c>
      <c r="BC1112" s="223"/>
      <c r="BD1112" s="223"/>
      <c r="BE1112" s="223"/>
      <c r="BF1112" s="270">
        <v>2018</v>
      </c>
      <c r="BG1112" s="270"/>
      <c r="BH1112" s="268"/>
      <c r="BI1112" s="682" t="s">
        <v>2376</v>
      </c>
    </row>
    <row r="1113" spans="1:61" ht="15" customHeight="1">
      <c r="A1113" s="160" t="s">
        <v>1</v>
      </c>
      <c r="B1113" s="58" t="s">
        <v>320</v>
      </c>
      <c r="C1113" s="66" t="s">
        <v>973</v>
      </c>
      <c r="D1113" s="33" t="s">
        <v>984</v>
      </c>
      <c r="E1113" s="33"/>
      <c r="F1113" s="33"/>
      <c r="G1113" s="33"/>
      <c r="H1113" s="30" t="s">
        <v>647</v>
      </c>
      <c r="I1113" s="30"/>
      <c r="J1113" s="212"/>
      <c r="K1113" s="158"/>
      <c r="L1113" s="158"/>
      <c r="M1113" s="158"/>
      <c r="N1113" s="158"/>
      <c r="O1113" s="158"/>
      <c r="P1113" s="158"/>
      <c r="Q1113" s="158"/>
      <c r="R1113" s="158"/>
      <c r="S1113" s="158"/>
      <c r="T1113" s="158"/>
      <c r="U1113" s="225"/>
      <c r="V1113" s="158"/>
      <c r="W1113" s="311"/>
      <c r="X1113" s="311"/>
      <c r="Y1113" s="311"/>
      <c r="Z1113" s="23"/>
      <c r="AA1113" s="158"/>
      <c r="AB1113" s="158"/>
      <c r="AC1113" s="158"/>
      <c r="AD1113" s="158"/>
      <c r="AE1113" s="158"/>
      <c r="AF1113" s="158"/>
      <c r="AG1113" s="158"/>
      <c r="AH1113" s="158"/>
      <c r="AI1113" s="158"/>
      <c r="AJ1113" s="158"/>
      <c r="AK1113" s="158"/>
      <c r="AL1113" s="158"/>
      <c r="AM1113" s="158"/>
      <c r="AN1113" s="158"/>
      <c r="AO1113" s="158"/>
      <c r="AP1113" s="23"/>
      <c r="AQ1113" s="23"/>
      <c r="AR1113" s="23"/>
      <c r="AS1113" s="23"/>
      <c r="AT1113" s="2">
        <v>1</v>
      </c>
      <c r="AU1113" s="58" t="s">
        <v>646</v>
      </c>
      <c r="AV1113" s="105"/>
      <c r="AW1113" s="23"/>
      <c r="AX1113" s="50"/>
      <c r="AY1113" s="514">
        <v>1</v>
      </c>
      <c r="AZ1113" s="23"/>
      <c r="BA1113" s="23"/>
      <c r="BB1113" s="23">
        <v>1</v>
      </c>
      <c r="BC1113" s="223"/>
      <c r="BD1113" s="223"/>
      <c r="BE1113" s="223"/>
      <c r="BF1113" s="270">
        <v>2018</v>
      </c>
      <c r="BG1113" s="270"/>
      <c r="BH1113" s="268"/>
      <c r="BI1113" s="682" t="s">
        <v>2376</v>
      </c>
    </row>
    <row r="1114" spans="1:61" ht="15" customHeight="1">
      <c r="A1114" s="160" t="s">
        <v>1</v>
      </c>
      <c r="B1114" s="58" t="s">
        <v>320</v>
      </c>
      <c r="C1114" s="66" t="s">
        <v>974</v>
      </c>
      <c r="D1114" s="33" t="s">
        <v>984</v>
      </c>
      <c r="E1114" s="33"/>
      <c r="F1114" s="33"/>
      <c r="G1114" s="33"/>
      <c r="H1114" s="30" t="s">
        <v>647</v>
      </c>
      <c r="I1114" s="30"/>
      <c r="J1114" s="212"/>
      <c r="K1114" s="158"/>
      <c r="L1114" s="158"/>
      <c r="M1114" s="158"/>
      <c r="N1114" s="158"/>
      <c r="O1114" s="158"/>
      <c r="P1114" s="158"/>
      <c r="Q1114" s="158"/>
      <c r="R1114" s="158"/>
      <c r="S1114" s="158"/>
      <c r="T1114" s="158"/>
      <c r="U1114" s="225"/>
      <c r="V1114" s="158"/>
      <c r="W1114" s="311"/>
      <c r="X1114" s="311"/>
      <c r="Y1114" s="311"/>
      <c r="Z1114" s="23"/>
      <c r="AA1114" s="158"/>
      <c r="AB1114" s="158"/>
      <c r="AC1114" s="158"/>
      <c r="AD1114" s="158"/>
      <c r="AE1114" s="158"/>
      <c r="AF1114" s="158"/>
      <c r="AG1114" s="158"/>
      <c r="AH1114" s="158"/>
      <c r="AI1114" s="158"/>
      <c r="AJ1114" s="158"/>
      <c r="AK1114" s="158"/>
      <c r="AL1114" s="158"/>
      <c r="AM1114" s="158"/>
      <c r="AN1114" s="158"/>
      <c r="AO1114" s="158"/>
      <c r="AP1114" s="23"/>
      <c r="AQ1114" s="23"/>
      <c r="AR1114" s="23"/>
      <c r="AS1114" s="23"/>
      <c r="AT1114" s="2">
        <v>1</v>
      </c>
      <c r="AU1114" s="58" t="s">
        <v>646</v>
      </c>
      <c r="AV1114" s="105"/>
      <c r="AW1114" s="23"/>
      <c r="AX1114" s="50"/>
      <c r="AY1114" s="514">
        <v>1</v>
      </c>
      <c r="AZ1114" s="23"/>
      <c r="BA1114" s="23"/>
      <c r="BB1114" s="23">
        <v>1</v>
      </c>
      <c r="BC1114" s="223"/>
      <c r="BD1114" s="223"/>
      <c r="BE1114" s="223"/>
      <c r="BF1114" s="270">
        <v>2018</v>
      </c>
      <c r="BG1114" s="270"/>
      <c r="BH1114" s="268"/>
      <c r="BI1114" s="682" t="s">
        <v>2376</v>
      </c>
    </row>
    <row r="1115" spans="1:61" ht="18" customHeight="1">
      <c r="A1115" s="160" t="s">
        <v>1</v>
      </c>
      <c r="B1115" s="58" t="s">
        <v>320</v>
      </c>
      <c r="C1115" s="66" t="s">
        <v>975</v>
      </c>
      <c r="D1115" s="33" t="s">
        <v>387</v>
      </c>
      <c r="E1115" s="33"/>
      <c r="F1115" s="33"/>
      <c r="G1115" s="33"/>
      <c r="H1115" s="30" t="s">
        <v>647</v>
      </c>
      <c r="I1115" s="30">
        <v>657</v>
      </c>
      <c r="J1115" s="212">
        <v>43185</v>
      </c>
      <c r="K1115" s="158"/>
      <c r="L1115" s="158"/>
      <c r="M1115" s="158">
        <v>1</v>
      </c>
      <c r="N1115" s="158"/>
      <c r="O1115" s="158"/>
      <c r="P1115" s="158">
        <v>58294473</v>
      </c>
      <c r="Q1115" s="158"/>
      <c r="R1115" s="158"/>
      <c r="S1115" s="158"/>
      <c r="T1115" s="158"/>
      <c r="U1115" s="225">
        <v>26232513</v>
      </c>
      <c r="V1115" s="158">
        <v>10</v>
      </c>
      <c r="W1115" s="311"/>
      <c r="X1115" s="311"/>
      <c r="Y1115" s="311"/>
      <c r="Z1115" s="23">
        <v>32061960</v>
      </c>
      <c r="AA1115" s="158">
        <v>10</v>
      </c>
      <c r="AB1115" s="311">
        <v>43617</v>
      </c>
      <c r="AC1115" s="311"/>
      <c r="AD1115" s="158"/>
      <c r="AE1115" s="158"/>
      <c r="AF1115" s="158">
        <f>P1115-U1115-Z1115</f>
        <v>0</v>
      </c>
      <c r="AG1115" s="158"/>
      <c r="AH1115" s="94">
        <v>0</v>
      </c>
      <c r="AI1115" s="94">
        <v>0</v>
      </c>
      <c r="AJ1115" s="94"/>
      <c r="AK1115" s="158">
        <f t="shared" ref="AK1115" si="257">AF1115+AH1115</f>
        <v>0</v>
      </c>
      <c r="AL1115" s="158">
        <v>877</v>
      </c>
      <c r="AM1115" s="158">
        <v>10</v>
      </c>
      <c r="AN1115" s="158"/>
      <c r="AO1115" s="158"/>
      <c r="AP1115" s="23"/>
      <c r="AQ1115" s="23"/>
      <c r="AR1115" s="23"/>
      <c r="AS1115" s="23"/>
      <c r="AT1115" s="2">
        <v>1</v>
      </c>
      <c r="AU1115" s="58" t="s">
        <v>646</v>
      </c>
      <c r="AV1115" s="401" t="s">
        <v>1955</v>
      </c>
      <c r="AW1115" s="23"/>
      <c r="AX1115" s="50"/>
      <c r="AY1115" s="50"/>
      <c r="AZ1115" s="23">
        <v>1</v>
      </c>
      <c r="BA1115" s="23"/>
      <c r="BB1115" s="50"/>
      <c r="BC1115" s="50"/>
      <c r="BD1115" s="23">
        <v>1</v>
      </c>
      <c r="BE1115" s="23"/>
      <c r="BF1115" s="270">
        <v>2019</v>
      </c>
      <c r="BG1115" s="270">
        <v>2019</v>
      </c>
      <c r="BH1115" s="271"/>
      <c r="BI1115" s="271" t="s">
        <v>2375</v>
      </c>
    </row>
    <row r="1116" spans="1:61" ht="15" customHeight="1">
      <c r="A1116" s="160" t="s">
        <v>1</v>
      </c>
      <c r="B1116" s="58" t="s">
        <v>320</v>
      </c>
      <c r="C1116" s="66" t="s">
        <v>976</v>
      </c>
      <c r="D1116" s="33" t="s">
        <v>985</v>
      </c>
      <c r="E1116" s="33"/>
      <c r="F1116" s="33"/>
      <c r="G1116" s="33"/>
      <c r="H1116" s="30" t="s">
        <v>686</v>
      </c>
      <c r="I1116" s="30"/>
      <c r="J1116" s="212"/>
      <c r="K1116" s="158"/>
      <c r="L1116" s="158"/>
      <c r="M1116" s="158"/>
      <c r="N1116" s="158"/>
      <c r="O1116" s="158"/>
      <c r="P1116" s="158"/>
      <c r="Q1116" s="158"/>
      <c r="R1116" s="158"/>
      <c r="S1116" s="158"/>
      <c r="T1116" s="158"/>
      <c r="U1116" s="225"/>
      <c r="V1116" s="158"/>
      <c r="W1116" s="311"/>
      <c r="X1116" s="311"/>
      <c r="Y1116" s="311"/>
      <c r="Z1116" s="94"/>
      <c r="AA1116" s="158"/>
      <c r="AB1116" s="158"/>
      <c r="AC1116" s="158"/>
      <c r="AD1116" s="158"/>
      <c r="AE1116" s="158"/>
      <c r="AF1116" s="158"/>
      <c r="AG1116" s="158"/>
      <c r="AH1116" s="158"/>
      <c r="AI1116" s="158"/>
      <c r="AJ1116" s="158"/>
      <c r="AK1116" s="158"/>
      <c r="AL1116" s="158"/>
      <c r="AM1116" s="158"/>
      <c r="AN1116" s="158"/>
      <c r="AO1116" s="158"/>
      <c r="AP1116" s="23"/>
      <c r="AQ1116" s="23"/>
      <c r="AR1116" s="23"/>
      <c r="AS1116" s="23"/>
      <c r="AT1116" s="2">
        <v>1</v>
      </c>
      <c r="AU1116" s="58" t="s">
        <v>646</v>
      </c>
      <c r="AV1116" s="105"/>
      <c r="AW1116" s="23"/>
      <c r="AX1116" s="50"/>
      <c r="AY1116" s="514">
        <v>1</v>
      </c>
      <c r="AZ1116" s="23"/>
      <c r="BA1116" s="23"/>
      <c r="BB1116" s="23">
        <v>1</v>
      </c>
      <c r="BC1116" s="223"/>
      <c r="BD1116" s="223"/>
      <c r="BE1116" s="223"/>
      <c r="BF1116" s="270">
        <v>2018</v>
      </c>
      <c r="BG1116" s="270"/>
      <c r="BH1116" s="268"/>
      <c r="BI1116" s="682" t="s">
        <v>2376</v>
      </c>
    </row>
    <row r="1117" spans="1:61" ht="15" customHeight="1">
      <c r="A1117" s="160" t="s">
        <v>1</v>
      </c>
      <c r="B1117" s="58" t="s">
        <v>320</v>
      </c>
      <c r="C1117" s="66" t="s">
        <v>977</v>
      </c>
      <c r="D1117" s="33" t="s">
        <v>984</v>
      </c>
      <c r="E1117" s="33"/>
      <c r="F1117" s="33"/>
      <c r="G1117" s="33"/>
      <c r="H1117" s="30" t="s">
        <v>655</v>
      </c>
      <c r="I1117" s="30"/>
      <c r="J1117" s="212"/>
      <c r="K1117" s="158"/>
      <c r="L1117" s="158"/>
      <c r="M1117" s="158"/>
      <c r="N1117" s="158"/>
      <c r="O1117" s="158"/>
      <c r="P1117" s="158"/>
      <c r="Q1117" s="158"/>
      <c r="R1117" s="158"/>
      <c r="S1117" s="158"/>
      <c r="T1117" s="158"/>
      <c r="U1117" s="225"/>
      <c r="V1117" s="158"/>
      <c r="W1117" s="311"/>
      <c r="X1117" s="311"/>
      <c r="Y1117" s="311"/>
      <c r="Z1117" s="94"/>
      <c r="AA1117" s="158"/>
      <c r="AB1117" s="158"/>
      <c r="AC1117" s="158"/>
      <c r="AD1117" s="158"/>
      <c r="AE1117" s="158"/>
      <c r="AF1117" s="158"/>
      <c r="AG1117" s="158"/>
      <c r="AH1117" s="158"/>
      <c r="AI1117" s="158"/>
      <c r="AJ1117" s="158"/>
      <c r="AK1117" s="158"/>
      <c r="AL1117" s="158"/>
      <c r="AM1117" s="158"/>
      <c r="AN1117" s="158"/>
      <c r="AO1117" s="158"/>
      <c r="AP1117" s="23"/>
      <c r="AQ1117" s="23"/>
      <c r="AR1117" s="23"/>
      <c r="AS1117" s="23"/>
      <c r="AT1117" s="2">
        <v>1</v>
      </c>
      <c r="AU1117" s="58" t="s">
        <v>646</v>
      </c>
      <c r="AV1117" s="105"/>
      <c r="AW1117" s="23"/>
      <c r="AX1117" s="50"/>
      <c r="AY1117" s="514">
        <v>1</v>
      </c>
      <c r="AZ1117" s="23"/>
      <c r="BA1117" s="23"/>
      <c r="BB1117" s="23">
        <v>1</v>
      </c>
      <c r="BC1117" s="223"/>
      <c r="BD1117" s="223"/>
      <c r="BE1117" s="223"/>
      <c r="BF1117" s="270">
        <v>2018</v>
      </c>
      <c r="BG1117" s="270"/>
      <c r="BH1117" s="268"/>
      <c r="BI1117" s="682" t="s">
        <v>2376</v>
      </c>
    </row>
    <row r="1118" spans="1:61" ht="15" customHeight="1">
      <c r="A1118" s="160" t="s">
        <v>1</v>
      </c>
      <c r="B1118" s="58" t="s">
        <v>320</v>
      </c>
      <c r="C1118" s="66" t="s">
        <v>978</v>
      </c>
      <c r="D1118" s="33" t="s">
        <v>985</v>
      </c>
      <c r="E1118" s="33"/>
      <c r="F1118" s="33"/>
      <c r="G1118" s="33"/>
      <c r="H1118" s="30" t="s">
        <v>686</v>
      </c>
      <c r="I1118" s="30"/>
      <c r="J1118" s="212"/>
      <c r="K1118" s="158"/>
      <c r="L1118" s="158"/>
      <c r="M1118" s="158"/>
      <c r="N1118" s="158"/>
      <c r="O1118" s="158"/>
      <c r="P1118" s="158"/>
      <c r="Q1118" s="158"/>
      <c r="R1118" s="158"/>
      <c r="S1118" s="158"/>
      <c r="T1118" s="158"/>
      <c r="U1118" s="225"/>
      <c r="V1118" s="158"/>
      <c r="W1118" s="311"/>
      <c r="X1118" s="311"/>
      <c r="Y1118" s="311"/>
      <c r="Z1118" s="94"/>
      <c r="AA1118" s="158"/>
      <c r="AB1118" s="158"/>
      <c r="AC1118" s="158"/>
      <c r="AD1118" s="158"/>
      <c r="AE1118" s="158"/>
      <c r="AF1118" s="158"/>
      <c r="AG1118" s="158"/>
      <c r="AH1118" s="158"/>
      <c r="AI1118" s="158"/>
      <c r="AJ1118" s="158"/>
      <c r="AK1118" s="158"/>
      <c r="AL1118" s="158"/>
      <c r="AM1118" s="158"/>
      <c r="AN1118" s="158"/>
      <c r="AO1118" s="158"/>
      <c r="AP1118" s="23"/>
      <c r="AQ1118" s="23"/>
      <c r="AR1118" s="23"/>
      <c r="AS1118" s="23"/>
      <c r="AT1118" s="2">
        <v>1</v>
      </c>
      <c r="AU1118" s="58" t="s">
        <v>646</v>
      </c>
      <c r="AV1118" s="105"/>
      <c r="AW1118" s="23"/>
      <c r="AX1118" s="50"/>
      <c r="AY1118" s="514">
        <v>1</v>
      </c>
      <c r="AZ1118" s="23"/>
      <c r="BA1118" s="23"/>
      <c r="BB1118" s="23">
        <v>1</v>
      </c>
      <c r="BC1118" s="223"/>
      <c r="BD1118" s="223"/>
      <c r="BE1118" s="223"/>
      <c r="BF1118" s="270">
        <v>2018</v>
      </c>
      <c r="BG1118" s="270"/>
      <c r="BH1118" s="268"/>
      <c r="BI1118" s="682" t="s">
        <v>2376</v>
      </c>
    </row>
    <row r="1119" spans="1:61" ht="15" customHeight="1">
      <c r="A1119" s="160" t="s">
        <v>1</v>
      </c>
      <c r="B1119" s="58" t="s">
        <v>320</v>
      </c>
      <c r="C1119" s="66" t="s">
        <v>979</v>
      </c>
      <c r="D1119" s="33" t="s">
        <v>984</v>
      </c>
      <c r="E1119" s="33"/>
      <c r="F1119" s="33"/>
      <c r="G1119" s="33"/>
      <c r="H1119" s="30" t="s">
        <v>647</v>
      </c>
      <c r="I1119" s="30"/>
      <c r="J1119" s="212"/>
      <c r="K1119" s="158"/>
      <c r="L1119" s="158"/>
      <c r="M1119" s="158"/>
      <c r="N1119" s="158"/>
      <c r="O1119" s="158"/>
      <c r="P1119" s="158"/>
      <c r="Q1119" s="158"/>
      <c r="R1119" s="158"/>
      <c r="S1119" s="158"/>
      <c r="T1119" s="158"/>
      <c r="U1119" s="225"/>
      <c r="V1119" s="158"/>
      <c r="W1119" s="311"/>
      <c r="X1119" s="311"/>
      <c r="Y1119" s="311"/>
      <c r="Z1119" s="94"/>
      <c r="AA1119" s="158"/>
      <c r="AB1119" s="158"/>
      <c r="AC1119" s="158"/>
      <c r="AD1119" s="158"/>
      <c r="AE1119" s="158"/>
      <c r="AF1119" s="158"/>
      <c r="AG1119" s="158"/>
      <c r="AH1119" s="158"/>
      <c r="AI1119" s="158"/>
      <c r="AJ1119" s="158"/>
      <c r="AK1119" s="158"/>
      <c r="AL1119" s="158"/>
      <c r="AM1119" s="158"/>
      <c r="AN1119" s="158"/>
      <c r="AO1119" s="158"/>
      <c r="AP1119" s="23"/>
      <c r="AQ1119" s="23"/>
      <c r="AR1119" s="23"/>
      <c r="AS1119" s="23"/>
      <c r="AT1119" s="2">
        <v>1</v>
      </c>
      <c r="AU1119" s="58" t="s">
        <v>646</v>
      </c>
      <c r="AV1119" s="105"/>
      <c r="AW1119" s="23"/>
      <c r="AX1119" s="50"/>
      <c r="AY1119" s="514">
        <v>1</v>
      </c>
      <c r="AZ1119" s="23"/>
      <c r="BA1119" s="23"/>
      <c r="BB1119" s="23">
        <v>1</v>
      </c>
      <c r="BC1119" s="223"/>
      <c r="BD1119" s="223"/>
      <c r="BE1119" s="223"/>
      <c r="BF1119" s="270">
        <v>2018</v>
      </c>
      <c r="BG1119" s="270"/>
      <c r="BH1119" s="268"/>
      <c r="BI1119" s="682" t="s">
        <v>2376</v>
      </c>
    </row>
    <row r="1120" spans="1:61" ht="15" customHeight="1">
      <c r="A1120" s="160" t="s">
        <v>1</v>
      </c>
      <c r="B1120" s="58" t="s">
        <v>320</v>
      </c>
      <c r="C1120" s="66" t="s">
        <v>980</v>
      </c>
      <c r="D1120" s="33" t="s">
        <v>984</v>
      </c>
      <c r="E1120" s="33"/>
      <c r="F1120" s="33"/>
      <c r="G1120" s="33"/>
      <c r="H1120" s="30" t="s">
        <v>647</v>
      </c>
      <c r="I1120" s="30"/>
      <c r="J1120" s="212"/>
      <c r="K1120" s="158"/>
      <c r="L1120" s="158"/>
      <c r="M1120" s="158"/>
      <c r="N1120" s="158"/>
      <c r="O1120" s="158"/>
      <c r="P1120" s="158"/>
      <c r="Q1120" s="158"/>
      <c r="R1120" s="158"/>
      <c r="S1120" s="158"/>
      <c r="T1120" s="158"/>
      <c r="U1120" s="225"/>
      <c r="V1120" s="158"/>
      <c r="W1120" s="311"/>
      <c r="X1120" s="311"/>
      <c r="Y1120" s="311"/>
      <c r="Z1120" s="94"/>
      <c r="AA1120" s="158"/>
      <c r="AB1120" s="158"/>
      <c r="AC1120" s="158"/>
      <c r="AD1120" s="158"/>
      <c r="AE1120" s="158"/>
      <c r="AF1120" s="158"/>
      <c r="AG1120" s="158"/>
      <c r="AH1120" s="158"/>
      <c r="AI1120" s="158"/>
      <c r="AJ1120" s="158"/>
      <c r="AK1120" s="158"/>
      <c r="AL1120" s="158"/>
      <c r="AM1120" s="158"/>
      <c r="AN1120" s="158"/>
      <c r="AO1120" s="158"/>
      <c r="AP1120" s="23"/>
      <c r="AQ1120" s="23"/>
      <c r="AR1120" s="23"/>
      <c r="AS1120" s="23"/>
      <c r="AT1120" s="2">
        <v>1</v>
      </c>
      <c r="AU1120" s="58" t="s">
        <v>646</v>
      </c>
      <c r="AV1120" s="105"/>
      <c r="AW1120" s="23"/>
      <c r="AX1120" s="50"/>
      <c r="AY1120" s="514">
        <v>1</v>
      </c>
      <c r="AZ1120" s="23"/>
      <c r="BA1120" s="23"/>
      <c r="BB1120" s="23">
        <v>1</v>
      </c>
      <c r="BC1120" s="223"/>
      <c r="BD1120" s="223"/>
      <c r="BE1120" s="223"/>
      <c r="BF1120" s="270">
        <v>2018</v>
      </c>
      <c r="BG1120" s="270"/>
      <c r="BH1120" s="268"/>
      <c r="BI1120" s="682" t="s">
        <v>2376</v>
      </c>
    </row>
    <row r="1121" spans="1:61" ht="15" customHeight="1">
      <c r="A1121" s="160" t="s">
        <v>1</v>
      </c>
      <c r="B1121" s="58" t="s">
        <v>320</v>
      </c>
      <c r="C1121" s="66" t="s">
        <v>981</v>
      </c>
      <c r="D1121" s="33" t="s">
        <v>984</v>
      </c>
      <c r="E1121" s="33"/>
      <c r="F1121" s="33"/>
      <c r="G1121" s="33"/>
      <c r="H1121" s="30" t="s">
        <v>647</v>
      </c>
      <c r="I1121" s="30"/>
      <c r="J1121" s="212"/>
      <c r="K1121" s="158"/>
      <c r="L1121" s="158"/>
      <c r="M1121" s="158"/>
      <c r="N1121" s="158"/>
      <c r="O1121" s="158"/>
      <c r="P1121" s="158"/>
      <c r="Q1121" s="158"/>
      <c r="R1121" s="158"/>
      <c r="S1121" s="158"/>
      <c r="T1121" s="158"/>
      <c r="U1121" s="225"/>
      <c r="V1121" s="158"/>
      <c r="W1121" s="311"/>
      <c r="X1121" s="311"/>
      <c r="Y1121" s="311"/>
      <c r="Z1121" s="94"/>
      <c r="AA1121" s="158"/>
      <c r="AB1121" s="158"/>
      <c r="AC1121" s="158"/>
      <c r="AD1121" s="158"/>
      <c r="AE1121" s="158"/>
      <c r="AF1121" s="158"/>
      <c r="AG1121" s="158"/>
      <c r="AH1121" s="158"/>
      <c r="AI1121" s="158"/>
      <c r="AJ1121" s="158"/>
      <c r="AK1121" s="158"/>
      <c r="AL1121" s="158"/>
      <c r="AM1121" s="158"/>
      <c r="AN1121" s="158"/>
      <c r="AO1121" s="158"/>
      <c r="AP1121" s="23"/>
      <c r="AQ1121" s="23"/>
      <c r="AR1121" s="23"/>
      <c r="AS1121" s="23"/>
      <c r="AT1121" s="2">
        <v>1</v>
      </c>
      <c r="AU1121" s="58" t="s">
        <v>646</v>
      </c>
      <c r="AV1121" s="105"/>
      <c r="AW1121" s="23"/>
      <c r="AX1121" s="50"/>
      <c r="AY1121" s="514">
        <v>1</v>
      </c>
      <c r="AZ1121" s="23"/>
      <c r="BA1121" s="23"/>
      <c r="BB1121" s="23">
        <v>1</v>
      </c>
      <c r="BC1121" s="223"/>
      <c r="BD1121" s="223"/>
      <c r="BE1121" s="223"/>
      <c r="BF1121" s="270">
        <v>2018</v>
      </c>
      <c r="BG1121" s="270"/>
      <c r="BH1121" s="268"/>
      <c r="BI1121" s="682" t="s">
        <v>2376</v>
      </c>
    </row>
    <row r="1122" spans="1:61" ht="15" customHeight="1">
      <c r="A1122" s="160" t="s">
        <v>1</v>
      </c>
      <c r="B1122" s="58" t="s">
        <v>320</v>
      </c>
      <c r="C1122" s="66" t="s">
        <v>982</v>
      </c>
      <c r="D1122" s="33" t="s">
        <v>984</v>
      </c>
      <c r="E1122" s="33"/>
      <c r="F1122" s="33"/>
      <c r="G1122" s="33"/>
      <c r="H1122" s="30" t="s">
        <v>647</v>
      </c>
      <c r="I1122" s="30"/>
      <c r="J1122" s="212"/>
      <c r="K1122" s="158"/>
      <c r="L1122" s="158"/>
      <c r="M1122" s="158"/>
      <c r="N1122" s="158"/>
      <c r="O1122" s="158"/>
      <c r="P1122" s="158"/>
      <c r="Q1122" s="158"/>
      <c r="R1122" s="158"/>
      <c r="S1122" s="158"/>
      <c r="T1122" s="158"/>
      <c r="U1122" s="225"/>
      <c r="V1122" s="158"/>
      <c r="W1122" s="311"/>
      <c r="X1122" s="311"/>
      <c r="Y1122" s="311"/>
      <c r="Z1122" s="94"/>
      <c r="AA1122" s="158"/>
      <c r="AB1122" s="158"/>
      <c r="AC1122" s="158"/>
      <c r="AD1122" s="158"/>
      <c r="AE1122" s="158"/>
      <c r="AF1122" s="158"/>
      <c r="AG1122" s="158"/>
      <c r="AH1122" s="158"/>
      <c r="AI1122" s="158"/>
      <c r="AJ1122" s="158"/>
      <c r="AK1122" s="158"/>
      <c r="AL1122" s="158"/>
      <c r="AM1122" s="158"/>
      <c r="AN1122" s="158"/>
      <c r="AO1122" s="158"/>
      <c r="AP1122" s="23"/>
      <c r="AQ1122" s="23"/>
      <c r="AR1122" s="23"/>
      <c r="AS1122" s="23"/>
      <c r="AT1122" s="2">
        <v>1</v>
      </c>
      <c r="AU1122" s="58" t="s">
        <v>646</v>
      </c>
      <c r="AV1122" s="105"/>
      <c r="AW1122" s="23"/>
      <c r="AX1122" s="50"/>
      <c r="AY1122" s="514">
        <v>1</v>
      </c>
      <c r="AZ1122" s="23"/>
      <c r="BA1122" s="23"/>
      <c r="BB1122" s="23">
        <v>1</v>
      </c>
      <c r="BC1122" s="223"/>
      <c r="BD1122" s="223"/>
      <c r="BE1122" s="223"/>
      <c r="BF1122" s="270">
        <v>2018</v>
      </c>
      <c r="BG1122" s="270"/>
      <c r="BH1122" s="268"/>
      <c r="BI1122" s="682" t="s">
        <v>2376</v>
      </c>
    </row>
    <row r="1123" spans="1:61" ht="15" customHeight="1">
      <c r="A1123" s="160" t="s">
        <v>1</v>
      </c>
      <c r="B1123" s="58" t="s">
        <v>320</v>
      </c>
      <c r="C1123" s="66" t="s">
        <v>983</v>
      </c>
      <c r="D1123" s="33" t="s">
        <v>984</v>
      </c>
      <c r="E1123" s="33"/>
      <c r="F1123" s="33"/>
      <c r="G1123" s="33"/>
      <c r="H1123" s="30" t="s">
        <v>647</v>
      </c>
      <c r="I1123" s="30"/>
      <c r="J1123" s="212"/>
      <c r="K1123" s="158"/>
      <c r="L1123" s="158"/>
      <c r="M1123" s="158"/>
      <c r="N1123" s="158"/>
      <c r="O1123" s="158"/>
      <c r="P1123" s="158"/>
      <c r="Q1123" s="158"/>
      <c r="R1123" s="158"/>
      <c r="S1123" s="158"/>
      <c r="T1123" s="158"/>
      <c r="U1123" s="225"/>
      <c r="V1123" s="158"/>
      <c r="W1123" s="311"/>
      <c r="X1123" s="311"/>
      <c r="Y1123" s="311"/>
      <c r="Z1123" s="94"/>
      <c r="AA1123" s="158"/>
      <c r="AB1123" s="158"/>
      <c r="AC1123" s="158"/>
      <c r="AD1123" s="158"/>
      <c r="AE1123" s="158"/>
      <c r="AF1123" s="158"/>
      <c r="AG1123" s="158"/>
      <c r="AH1123" s="158"/>
      <c r="AI1123" s="158"/>
      <c r="AJ1123" s="158"/>
      <c r="AK1123" s="158"/>
      <c r="AL1123" s="158"/>
      <c r="AM1123" s="158"/>
      <c r="AN1123" s="158"/>
      <c r="AO1123" s="158"/>
      <c r="AP1123" s="23"/>
      <c r="AQ1123" s="23"/>
      <c r="AR1123" s="23"/>
      <c r="AS1123" s="23"/>
      <c r="AT1123" s="2">
        <v>1</v>
      </c>
      <c r="AU1123" s="58" t="s">
        <v>646</v>
      </c>
      <c r="AV1123" s="105"/>
      <c r="AW1123" s="23"/>
      <c r="AX1123" s="50"/>
      <c r="AY1123" s="514">
        <v>1</v>
      </c>
      <c r="AZ1123" s="23"/>
      <c r="BA1123" s="23"/>
      <c r="BB1123" s="23">
        <v>1</v>
      </c>
      <c r="BC1123" s="223"/>
      <c r="BD1123" s="223"/>
      <c r="BE1123" s="223"/>
      <c r="BF1123" s="270">
        <v>2018</v>
      </c>
      <c r="BG1123" s="270"/>
      <c r="BH1123" s="268"/>
      <c r="BI1123" s="682" t="s">
        <v>2376</v>
      </c>
    </row>
    <row r="1124" spans="1:61" s="204" customFormat="1" ht="18" customHeight="1">
      <c r="A1124" s="160" t="s">
        <v>1</v>
      </c>
      <c r="B1124" s="58" t="s">
        <v>320</v>
      </c>
      <c r="C1124" s="66" t="s">
        <v>1012</v>
      </c>
      <c r="D1124" s="33" t="s">
        <v>387</v>
      </c>
      <c r="E1124" s="33"/>
      <c r="F1124" s="33"/>
      <c r="G1124" s="33"/>
      <c r="H1124" s="30" t="s">
        <v>968</v>
      </c>
      <c r="I1124" s="115" t="s">
        <v>1911</v>
      </c>
      <c r="J1124" s="215" t="s">
        <v>1912</v>
      </c>
      <c r="K1124" s="158"/>
      <c r="L1124" s="158"/>
      <c r="M1124" s="158">
        <v>1</v>
      </c>
      <c r="N1124" s="158">
        <v>1</v>
      </c>
      <c r="O1124" s="23"/>
      <c r="P1124" s="158">
        <v>51936640</v>
      </c>
      <c r="Q1124" s="158"/>
      <c r="R1124" s="158"/>
      <c r="S1124" s="158"/>
      <c r="T1124" s="158"/>
      <c r="U1124" s="225">
        <v>23371488</v>
      </c>
      <c r="V1124" s="158">
        <v>20</v>
      </c>
      <c r="W1124" s="311">
        <v>43800</v>
      </c>
      <c r="X1124" s="311"/>
      <c r="Y1124" s="311"/>
      <c r="Z1124" s="94"/>
      <c r="AA1124" s="158"/>
      <c r="AB1124" s="158"/>
      <c r="AC1124" s="158"/>
      <c r="AD1124" s="158"/>
      <c r="AE1124" s="158"/>
      <c r="AF1124" s="158">
        <f>P1124-U1124-Z1124</f>
        <v>28565152</v>
      </c>
      <c r="AG1124" s="158"/>
      <c r="AH1124" s="94">
        <v>0</v>
      </c>
      <c r="AI1124" s="94">
        <v>28565152</v>
      </c>
      <c r="AJ1124" s="94"/>
      <c r="AK1124" s="666">
        <f t="shared" ref="AK1124:AK1125" si="258">P1124-R1124-U1124-Z1124</f>
        <v>28565152</v>
      </c>
      <c r="AL1124" s="666">
        <v>877</v>
      </c>
      <c r="AM1124" s="666">
        <v>20</v>
      </c>
      <c r="AN1124" s="158"/>
      <c r="AO1124" s="158">
        <v>1</v>
      </c>
      <c r="AP1124" s="23"/>
      <c r="AQ1124" s="23"/>
      <c r="AR1124" s="23"/>
      <c r="AS1124" s="23"/>
      <c r="AT1124" s="2">
        <v>0</v>
      </c>
      <c r="AU1124" s="58" t="s">
        <v>38</v>
      </c>
      <c r="AV1124" s="386" t="s">
        <v>1876</v>
      </c>
      <c r="AW1124" s="23"/>
      <c r="AX1124" s="23"/>
      <c r="AY1124" s="23"/>
      <c r="AZ1124" s="23"/>
      <c r="BA1124" s="23"/>
      <c r="BB1124" s="23"/>
      <c r="BC1124" s="223"/>
      <c r="BD1124" s="223"/>
      <c r="BE1124" s="223"/>
      <c r="BF1124" s="351"/>
      <c r="BG1124" s="351">
        <v>2019</v>
      </c>
      <c r="BH1124" s="504">
        <v>2020</v>
      </c>
      <c r="BI1124" s="271" t="s">
        <v>2375</v>
      </c>
    </row>
    <row r="1125" spans="1:61" s="204" customFormat="1" ht="18" customHeight="1">
      <c r="A1125" s="160" t="s">
        <v>1</v>
      </c>
      <c r="B1125" s="58" t="s">
        <v>320</v>
      </c>
      <c r="C1125" s="66" t="s">
        <v>1025</v>
      </c>
      <c r="D1125" s="33" t="s">
        <v>387</v>
      </c>
      <c r="E1125" s="33"/>
      <c r="F1125" s="33"/>
      <c r="G1125" s="33"/>
      <c r="H1125" s="30" t="s">
        <v>663</v>
      </c>
      <c r="I1125" s="30">
        <v>755</v>
      </c>
      <c r="J1125" s="212">
        <v>41367</v>
      </c>
      <c r="K1125" s="158"/>
      <c r="L1125" s="158"/>
      <c r="M1125" s="158">
        <v>1</v>
      </c>
      <c r="N1125" s="158">
        <v>1</v>
      </c>
      <c r="O1125" s="23"/>
      <c r="P1125" s="75">
        <v>58290247</v>
      </c>
      <c r="Q1125" s="729"/>
      <c r="R1125" s="678"/>
      <c r="S1125" s="158"/>
      <c r="T1125" s="158"/>
      <c r="U1125" s="225"/>
      <c r="V1125" s="158">
        <v>10</v>
      </c>
      <c r="W1125" s="311"/>
      <c r="X1125" s="311"/>
      <c r="Y1125" s="311"/>
      <c r="Z1125" s="94"/>
      <c r="AA1125" s="158"/>
      <c r="AB1125" s="158"/>
      <c r="AC1125" s="158"/>
      <c r="AD1125" s="158"/>
      <c r="AE1125" s="158"/>
      <c r="AF1125" s="158">
        <f>P1125-U1125-Z1125</f>
        <v>58290247</v>
      </c>
      <c r="AG1125" s="158"/>
      <c r="AH1125" s="94">
        <v>0</v>
      </c>
      <c r="AI1125" s="94">
        <v>58290247</v>
      </c>
      <c r="AJ1125" s="94"/>
      <c r="AK1125" s="176">
        <f t="shared" si="258"/>
        <v>58290247</v>
      </c>
      <c r="AL1125" s="158"/>
      <c r="AM1125" s="158"/>
      <c r="AN1125" s="158">
        <v>1</v>
      </c>
      <c r="AO1125" s="158"/>
      <c r="AP1125" s="50"/>
      <c r="AQ1125" s="23"/>
      <c r="AR1125" s="23"/>
      <c r="AS1125" s="23"/>
      <c r="AT1125" s="2">
        <v>0</v>
      </c>
      <c r="AU1125" s="58" t="s">
        <v>521</v>
      </c>
      <c r="AV1125" s="386"/>
      <c r="AW1125" s="23"/>
      <c r="AX1125" s="50"/>
      <c r="AY1125" s="50"/>
      <c r="AZ1125" s="50"/>
      <c r="BA1125" s="50"/>
      <c r="BB1125" s="50"/>
      <c r="BC1125" s="293"/>
      <c r="BD1125" s="293"/>
      <c r="BE1125" s="293"/>
      <c r="BF1125" s="271"/>
      <c r="BG1125" s="271">
        <v>2019</v>
      </c>
      <c r="BH1125" s="271">
        <v>2020</v>
      </c>
      <c r="BI1125" s="271" t="s">
        <v>2375</v>
      </c>
    </row>
    <row r="1126" spans="1:61" ht="15" customHeight="1">
      <c r="A1126" s="160" t="s">
        <v>1</v>
      </c>
      <c r="B1126" s="58" t="s">
        <v>320</v>
      </c>
      <c r="C1126" s="66" t="s">
        <v>1026</v>
      </c>
      <c r="D1126" s="33" t="s">
        <v>984</v>
      </c>
      <c r="E1126" s="33"/>
      <c r="F1126" s="33"/>
      <c r="G1126" s="33"/>
      <c r="H1126" s="30" t="s">
        <v>661</v>
      </c>
      <c r="I1126" s="30"/>
      <c r="J1126" s="212"/>
      <c r="K1126" s="158"/>
      <c r="L1126" s="158"/>
      <c r="M1126" s="158"/>
      <c r="N1126" s="158"/>
      <c r="O1126" s="158"/>
      <c r="P1126" s="158"/>
      <c r="Q1126" s="158"/>
      <c r="R1126" s="158"/>
      <c r="S1126" s="158"/>
      <c r="T1126" s="158"/>
      <c r="U1126" s="225"/>
      <c r="V1126" s="158"/>
      <c r="W1126" s="311"/>
      <c r="X1126" s="311"/>
      <c r="Y1126" s="311"/>
      <c r="Z1126" s="94"/>
      <c r="AA1126" s="158"/>
      <c r="AB1126" s="158"/>
      <c r="AC1126" s="158"/>
      <c r="AD1126" s="158"/>
      <c r="AE1126" s="158"/>
      <c r="AF1126" s="158"/>
      <c r="AG1126" s="158"/>
      <c r="AH1126" s="158"/>
      <c r="AI1126" s="158"/>
      <c r="AJ1126" s="158"/>
      <c r="AK1126" s="158"/>
      <c r="AL1126" s="158"/>
      <c r="AM1126" s="158"/>
      <c r="AN1126" s="158"/>
      <c r="AO1126" s="158"/>
      <c r="AP1126" s="23"/>
      <c r="AQ1126" s="23"/>
      <c r="AR1126" s="23"/>
      <c r="AS1126" s="23"/>
      <c r="AT1126" s="2">
        <v>1</v>
      </c>
      <c r="AU1126" s="58" t="s">
        <v>646</v>
      </c>
      <c r="AV1126" s="105"/>
      <c r="AW1126" s="23"/>
      <c r="AX1126" s="50"/>
      <c r="AY1126" s="514">
        <v>1</v>
      </c>
      <c r="AZ1126" s="23"/>
      <c r="BA1126" s="23"/>
      <c r="BB1126" s="23">
        <v>1</v>
      </c>
      <c r="BC1126" s="223"/>
      <c r="BD1126" s="223"/>
      <c r="BE1126" s="223"/>
      <c r="BF1126" s="270">
        <v>2018</v>
      </c>
      <c r="BG1126" s="270"/>
      <c r="BH1126" s="268"/>
      <c r="BI1126" s="682" t="s">
        <v>2376</v>
      </c>
    </row>
    <row r="1127" spans="1:61" ht="18" customHeight="1">
      <c r="A1127" s="160" t="s">
        <v>1</v>
      </c>
      <c r="B1127" s="58" t="s">
        <v>320</v>
      </c>
      <c r="C1127" s="66" t="s">
        <v>1027</v>
      </c>
      <c r="D1127" s="33" t="s">
        <v>1936</v>
      </c>
      <c r="E1127" s="33"/>
      <c r="F1127" s="33"/>
      <c r="G1127" s="33"/>
      <c r="H1127" s="30" t="s">
        <v>661</v>
      </c>
      <c r="I1127" s="30">
        <v>577</v>
      </c>
      <c r="J1127" s="212" t="s">
        <v>1987</v>
      </c>
      <c r="K1127" s="23"/>
      <c r="L1127" s="23">
        <v>1</v>
      </c>
      <c r="M1127" s="158"/>
      <c r="N1127" s="158"/>
      <c r="O1127" s="158"/>
      <c r="P1127" s="158"/>
      <c r="Q1127" s="158"/>
      <c r="R1127" s="158"/>
      <c r="S1127" s="158"/>
      <c r="T1127" s="158"/>
      <c r="U1127" s="225"/>
      <c r="V1127" s="158"/>
      <c r="W1127" s="311"/>
      <c r="X1127" s="311"/>
      <c r="Y1127" s="311"/>
      <c r="Z1127" s="94"/>
      <c r="AA1127" s="158"/>
      <c r="AB1127" s="158"/>
      <c r="AC1127" s="158"/>
      <c r="AD1127" s="158"/>
      <c r="AE1127" s="158"/>
      <c r="AF1127" s="158">
        <f>P1127-U1127-Z1127</f>
        <v>0</v>
      </c>
      <c r="AG1127" s="158"/>
      <c r="AH1127" s="94">
        <v>0</v>
      </c>
      <c r="AI1127" s="94">
        <v>0</v>
      </c>
      <c r="AJ1127" s="94"/>
      <c r="AK1127" s="158">
        <f t="shared" ref="AK1127" si="259">AF1127+AH1127</f>
        <v>0</v>
      </c>
      <c r="AL1127" s="158"/>
      <c r="AM1127" s="158"/>
      <c r="AN1127" s="158"/>
      <c r="AO1127" s="158"/>
      <c r="AP1127" s="23"/>
      <c r="AQ1127" s="23"/>
      <c r="AR1127" s="23"/>
      <c r="AS1127" s="23"/>
      <c r="AT1127" s="2">
        <v>1</v>
      </c>
      <c r="AU1127" s="58" t="s">
        <v>646</v>
      </c>
      <c r="AV1127" s="386" t="s">
        <v>1417</v>
      </c>
      <c r="AW1127" s="23"/>
      <c r="AX1127" s="50"/>
      <c r="AY1127" s="50"/>
      <c r="AZ1127" s="23">
        <v>1</v>
      </c>
      <c r="BA1127" s="23"/>
      <c r="BB1127" s="50"/>
      <c r="BC1127" s="293"/>
      <c r="BD1127" s="223">
        <v>1</v>
      </c>
      <c r="BE1127" s="223"/>
      <c r="BF1127" s="270">
        <v>2019</v>
      </c>
      <c r="BG1127" s="270">
        <v>2019</v>
      </c>
      <c r="BH1127" s="271"/>
      <c r="BI1127" s="271" t="s">
        <v>2375</v>
      </c>
    </row>
    <row r="1128" spans="1:61" ht="15" customHeight="1">
      <c r="A1128" s="160" t="s">
        <v>1</v>
      </c>
      <c r="B1128" s="58" t="s">
        <v>320</v>
      </c>
      <c r="C1128" s="66" t="s">
        <v>1028</v>
      </c>
      <c r="D1128" s="33" t="s">
        <v>984</v>
      </c>
      <c r="E1128" s="33"/>
      <c r="F1128" s="33"/>
      <c r="G1128" s="33"/>
      <c r="H1128" s="30" t="s">
        <v>661</v>
      </c>
      <c r="I1128" s="30"/>
      <c r="J1128" s="212"/>
      <c r="K1128" s="158"/>
      <c r="L1128" s="158"/>
      <c r="M1128" s="158"/>
      <c r="N1128" s="158"/>
      <c r="O1128" s="158"/>
      <c r="P1128" s="158"/>
      <c r="Q1128" s="158"/>
      <c r="R1128" s="158"/>
      <c r="S1128" s="158"/>
      <c r="T1128" s="158"/>
      <c r="U1128" s="225"/>
      <c r="V1128" s="158"/>
      <c r="W1128" s="311"/>
      <c r="X1128" s="311"/>
      <c r="Y1128" s="311"/>
      <c r="Z1128" s="94"/>
      <c r="AA1128" s="158"/>
      <c r="AB1128" s="158"/>
      <c r="AC1128" s="158"/>
      <c r="AD1128" s="158"/>
      <c r="AE1128" s="158"/>
      <c r="AF1128" s="158"/>
      <c r="AG1128" s="158"/>
      <c r="AH1128" s="158"/>
      <c r="AI1128" s="158"/>
      <c r="AJ1128" s="158"/>
      <c r="AK1128" s="158"/>
      <c r="AL1128" s="158"/>
      <c r="AM1128" s="158"/>
      <c r="AN1128" s="158"/>
      <c r="AO1128" s="158"/>
      <c r="AP1128" s="23"/>
      <c r="AQ1128" s="23"/>
      <c r="AR1128" s="23"/>
      <c r="AS1128" s="23"/>
      <c r="AT1128" s="2">
        <v>1</v>
      </c>
      <c r="AU1128" s="58" t="s">
        <v>646</v>
      </c>
      <c r="AV1128" s="105"/>
      <c r="AW1128" s="23"/>
      <c r="AX1128" s="50"/>
      <c r="AY1128" s="514">
        <v>1</v>
      </c>
      <c r="AZ1128" s="23"/>
      <c r="BA1128" s="23"/>
      <c r="BB1128" s="23">
        <v>1</v>
      </c>
      <c r="BC1128" s="223"/>
      <c r="BD1128" s="223"/>
      <c r="BE1128" s="223"/>
      <c r="BF1128" s="270">
        <v>2018</v>
      </c>
      <c r="BG1128" s="270"/>
      <c r="BH1128" s="268"/>
      <c r="BI1128" s="682" t="s">
        <v>2376</v>
      </c>
    </row>
    <row r="1129" spans="1:61" ht="15" customHeight="1">
      <c r="A1129" s="160" t="s">
        <v>1</v>
      </c>
      <c r="B1129" s="58" t="s">
        <v>320</v>
      </c>
      <c r="C1129" s="66" t="s">
        <v>1031</v>
      </c>
      <c r="D1129" s="33" t="s">
        <v>985</v>
      </c>
      <c r="E1129" s="33"/>
      <c r="F1129" s="33"/>
      <c r="G1129" s="33"/>
      <c r="H1129" s="30" t="s">
        <v>661</v>
      </c>
      <c r="I1129" s="30"/>
      <c r="J1129" s="212"/>
      <c r="K1129" s="158"/>
      <c r="L1129" s="158"/>
      <c r="M1129" s="158"/>
      <c r="N1129" s="158"/>
      <c r="O1129" s="158"/>
      <c r="P1129" s="158"/>
      <c r="Q1129" s="158"/>
      <c r="R1129" s="158"/>
      <c r="S1129" s="158"/>
      <c r="T1129" s="158"/>
      <c r="U1129" s="225"/>
      <c r="V1129" s="158"/>
      <c r="W1129" s="311"/>
      <c r="X1129" s="311"/>
      <c r="Y1129" s="311"/>
      <c r="Z1129" s="94"/>
      <c r="AA1129" s="158"/>
      <c r="AB1129" s="158"/>
      <c r="AC1129" s="158"/>
      <c r="AD1129" s="158"/>
      <c r="AE1129" s="158"/>
      <c r="AF1129" s="158"/>
      <c r="AG1129" s="158"/>
      <c r="AH1129" s="158"/>
      <c r="AI1129" s="158"/>
      <c r="AJ1129" s="158"/>
      <c r="AK1129" s="158"/>
      <c r="AL1129" s="158"/>
      <c r="AM1129" s="158"/>
      <c r="AN1129" s="158"/>
      <c r="AO1129" s="158"/>
      <c r="AP1129" s="23"/>
      <c r="AQ1129" s="23"/>
      <c r="AR1129" s="23"/>
      <c r="AS1129" s="23"/>
      <c r="AT1129" s="2">
        <v>1</v>
      </c>
      <c r="AU1129" s="58" t="s">
        <v>646</v>
      </c>
      <c r="AV1129" s="105"/>
      <c r="AW1129" s="23"/>
      <c r="AX1129" s="50"/>
      <c r="AY1129" s="514">
        <v>1</v>
      </c>
      <c r="AZ1129" s="23"/>
      <c r="BA1129" s="23"/>
      <c r="BB1129" s="23">
        <v>1</v>
      </c>
      <c r="BC1129" s="223"/>
      <c r="BD1129" s="223"/>
      <c r="BE1129" s="223"/>
      <c r="BF1129" s="270">
        <v>2018</v>
      </c>
      <c r="BG1129" s="270"/>
      <c r="BH1129" s="268"/>
      <c r="BI1129" s="682" t="s">
        <v>2376</v>
      </c>
    </row>
    <row r="1130" spans="1:61" ht="15" customHeight="1">
      <c r="A1130" s="160" t="s">
        <v>1</v>
      </c>
      <c r="B1130" s="58" t="s">
        <v>320</v>
      </c>
      <c r="C1130" s="66" t="s">
        <v>1032</v>
      </c>
      <c r="D1130" s="33" t="s">
        <v>984</v>
      </c>
      <c r="E1130" s="33"/>
      <c r="F1130" s="33"/>
      <c r="G1130" s="33"/>
      <c r="H1130" s="30" t="s">
        <v>661</v>
      </c>
      <c r="I1130" s="30"/>
      <c r="J1130" s="212"/>
      <c r="K1130" s="158"/>
      <c r="L1130" s="158"/>
      <c r="M1130" s="158"/>
      <c r="N1130" s="158"/>
      <c r="O1130" s="158"/>
      <c r="P1130" s="158"/>
      <c r="Q1130" s="158"/>
      <c r="R1130" s="158"/>
      <c r="S1130" s="158"/>
      <c r="T1130" s="158"/>
      <c r="U1130" s="225"/>
      <c r="V1130" s="158"/>
      <c r="W1130" s="311"/>
      <c r="X1130" s="311"/>
      <c r="Y1130" s="311"/>
      <c r="Z1130" s="94">
        <v>6242184</v>
      </c>
      <c r="AA1130" s="158">
        <v>10</v>
      </c>
      <c r="AB1130" s="311">
        <v>43313</v>
      </c>
      <c r="AC1130" s="158"/>
      <c r="AD1130" s="158"/>
      <c r="AE1130" s="158"/>
      <c r="AF1130" s="158"/>
      <c r="AG1130" s="158"/>
      <c r="AH1130" s="158"/>
      <c r="AI1130" s="158"/>
      <c r="AJ1130" s="158"/>
      <c r="AK1130" s="158"/>
      <c r="AL1130" s="158"/>
      <c r="AM1130" s="158"/>
      <c r="AN1130" s="158"/>
      <c r="AO1130" s="158"/>
      <c r="AP1130" s="23"/>
      <c r="AQ1130" s="23"/>
      <c r="AR1130" s="23"/>
      <c r="AS1130" s="23"/>
      <c r="AT1130" s="2">
        <v>1</v>
      </c>
      <c r="AU1130" s="58" t="s">
        <v>646</v>
      </c>
      <c r="AV1130" s="105"/>
      <c r="AW1130" s="23"/>
      <c r="AX1130" s="50"/>
      <c r="AY1130" s="514">
        <v>1</v>
      </c>
      <c r="AZ1130" s="23"/>
      <c r="BA1130" s="23"/>
      <c r="BB1130" s="23">
        <v>1</v>
      </c>
      <c r="BC1130" s="223"/>
      <c r="BD1130" s="223"/>
      <c r="BE1130" s="223"/>
      <c r="BF1130" s="270">
        <v>2018</v>
      </c>
      <c r="BG1130" s="270"/>
      <c r="BH1130" s="268"/>
      <c r="BI1130" s="682" t="s">
        <v>2376</v>
      </c>
    </row>
    <row r="1131" spans="1:61" s="204" customFormat="1" ht="28.5" customHeight="1">
      <c r="A1131" s="160" t="s">
        <v>1</v>
      </c>
      <c r="B1131" s="58" t="s">
        <v>320</v>
      </c>
      <c r="C1131" s="66" t="s">
        <v>1033</v>
      </c>
      <c r="D1131" s="33" t="s">
        <v>387</v>
      </c>
      <c r="E1131" s="33"/>
      <c r="F1131" s="33"/>
      <c r="G1131" s="33"/>
      <c r="H1131" s="30" t="s">
        <v>663</v>
      </c>
      <c r="I1131" s="115" t="s">
        <v>2370</v>
      </c>
      <c r="J1131" s="215" t="s">
        <v>2371</v>
      </c>
      <c r="K1131" s="676"/>
      <c r="L1131" s="158"/>
      <c r="M1131" s="158">
        <v>1</v>
      </c>
      <c r="N1131" s="158">
        <v>1</v>
      </c>
      <c r="O1131" s="23"/>
      <c r="P1131" s="158">
        <v>51670509</v>
      </c>
      <c r="Q1131" s="158"/>
      <c r="R1131" s="158"/>
      <c r="S1131" s="158"/>
      <c r="T1131" s="699"/>
      <c r="U1131" s="94">
        <v>28620626</v>
      </c>
      <c r="V1131" s="158">
        <v>10</v>
      </c>
      <c r="W1131" s="311"/>
      <c r="X1131" s="311"/>
      <c r="Y1131" s="311"/>
      <c r="Z1131" s="158"/>
      <c r="AA1131" s="158">
        <v>10</v>
      </c>
      <c r="AB1131" s="158"/>
      <c r="AC1131" s="158"/>
      <c r="AD1131" s="158"/>
      <c r="AE1131" s="158"/>
      <c r="AF1131" s="158">
        <f t="shared" ref="AF1131:AF1140" si="260">P1131-U1131-Z1131</f>
        <v>23049883</v>
      </c>
      <c r="AG1131" s="158"/>
      <c r="AH1131" s="94">
        <v>0</v>
      </c>
      <c r="AI1131" s="94">
        <v>23049883</v>
      </c>
      <c r="AJ1131" s="94"/>
      <c r="AK1131" s="176">
        <f>P1131-R1131-U1131-Z1131</f>
        <v>23049883</v>
      </c>
      <c r="AL1131" s="158">
        <v>980</v>
      </c>
      <c r="AM1131" s="158">
        <v>10</v>
      </c>
      <c r="AN1131" s="158"/>
      <c r="AO1131" s="158">
        <v>1</v>
      </c>
      <c r="AP1131" s="50"/>
      <c r="AQ1131" s="23"/>
      <c r="AR1131" s="23"/>
      <c r="AS1131" s="23"/>
      <c r="AT1131" s="2">
        <v>0</v>
      </c>
      <c r="AU1131" s="58" t="s">
        <v>38</v>
      </c>
      <c r="AV1131" s="386" t="s">
        <v>1879</v>
      </c>
      <c r="AW1131" s="23"/>
      <c r="AX1131" s="50"/>
      <c r="AY1131" s="50"/>
      <c r="AZ1131" s="50"/>
      <c r="BA1131" s="50"/>
      <c r="BB1131" s="50"/>
      <c r="BC1131" s="293"/>
      <c r="BD1131" s="293"/>
      <c r="BE1131" s="293"/>
      <c r="BF1131" s="271"/>
      <c r="BG1131" s="271">
        <v>2019</v>
      </c>
      <c r="BH1131" s="271">
        <v>2020</v>
      </c>
      <c r="BI1131" s="271" t="s">
        <v>2375</v>
      </c>
    </row>
    <row r="1132" spans="1:61" ht="18" customHeight="1">
      <c r="A1132" s="160" t="s">
        <v>1</v>
      </c>
      <c r="B1132" s="58" t="s">
        <v>320</v>
      </c>
      <c r="C1132" s="66" t="s">
        <v>1094</v>
      </c>
      <c r="D1132" s="33" t="s">
        <v>438</v>
      </c>
      <c r="E1132" s="33"/>
      <c r="F1132" s="33"/>
      <c r="G1132" s="33"/>
      <c r="H1132" s="30" t="s">
        <v>1058</v>
      </c>
      <c r="I1132" s="30">
        <v>94</v>
      </c>
      <c r="J1132" s="212">
        <v>43371</v>
      </c>
      <c r="K1132" s="23"/>
      <c r="L1132" s="23">
        <v>1</v>
      </c>
      <c r="M1132" s="158"/>
      <c r="N1132" s="158"/>
      <c r="O1132" s="158"/>
      <c r="P1132" s="158">
        <v>77425000</v>
      </c>
      <c r="Q1132" s="158"/>
      <c r="R1132" s="158"/>
      <c r="S1132" s="158"/>
      <c r="T1132" s="158"/>
      <c r="U1132" s="225">
        <v>77425000</v>
      </c>
      <c r="V1132" s="158">
        <v>20</v>
      </c>
      <c r="W1132" s="311">
        <v>43586</v>
      </c>
      <c r="X1132" s="311"/>
      <c r="Y1132" s="311"/>
      <c r="Z1132" s="23"/>
      <c r="AA1132" s="158"/>
      <c r="AB1132" s="158"/>
      <c r="AC1132" s="158"/>
      <c r="AD1132" s="158"/>
      <c r="AE1132" s="158"/>
      <c r="AF1132" s="158">
        <f t="shared" si="260"/>
        <v>0</v>
      </c>
      <c r="AG1132" s="158"/>
      <c r="AH1132" s="94">
        <v>0</v>
      </c>
      <c r="AI1132" s="94">
        <v>0</v>
      </c>
      <c r="AJ1132" s="94"/>
      <c r="AK1132" s="158">
        <f t="shared" ref="AK1132:AK1136" si="261">AF1132+AH1132</f>
        <v>0</v>
      </c>
      <c r="AL1132" s="158">
        <v>877</v>
      </c>
      <c r="AM1132" s="158">
        <v>20</v>
      </c>
      <c r="AN1132" s="158"/>
      <c r="AO1132" s="158"/>
      <c r="AP1132" s="23"/>
      <c r="AQ1132" s="23"/>
      <c r="AR1132" s="23"/>
      <c r="AS1132" s="23"/>
      <c r="AT1132" s="2">
        <v>1</v>
      </c>
      <c r="AU1132" s="58" t="s">
        <v>646</v>
      </c>
      <c r="AV1132" s="386" t="s">
        <v>1402</v>
      </c>
      <c r="AW1132" s="23"/>
      <c r="AX1132" s="50"/>
      <c r="AY1132" s="50"/>
      <c r="AZ1132" s="23">
        <v>1</v>
      </c>
      <c r="BA1132" s="23"/>
      <c r="BB1132" s="50"/>
      <c r="BC1132" s="293"/>
      <c r="BD1132" s="223">
        <v>1</v>
      </c>
      <c r="BE1132" s="223"/>
      <c r="BF1132" s="270">
        <v>2019</v>
      </c>
      <c r="BG1132" s="270">
        <v>2019</v>
      </c>
      <c r="BH1132" s="271"/>
      <c r="BI1132" s="271" t="s">
        <v>2375</v>
      </c>
    </row>
    <row r="1133" spans="1:61" s="204" customFormat="1" ht="18" customHeight="1">
      <c r="A1133" s="160" t="s">
        <v>1</v>
      </c>
      <c r="B1133" s="58" t="s">
        <v>320</v>
      </c>
      <c r="C1133" s="66" t="s">
        <v>1095</v>
      </c>
      <c r="D1133" s="33" t="s">
        <v>387</v>
      </c>
      <c r="E1133" s="33"/>
      <c r="F1133" s="33"/>
      <c r="G1133" s="33"/>
      <c r="H1133" s="30" t="s">
        <v>1058</v>
      </c>
      <c r="I1133" s="30">
        <v>95</v>
      </c>
      <c r="J1133" s="212">
        <v>43371</v>
      </c>
      <c r="K1133" s="158"/>
      <c r="L1133" s="158"/>
      <c r="M1133" s="158">
        <v>1</v>
      </c>
      <c r="N1133" s="158">
        <v>1</v>
      </c>
      <c r="O1133" s="23"/>
      <c r="P1133" s="158">
        <v>63554145</v>
      </c>
      <c r="Q1133" s="158"/>
      <c r="R1133" s="158"/>
      <c r="S1133" s="158"/>
      <c r="T1133" s="158"/>
      <c r="U1133" s="225">
        <v>28599365</v>
      </c>
      <c r="V1133" s="158">
        <v>20</v>
      </c>
      <c r="W1133" s="311">
        <v>43617</v>
      </c>
      <c r="X1133" s="311"/>
      <c r="Y1133" s="311"/>
      <c r="Z1133" s="23">
        <v>34954780</v>
      </c>
      <c r="AA1133" s="158">
        <v>20</v>
      </c>
      <c r="AB1133" s="311">
        <v>43739</v>
      </c>
      <c r="AC1133" s="311"/>
      <c r="AD1133" s="158"/>
      <c r="AE1133" s="158"/>
      <c r="AF1133" s="158">
        <f t="shared" si="260"/>
        <v>0</v>
      </c>
      <c r="AG1133" s="158"/>
      <c r="AH1133" s="94">
        <v>0</v>
      </c>
      <c r="AI1133" s="94">
        <v>0</v>
      </c>
      <c r="AJ1133" s="94"/>
      <c r="AK1133" s="158">
        <f t="shared" ref="AK1133:AK1135" si="262">P1133-R1133-U1133-Z1133</f>
        <v>0</v>
      </c>
      <c r="AL1133" s="158">
        <v>877</v>
      </c>
      <c r="AM1133" s="158">
        <v>20</v>
      </c>
      <c r="AN1133" s="158"/>
      <c r="AO1133" s="158">
        <v>1</v>
      </c>
      <c r="AP1133" s="23"/>
      <c r="AQ1133" s="23"/>
      <c r="AR1133" s="23"/>
      <c r="AS1133" s="23"/>
      <c r="AT1133" s="2">
        <v>0.45</v>
      </c>
      <c r="AU1133" s="58" t="s">
        <v>38</v>
      </c>
      <c r="AV1133" s="386" t="s">
        <v>1403</v>
      </c>
      <c r="AW1133" s="23"/>
      <c r="AX1133" s="50"/>
      <c r="AY1133" s="50"/>
      <c r="AZ1133" s="50"/>
      <c r="BA1133" s="50"/>
      <c r="BB1133" s="50"/>
      <c r="BC1133" s="293"/>
      <c r="BD1133" s="293"/>
      <c r="BE1133" s="293"/>
      <c r="BF1133" s="271"/>
      <c r="BG1133" s="271">
        <v>2019</v>
      </c>
      <c r="BH1133" s="430">
        <v>2020</v>
      </c>
      <c r="BI1133" s="271" t="s">
        <v>2375</v>
      </c>
    </row>
    <row r="1134" spans="1:61" s="204" customFormat="1" ht="18" customHeight="1">
      <c r="A1134" s="160" t="s">
        <v>1</v>
      </c>
      <c r="B1134" s="58" t="s">
        <v>320</v>
      </c>
      <c r="C1134" s="66" t="s">
        <v>1096</v>
      </c>
      <c r="D1134" s="33" t="s">
        <v>387</v>
      </c>
      <c r="E1134" s="33"/>
      <c r="F1134" s="33"/>
      <c r="G1134" s="33"/>
      <c r="H1134" s="30" t="s">
        <v>1058</v>
      </c>
      <c r="I1134" s="30">
        <v>96</v>
      </c>
      <c r="J1134" s="212">
        <v>43371</v>
      </c>
      <c r="K1134" s="158"/>
      <c r="L1134" s="158"/>
      <c r="M1134" s="158">
        <v>1</v>
      </c>
      <c r="N1134" s="158">
        <v>1</v>
      </c>
      <c r="O1134" s="23"/>
      <c r="P1134" s="158">
        <v>55730850</v>
      </c>
      <c r="Q1134" s="158"/>
      <c r="R1134" s="158"/>
      <c r="S1134" s="158"/>
      <c r="T1134" s="158"/>
      <c r="U1134" s="225"/>
      <c r="V1134" s="158"/>
      <c r="W1134" s="311"/>
      <c r="X1134" s="311"/>
      <c r="Y1134" s="311"/>
      <c r="Z1134" s="23"/>
      <c r="AA1134" s="158"/>
      <c r="AB1134" s="158"/>
      <c r="AC1134" s="158"/>
      <c r="AD1134" s="158"/>
      <c r="AE1134" s="158"/>
      <c r="AF1134" s="158">
        <f t="shared" si="260"/>
        <v>55730850</v>
      </c>
      <c r="AG1134" s="158"/>
      <c r="AH1134" s="94">
        <v>0</v>
      </c>
      <c r="AI1134" s="94">
        <v>55730850</v>
      </c>
      <c r="AJ1134" s="94"/>
      <c r="AK1134" s="666">
        <f t="shared" si="262"/>
        <v>55730850</v>
      </c>
      <c r="AL1134" s="666">
        <v>877</v>
      </c>
      <c r="AM1134" s="666">
        <v>20</v>
      </c>
      <c r="AN1134" s="158">
        <v>1</v>
      </c>
      <c r="AO1134" s="158"/>
      <c r="AP1134" s="23"/>
      <c r="AQ1134" s="23"/>
      <c r="AR1134" s="23"/>
      <c r="AS1134" s="23"/>
      <c r="AT1134" s="2">
        <v>0</v>
      </c>
      <c r="AU1134" s="58" t="s">
        <v>521</v>
      </c>
      <c r="AV1134" s="386"/>
      <c r="AW1134" s="23"/>
      <c r="AX1134" s="23"/>
      <c r="AY1134" s="23"/>
      <c r="AZ1134" s="23"/>
      <c r="BA1134" s="23"/>
      <c r="BB1134" s="23"/>
      <c r="BC1134" s="223"/>
      <c r="BD1134" s="223"/>
      <c r="BE1134" s="223"/>
      <c r="BF1134" s="351"/>
      <c r="BG1134" s="351">
        <v>2019</v>
      </c>
      <c r="BH1134" s="351">
        <v>2020</v>
      </c>
      <c r="BI1134" s="271" t="s">
        <v>2375</v>
      </c>
    </row>
    <row r="1135" spans="1:61" s="204" customFormat="1" ht="18" customHeight="1">
      <c r="A1135" s="160" t="s">
        <v>1</v>
      </c>
      <c r="B1135" s="58" t="s">
        <v>320</v>
      </c>
      <c r="C1135" s="66" t="s">
        <v>1097</v>
      </c>
      <c r="D1135" s="33" t="s">
        <v>387</v>
      </c>
      <c r="E1135" s="33"/>
      <c r="F1135" s="33"/>
      <c r="G1135" s="33"/>
      <c r="H1135" s="30" t="s">
        <v>1058</v>
      </c>
      <c r="I1135" s="30">
        <v>97</v>
      </c>
      <c r="J1135" s="212">
        <v>43371</v>
      </c>
      <c r="K1135" s="158"/>
      <c r="L1135" s="158"/>
      <c r="M1135" s="158">
        <v>1</v>
      </c>
      <c r="N1135" s="158">
        <v>1</v>
      </c>
      <c r="O1135" s="23"/>
      <c r="P1135" s="158">
        <v>63507500</v>
      </c>
      <c r="Q1135" s="158"/>
      <c r="R1135" s="158"/>
      <c r="S1135" s="158"/>
      <c r="T1135" s="158"/>
      <c r="U1135" s="225">
        <v>28578375</v>
      </c>
      <c r="V1135" s="158">
        <v>20</v>
      </c>
      <c r="W1135" s="311">
        <v>43586</v>
      </c>
      <c r="X1135" s="311"/>
      <c r="Y1135" s="311"/>
      <c r="Z1135" s="23"/>
      <c r="AA1135" s="158"/>
      <c r="AB1135" s="158"/>
      <c r="AC1135" s="158"/>
      <c r="AD1135" s="158"/>
      <c r="AE1135" s="158"/>
      <c r="AF1135" s="158">
        <f t="shared" si="260"/>
        <v>34929125</v>
      </c>
      <c r="AG1135" s="158"/>
      <c r="AH1135" s="94">
        <v>0</v>
      </c>
      <c r="AI1135" s="94">
        <v>34929125</v>
      </c>
      <c r="AJ1135" s="94"/>
      <c r="AK1135" s="666">
        <f t="shared" si="262"/>
        <v>34929125</v>
      </c>
      <c r="AL1135" s="666">
        <v>877</v>
      </c>
      <c r="AM1135" s="666">
        <v>20</v>
      </c>
      <c r="AN1135" s="158"/>
      <c r="AO1135" s="158">
        <v>1</v>
      </c>
      <c r="AP1135" s="23"/>
      <c r="AQ1135" s="23"/>
      <c r="AR1135" s="23"/>
      <c r="AS1135" s="23"/>
      <c r="AT1135" s="2">
        <v>0.45</v>
      </c>
      <c r="AU1135" s="58" t="s">
        <v>38</v>
      </c>
      <c r="AV1135" s="386" t="s">
        <v>1401</v>
      </c>
      <c r="AW1135" s="23"/>
      <c r="AX1135" s="23"/>
      <c r="AY1135" s="23"/>
      <c r="AZ1135" s="23"/>
      <c r="BA1135" s="23"/>
      <c r="BB1135" s="23"/>
      <c r="BC1135" s="223"/>
      <c r="BD1135" s="223"/>
      <c r="BE1135" s="223"/>
      <c r="BF1135" s="351"/>
      <c r="BG1135" s="351">
        <v>2019</v>
      </c>
      <c r="BH1135" s="504">
        <v>2020</v>
      </c>
      <c r="BI1135" s="271" t="s">
        <v>2375</v>
      </c>
    </row>
    <row r="1136" spans="1:61" ht="25.5" customHeight="1">
      <c r="A1136" s="160" t="s">
        <v>1</v>
      </c>
      <c r="B1136" s="58" t="s">
        <v>320</v>
      </c>
      <c r="C1136" s="66" t="s">
        <v>595</v>
      </c>
      <c r="D1136" s="33" t="s">
        <v>387</v>
      </c>
      <c r="E1136" s="33"/>
      <c r="F1136" s="33"/>
      <c r="G1136" s="33"/>
      <c r="H1136" s="30" t="s">
        <v>1058</v>
      </c>
      <c r="I1136" s="115" t="s">
        <v>1868</v>
      </c>
      <c r="J1136" s="215" t="s">
        <v>1869</v>
      </c>
      <c r="K1136" s="158"/>
      <c r="L1136" s="158"/>
      <c r="M1136" s="158">
        <v>1</v>
      </c>
      <c r="N1136" s="158"/>
      <c r="O1136" s="158"/>
      <c r="P1136" s="158">
        <f>55607384+7994008</f>
        <v>63601392</v>
      </c>
      <c r="Q1136" s="158"/>
      <c r="R1136" s="158"/>
      <c r="S1136" s="158"/>
      <c r="T1136" s="158"/>
      <c r="U1136" s="225"/>
      <c r="V1136" s="158"/>
      <c r="W1136" s="311"/>
      <c r="X1136" s="311"/>
      <c r="Y1136" s="311"/>
      <c r="Z1136" s="23"/>
      <c r="AA1136" s="158"/>
      <c r="AB1136" s="311"/>
      <c r="AC1136" s="311"/>
      <c r="AD1136" s="158">
        <v>63601392</v>
      </c>
      <c r="AE1136" s="158"/>
      <c r="AF1136" s="158">
        <f>P1136-U1136-Z1136-AD1136</f>
        <v>0</v>
      </c>
      <c r="AG1136" s="158"/>
      <c r="AH1136" s="94">
        <v>0</v>
      </c>
      <c r="AI1136" s="94">
        <v>0</v>
      </c>
      <c r="AJ1136" s="94"/>
      <c r="AK1136" s="158">
        <f t="shared" si="261"/>
        <v>0</v>
      </c>
      <c r="AL1136" s="158">
        <v>877</v>
      </c>
      <c r="AM1136" s="158">
        <v>20</v>
      </c>
      <c r="AN1136" s="158"/>
      <c r="AO1136" s="158"/>
      <c r="AP1136" s="23"/>
      <c r="AQ1136" s="23"/>
      <c r="AR1136" s="23"/>
      <c r="AS1136" s="23"/>
      <c r="AT1136" s="2">
        <v>0</v>
      </c>
      <c r="AU1136" s="58" t="s">
        <v>1797</v>
      </c>
      <c r="AV1136" s="455" t="s">
        <v>1870</v>
      </c>
      <c r="AW1136" s="23"/>
      <c r="AX1136" s="50"/>
      <c r="AY1136" s="50"/>
      <c r="AZ1136" s="50"/>
      <c r="BA1136" s="50"/>
      <c r="BB1136" s="50"/>
      <c r="BC1136" s="293"/>
      <c r="BD1136" s="293"/>
      <c r="BE1136" s="23">
        <v>1</v>
      </c>
      <c r="BF1136" s="270" t="s">
        <v>1706</v>
      </c>
      <c r="BG1136" s="270">
        <v>2019</v>
      </c>
      <c r="BH1136" s="271"/>
      <c r="BI1136" s="271" t="s">
        <v>2375</v>
      </c>
    </row>
    <row r="1137" spans="1:61" s="204" customFormat="1" ht="18" customHeight="1">
      <c r="A1137" s="160" t="s">
        <v>1</v>
      </c>
      <c r="B1137" s="58" t="s">
        <v>320</v>
      </c>
      <c r="C1137" s="66" t="s">
        <v>1098</v>
      </c>
      <c r="D1137" s="33" t="s">
        <v>387</v>
      </c>
      <c r="E1137" s="33"/>
      <c r="F1137" s="33"/>
      <c r="G1137" s="33"/>
      <c r="H1137" s="30" t="s">
        <v>1058</v>
      </c>
      <c r="I1137" s="30">
        <v>99</v>
      </c>
      <c r="J1137" s="212">
        <v>43371</v>
      </c>
      <c r="K1137" s="158"/>
      <c r="L1137" s="158"/>
      <c r="M1137" s="158">
        <v>1</v>
      </c>
      <c r="N1137" s="158">
        <v>1</v>
      </c>
      <c r="O1137" s="23"/>
      <c r="P1137" s="158">
        <v>63597560</v>
      </c>
      <c r="Q1137" s="158"/>
      <c r="R1137" s="158"/>
      <c r="S1137" s="158"/>
      <c r="T1137" s="158"/>
      <c r="U1137" s="225">
        <v>28618902</v>
      </c>
      <c r="V1137" s="158">
        <v>20</v>
      </c>
      <c r="W1137" s="311">
        <v>43800</v>
      </c>
      <c r="X1137" s="311"/>
      <c r="Y1137" s="311"/>
      <c r="Z1137" s="23">
        <v>34978658</v>
      </c>
      <c r="AA1137" s="158">
        <v>20</v>
      </c>
      <c r="AB1137" s="311">
        <v>44012</v>
      </c>
      <c r="AC1137" s="158"/>
      <c r="AD1137" s="158"/>
      <c r="AE1137" s="158"/>
      <c r="AF1137" s="158">
        <f t="shared" si="260"/>
        <v>0</v>
      </c>
      <c r="AG1137" s="158"/>
      <c r="AH1137" s="94">
        <v>0</v>
      </c>
      <c r="AI1137" s="94">
        <v>34978658</v>
      </c>
      <c r="AJ1137" s="94"/>
      <c r="AK1137" s="666">
        <f t="shared" ref="AK1137:AK1140" si="263">P1137-R1137-U1137-Z1137</f>
        <v>0</v>
      </c>
      <c r="AL1137" s="666">
        <v>877</v>
      </c>
      <c r="AM1137" s="666">
        <v>20</v>
      </c>
      <c r="AN1137" s="158"/>
      <c r="AO1137" s="158">
        <v>1</v>
      </c>
      <c r="AP1137" s="23"/>
      <c r="AQ1137" s="23"/>
      <c r="AR1137" s="23"/>
      <c r="AS1137" s="23"/>
      <c r="AT1137" s="2">
        <v>0.45</v>
      </c>
      <c r="AU1137" s="58" t="s">
        <v>521</v>
      </c>
      <c r="AV1137" s="386"/>
      <c r="AW1137" s="23"/>
      <c r="AX1137" s="23"/>
      <c r="AY1137" s="23"/>
      <c r="AZ1137" s="23"/>
      <c r="BA1137" s="23"/>
      <c r="BB1137" s="23"/>
      <c r="BC1137" s="223"/>
      <c r="BD1137" s="223"/>
      <c r="BE1137" s="223"/>
      <c r="BF1137" s="351"/>
      <c r="BG1137" s="351">
        <v>2019</v>
      </c>
      <c r="BH1137" s="504">
        <v>2020</v>
      </c>
      <c r="BI1137" s="271" t="s">
        <v>2375</v>
      </c>
    </row>
    <row r="1138" spans="1:61" s="204" customFormat="1" ht="18" customHeight="1">
      <c r="A1138" s="160" t="s">
        <v>1</v>
      </c>
      <c r="B1138" s="58" t="s">
        <v>320</v>
      </c>
      <c r="C1138" s="66" t="s">
        <v>1099</v>
      </c>
      <c r="D1138" s="33" t="s">
        <v>387</v>
      </c>
      <c r="E1138" s="33"/>
      <c r="F1138" s="33"/>
      <c r="G1138" s="33"/>
      <c r="H1138" s="30" t="s">
        <v>1058</v>
      </c>
      <c r="I1138" s="30">
        <v>100</v>
      </c>
      <c r="J1138" s="212">
        <v>43371</v>
      </c>
      <c r="K1138" s="158"/>
      <c r="L1138" s="158"/>
      <c r="M1138" s="158">
        <v>1</v>
      </c>
      <c r="N1138" s="158">
        <v>1</v>
      </c>
      <c r="O1138" s="23"/>
      <c r="P1138" s="158">
        <v>58294473</v>
      </c>
      <c r="Q1138" s="158"/>
      <c r="R1138" s="158"/>
      <c r="S1138" s="158"/>
      <c r="T1138" s="158"/>
      <c r="U1138" s="225">
        <v>26232513</v>
      </c>
      <c r="V1138" s="158">
        <v>20</v>
      </c>
      <c r="W1138" s="311">
        <v>43586</v>
      </c>
      <c r="X1138" s="311"/>
      <c r="Y1138" s="311"/>
      <c r="Z1138" s="23"/>
      <c r="AA1138" s="158"/>
      <c r="AB1138" s="158"/>
      <c r="AC1138" s="158"/>
      <c r="AD1138" s="158"/>
      <c r="AE1138" s="158"/>
      <c r="AF1138" s="158">
        <f t="shared" si="260"/>
        <v>32061960</v>
      </c>
      <c r="AG1138" s="158"/>
      <c r="AH1138" s="94">
        <v>0</v>
      </c>
      <c r="AI1138" s="94">
        <v>32061960</v>
      </c>
      <c r="AJ1138" s="94"/>
      <c r="AK1138" s="666">
        <f t="shared" si="263"/>
        <v>32061960</v>
      </c>
      <c r="AL1138" s="666">
        <v>877</v>
      </c>
      <c r="AM1138" s="666">
        <v>20</v>
      </c>
      <c r="AN1138" s="158"/>
      <c r="AO1138" s="158">
        <v>1</v>
      </c>
      <c r="AP1138" s="23"/>
      <c r="AQ1138" s="23"/>
      <c r="AR1138" s="23"/>
      <c r="AS1138" s="23"/>
      <c r="AT1138" s="2">
        <v>0.45</v>
      </c>
      <c r="AU1138" s="58" t="s">
        <v>38</v>
      </c>
      <c r="AV1138" s="386" t="s">
        <v>1401</v>
      </c>
      <c r="AW1138" s="23"/>
      <c r="AX1138" s="23"/>
      <c r="AY1138" s="23"/>
      <c r="AZ1138" s="23"/>
      <c r="BA1138" s="23"/>
      <c r="BB1138" s="23"/>
      <c r="BC1138" s="223"/>
      <c r="BD1138" s="223"/>
      <c r="BE1138" s="223"/>
      <c r="BF1138" s="351"/>
      <c r="BG1138" s="351">
        <v>2019</v>
      </c>
      <c r="BH1138" s="504">
        <v>2020</v>
      </c>
      <c r="BI1138" s="271" t="s">
        <v>2375</v>
      </c>
    </row>
    <row r="1139" spans="1:61" s="204" customFormat="1" ht="18" customHeight="1">
      <c r="A1139" s="160" t="s">
        <v>1</v>
      </c>
      <c r="B1139" s="58" t="s">
        <v>320</v>
      </c>
      <c r="C1139" s="66" t="s">
        <v>1100</v>
      </c>
      <c r="D1139" s="33" t="s">
        <v>387</v>
      </c>
      <c r="E1139" s="33"/>
      <c r="F1139" s="33"/>
      <c r="G1139" s="33"/>
      <c r="H1139" s="30" t="s">
        <v>1058</v>
      </c>
      <c r="I1139" s="30">
        <v>105</v>
      </c>
      <c r="J1139" s="212">
        <v>43371</v>
      </c>
      <c r="K1139" s="158"/>
      <c r="L1139" s="158"/>
      <c r="M1139" s="158">
        <v>1</v>
      </c>
      <c r="N1139" s="158">
        <v>1</v>
      </c>
      <c r="O1139" s="23"/>
      <c r="P1139" s="158">
        <v>56106320</v>
      </c>
      <c r="Q1139" s="158"/>
      <c r="R1139" s="158"/>
      <c r="S1139" s="158"/>
      <c r="T1139" s="158"/>
      <c r="U1139" s="225">
        <v>25247844</v>
      </c>
      <c r="V1139" s="158">
        <v>20</v>
      </c>
      <c r="W1139" s="311">
        <v>43586</v>
      </c>
      <c r="X1139" s="311"/>
      <c r="Y1139" s="311"/>
      <c r="Z1139" s="23">
        <v>30858476</v>
      </c>
      <c r="AA1139" s="158">
        <v>20</v>
      </c>
      <c r="AB1139" s="311">
        <v>43770</v>
      </c>
      <c r="AC1139" s="311"/>
      <c r="AD1139" s="158"/>
      <c r="AE1139" s="158"/>
      <c r="AF1139" s="158">
        <f t="shared" si="260"/>
        <v>0</v>
      </c>
      <c r="AG1139" s="158"/>
      <c r="AH1139" s="94">
        <v>0</v>
      </c>
      <c r="AI1139" s="94">
        <v>0</v>
      </c>
      <c r="AJ1139" s="94"/>
      <c r="AK1139" s="158">
        <f t="shared" si="263"/>
        <v>0</v>
      </c>
      <c r="AL1139" s="158">
        <v>877</v>
      </c>
      <c r="AM1139" s="158">
        <v>20</v>
      </c>
      <c r="AN1139" s="158"/>
      <c r="AO1139" s="158">
        <v>1</v>
      </c>
      <c r="AP1139" s="23"/>
      <c r="AQ1139" s="23"/>
      <c r="AR1139" s="23"/>
      <c r="AS1139" s="23"/>
      <c r="AT1139" s="2">
        <v>0.45</v>
      </c>
      <c r="AU1139" s="58" t="s">
        <v>38</v>
      </c>
      <c r="AV1139" s="386" t="s">
        <v>1401</v>
      </c>
      <c r="AW1139" s="23"/>
      <c r="AX1139" s="50"/>
      <c r="AY1139" s="50"/>
      <c r="AZ1139" s="50"/>
      <c r="BA1139" s="50"/>
      <c r="BB1139" s="50"/>
      <c r="BC1139" s="293"/>
      <c r="BD1139" s="293"/>
      <c r="BE1139" s="293"/>
      <c r="BF1139" s="271"/>
      <c r="BG1139" s="271">
        <v>2019</v>
      </c>
      <c r="BH1139" s="430">
        <v>2020</v>
      </c>
      <c r="BI1139" s="271" t="s">
        <v>2375</v>
      </c>
    </row>
    <row r="1140" spans="1:61" s="204" customFormat="1" ht="36" customHeight="1">
      <c r="A1140" s="160" t="s">
        <v>1</v>
      </c>
      <c r="B1140" s="58" t="s">
        <v>320</v>
      </c>
      <c r="C1140" s="66" t="s">
        <v>1101</v>
      </c>
      <c r="D1140" s="33" t="s">
        <v>387</v>
      </c>
      <c r="E1140" s="33"/>
      <c r="F1140" s="33"/>
      <c r="G1140" s="33"/>
      <c r="H1140" s="30" t="s">
        <v>1058</v>
      </c>
      <c r="I1140" s="30">
        <v>125</v>
      </c>
      <c r="J1140" s="212">
        <v>43376</v>
      </c>
      <c r="K1140" s="158"/>
      <c r="L1140" s="158"/>
      <c r="M1140" s="158">
        <v>1</v>
      </c>
      <c r="N1140" s="158">
        <v>1</v>
      </c>
      <c r="O1140" s="158"/>
      <c r="P1140" s="158">
        <v>62534985</v>
      </c>
      <c r="Q1140" s="158"/>
      <c r="R1140" s="158"/>
      <c r="S1140" s="158"/>
      <c r="T1140" s="158"/>
      <c r="U1140" s="225">
        <v>28140743</v>
      </c>
      <c r="V1140" s="158">
        <v>20</v>
      </c>
      <c r="W1140" s="311">
        <v>43647</v>
      </c>
      <c r="X1140" s="311"/>
      <c r="Y1140" s="311"/>
      <c r="Z1140" s="23">
        <v>34394242</v>
      </c>
      <c r="AA1140" s="158">
        <v>20</v>
      </c>
      <c r="AB1140" s="311">
        <v>43800</v>
      </c>
      <c r="AC1140" s="311"/>
      <c r="AD1140" s="158"/>
      <c r="AE1140" s="158"/>
      <c r="AF1140" s="158">
        <f t="shared" si="260"/>
        <v>0</v>
      </c>
      <c r="AG1140" s="158"/>
      <c r="AH1140" s="94">
        <v>0</v>
      </c>
      <c r="AI1140" s="94">
        <v>0</v>
      </c>
      <c r="AJ1140" s="94"/>
      <c r="AK1140" s="158">
        <f t="shared" si="263"/>
        <v>0</v>
      </c>
      <c r="AL1140" s="158">
        <v>877</v>
      </c>
      <c r="AM1140" s="158">
        <v>20</v>
      </c>
      <c r="AN1140" s="158"/>
      <c r="AO1140" s="158">
        <v>1</v>
      </c>
      <c r="AP1140" s="50"/>
      <c r="AQ1140" s="23"/>
      <c r="AR1140" s="23"/>
      <c r="AS1140" s="23"/>
      <c r="AT1140" s="2">
        <v>0.45</v>
      </c>
      <c r="AU1140" s="58" t="s">
        <v>38</v>
      </c>
      <c r="AV1140" s="386" t="s">
        <v>1873</v>
      </c>
      <c r="AW1140" s="23"/>
      <c r="AX1140" s="50"/>
      <c r="AY1140" s="50"/>
      <c r="AZ1140" s="50"/>
      <c r="BA1140" s="50"/>
      <c r="BB1140" s="50"/>
      <c r="BC1140" s="293"/>
      <c r="BD1140" s="293"/>
      <c r="BE1140" s="293"/>
      <c r="BF1140" s="271"/>
      <c r="BG1140" s="271">
        <v>2019</v>
      </c>
      <c r="BH1140" s="430">
        <v>2020</v>
      </c>
      <c r="BI1140" s="271" t="s">
        <v>2375</v>
      </c>
    </row>
    <row r="1141" spans="1:61" ht="15" customHeight="1">
      <c r="A1141" s="160" t="s">
        <v>1</v>
      </c>
      <c r="B1141" s="58" t="s">
        <v>320</v>
      </c>
      <c r="C1141" s="66" t="s">
        <v>1179</v>
      </c>
      <c r="D1141" s="33" t="s">
        <v>1183</v>
      </c>
      <c r="E1141" s="33"/>
      <c r="F1141" s="33"/>
      <c r="G1141" s="33"/>
      <c r="H1141" s="30" t="s">
        <v>647</v>
      </c>
      <c r="I1141" s="30"/>
      <c r="J1141" s="212"/>
      <c r="K1141" s="158"/>
      <c r="L1141" s="158"/>
      <c r="M1141" s="158"/>
      <c r="N1141" s="158"/>
      <c r="O1141" s="158"/>
      <c r="P1141" s="158"/>
      <c r="Q1141" s="158"/>
      <c r="R1141" s="158"/>
      <c r="S1141" s="158"/>
      <c r="T1141" s="158"/>
      <c r="U1141" s="225"/>
      <c r="V1141" s="158"/>
      <c r="W1141" s="311"/>
      <c r="X1141" s="311"/>
      <c r="Y1141" s="311"/>
      <c r="Z1141" s="23"/>
      <c r="AA1141" s="158"/>
      <c r="AB1141" s="158"/>
      <c r="AC1141" s="158"/>
      <c r="AD1141" s="158"/>
      <c r="AE1141" s="158"/>
      <c r="AF1141" s="158"/>
      <c r="AG1141" s="158"/>
      <c r="AH1141" s="158"/>
      <c r="AI1141" s="158"/>
      <c r="AJ1141" s="158"/>
      <c r="AK1141" s="158"/>
      <c r="AL1141" s="158"/>
      <c r="AM1141" s="158"/>
      <c r="AN1141" s="158"/>
      <c r="AO1141" s="158"/>
      <c r="AP1141" s="158"/>
      <c r="AQ1141" s="23"/>
      <c r="AR1141" s="23"/>
      <c r="AS1141" s="23"/>
      <c r="AT1141" s="2">
        <v>1</v>
      </c>
      <c r="AU1141" s="58" t="s">
        <v>646</v>
      </c>
      <c r="AV1141" s="105"/>
      <c r="AW1141" s="23"/>
      <c r="AX1141" s="50"/>
      <c r="AY1141" s="72">
        <v>1</v>
      </c>
      <c r="AZ1141" s="158"/>
      <c r="BA1141" s="158"/>
      <c r="BB1141" s="158">
        <v>1</v>
      </c>
      <c r="BC1141" s="69"/>
      <c r="BD1141" s="69"/>
      <c r="BE1141" s="69"/>
      <c r="BF1141" s="270">
        <v>2018</v>
      </c>
      <c r="BG1141" s="270"/>
      <c r="BH1141" s="268"/>
      <c r="BI1141" s="271" t="s">
        <v>2376</v>
      </c>
    </row>
    <row r="1142" spans="1:61" s="204" customFormat="1" ht="18" customHeight="1">
      <c r="A1142" s="160" t="s">
        <v>1</v>
      </c>
      <c r="B1142" s="58" t="s">
        <v>320</v>
      </c>
      <c r="C1142" s="66" t="s">
        <v>1180</v>
      </c>
      <c r="D1142" s="33" t="s">
        <v>387</v>
      </c>
      <c r="E1142" s="33"/>
      <c r="F1142" s="33"/>
      <c r="G1142" s="33"/>
      <c r="H1142" s="30" t="s">
        <v>647</v>
      </c>
      <c r="I1142" s="30">
        <v>1651</v>
      </c>
      <c r="J1142" s="212">
        <v>43263</v>
      </c>
      <c r="K1142" s="158"/>
      <c r="L1142" s="158"/>
      <c r="M1142" s="158">
        <v>1</v>
      </c>
      <c r="N1142" s="158">
        <v>1</v>
      </c>
      <c r="O1142" s="23"/>
      <c r="P1142" s="158">
        <v>63601392</v>
      </c>
      <c r="Q1142" s="158"/>
      <c r="R1142" s="158"/>
      <c r="S1142" s="158"/>
      <c r="T1142" s="158"/>
      <c r="U1142" s="225">
        <v>28620626</v>
      </c>
      <c r="V1142" s="158">
        <v>10</v>
      </c>
      <c r="W1142" s="311"/>
      <c r="X1142" s="311"/>
      <c r="Y1142" s="311"/>
      <c r="Z1142" s="23">
        <v>34980766</v>
      </c>
      <c r="AA1142" s="158">
        <v>10</v>
      </c>
      <c r="AB1142" s="311">
        <v>43497</v>
      </c>
      <c r="AC1142" s="311"/>
      <c r="AD1142" s="158"/>
      <c r="AE1142" s="158"/>
      <c r="AF1142" s="158">
        <f>P1142-U1142-Z1142</f>
        <v>0</v>
      </c>
      <c r="AG1142" s="158"/>
      <c r="AH1142" s="94">
        <v>0</v>
      </c>
      <c r="AI1142" s="94">
        <v>0</v>
      </c>
      <c r="AJ1142" s="94"/>
      <c r="AK1142" s="158">
        <f>P1142-R1142-U1142-Z1142</f>
        <v>0</v>
      </c>
      <c r="AL1142" s="158">
        <v>877</v>
      </c>
      <c r="AM1142" s="158">
        <v>10</v>
      </c>
      <c r="AN1142" s="158"/>
      <c r="AO1142" s="158">
        <v>1</v>
      </c>
      <c r="AP1142" s="50"/>
      <c r="AQ1142" s="23"/>
      <c r="AR1142" s="23"/>
      <c r="AS1142" s="23"/>
      <c r="AT1142" s="2">
        <v>0.45</v>
      </c>
      <c r="AU1142" s="58" t="s">
        <v>38</v>
      </c>
      <c r="AV1142" s="386" t="s">
        <v>1394</v>
      </c>
      <c r="AW1142" s="23"/>
      <c r="AX1142" s="50"/>
      <c r="AY1142" s="50"/>
      <c r="AZ1142" s="50"/>
      <c r="BA1142" s="50"/>
      <c r="BB1142" s="50"/>
      <c r="BC1142" s="293"/>
      <c r="BD1142" s="293"/>
      <c r="BE1142" s="293"/>
      <c r="BF1142" s="271"/>
      <c r="BG1142" s="271">
        <v>2019</v>
      </c>
      <c r="BH1142" s="430">
        <v>2020</v>
      </c>
      <c r="BI1142" s="271" t="s">
        <v>2375</v>
      </c>
    </row>
    <row r="1143" spans="1:61" ht="21" customHeight="1">
      <c r="A1143" s="160" t="s">
        <v>1</v>
      </c>
      <c r="B1143" s="58" t="s">
        <v>320</v>
      </c>
      <c r="C1143" s="66" t="s">
        <v>1181</v>
      </c>
      <c r="D1143" s="33" t="s">
        <v>1183</v>
      </c>
      <c r="E1143" s="33"/>
      <c r="F1143" s="33"/>
      <c r="G1143" s="33"/>
      <c r="H1143" s="30" t="s">
        <v>647</v>
      </c>
      <c r="I1143" s="30"/>
      <c r="J1143" s="212"/>
      <c r="K1143" s="158"/>
      <c r="L1143" s="158"/>
      <c r="M1143" s="158"/>
      <c r="N1143" s="158"/>
      <c r="O1143" s="158"/>
      <c r="P1143" s="158"/>
      <c r="Q1143" s="158"/>
      <c r="R1143" s="158"/>
      <c r="S1143" s="158"/>
      <c r="T1143" s="158"/>
      <c r="U1143" s="225"/>
      <c r="V1143" s="158"/>
      <c r="W1143" s="311"/>
      <c r="X1143" s="311"/>
      <c r="Y1143" s="311"/>
      <c r="Z1143" s="23"/>
      <c r="AA1143" s="158"/>
      <c r="AB1143" s="158"/>
      <c r="AC1143" s="158"/>
      <c r="AD1143" s="158"/>
      <c r="AE1143" s="158"/>
      <c r="AF1143" s="158"/>
      <c r="AG1143" s="158"/>
      <c r="AH1143" s="158"/>
      <c r="AI1143" s="158"/>
      <c r="AJ1143" s="158"/>
      <c r="AK1143" s="158"/>
      <c r="AL1143" s="158"/>
      <c r="AM1143" s="158"/>
      <c r="AN1143" s="158"/>
      <c r="AO1143" s="158"/>
      <c r="AP1143" s="158"/>
      <c r="AQ1143" s="23"/>
      <c r="AR1143" s="23"/>
      <c r="AS1143" s="23"/>
      <c r="AT1143" s="2">
        <v>1</v>
      </c>
      <c r="AU1143" s="58" t="s">
        <v>646</v>
      </c>
      <c r="AV1143" s="105"/>
      <c r="AW1143" s="23"/>
      <c r="AX1143" s="50"/>
      <c r="AY1143" s="72">
        <v>1</v>
      </c>
      <c r="AZ1143" s="158"/>
      <c r="BA1143" s="158"/>
      <c r="BB1143" s="158">
        <v>1</v>
      </c>
      <c r="BC1143" s="69"/>
      <c r="BD1143" s="69"/>
      <c r="BE1143" s="69"/>
      <c r="BF1143" s="270">
        <v>2018</v>
      </c>
      <c r="BG1143" s="270"/>
      <c r="BH1143" s="268"/>
      <c r="BI1143" s="682" t="s">
        <v>2376</v>
      </c>
    </row>
    <row r="1144" spans="1:61" ht="15" customHeight="1">
      <c r="A1144" s="160" t="s">
        <v>1</v>
      </c>
      <c r="B1144" s="58" t="s">
        <v>320</v>
      </c>
      <c r="C1144" s="66" t="s">
        <v>1182</v>
      </c>
      <c r="D1144" s="33" t="s">
        <v>1183</v>
      </c>
      <c r="E1144" s="33"/>
      <c r="F1144" s="33"/>
      <c r="G1144" s="33"/>
      <c r="H1144" s="30" t="s">
        <v>647</v>
      </c>
      <c r="I1144" s="30"/>
      <c r="J1144" s="212"/>
      <c r="K1144" s="158"/>
      <c r="L1144" s="158"/>
      <c r="M1144" s="158"/>
      <c r="N1144" s="158"/>
      <c r="O1144" s="158"/>
      <c r="P1144" s="158">
        <v>66500000</v>
      </c>
      <c r="Q1144" s="158"/>
      <c r="R1144" s="158"/>
      <c r="S1144" s="158"/>
      <c r="T1144" s="158"/>
      <c r="U1144" s="225">
        <v>66500000</v>
      </c>
      <c r="V1144" s="158">
        <v>10</v>
      </c>
      <c r="W1144" s="311">
        <v>43313</v>
      </c>
      <c r="X1144" s="311"/>
      <c r="Y1144" s="311"/>
      <c r="Z1144" s="23"/>
      <c r="AA1144" s="158"/>
      <c r="AB1144" s="158"/>
      <c r="AC1144" s="158"/>
      <c r="AD1144" s="158"/>
      <c r="AE1144" s="158"/>
      <c r="AF1144" s="158"/>
      <c r="AG1144" s="158"/>
      <c r="AH1144" s="158"/>
      <c r="AI1144" s="158"/>
      <c r="AJ1144" s="158"/>
      <c r="AK1144" s="158"/>
      <c r="AL1144" s="158"/>
      <c r="AM1144" s="158"/>
      <c r="AN1144" s="158"/>
      <c r="AO1144" s="158"/>
      <c r="AP1144" s="158"/>
      <c r="AQ1144" s="23"/>
      <c r="AR1144" s="23"/>
      <c r="AS1144" s="23"/>
      <c r="AT1144" s="2">
        <v>1</v>
      </c>
      <c r="AU1144" s="58" t="s">
        <v>646</v>
      </c>
      <c r="AV1144" s="105"/>
      <c r="AW1144" s="23"/>
      <c r="AX1144" s="50"/>
      <c r="AY1144" s="72">
        <v>1</v>
      </c>
      <c r="AZ1144" s="158"/>
      <c r="BA1144" s="158"/>
      <c r="BB1144" s="158">
        <v>1</v>
      </c>
      <c r="BC1144" s="69"/>
      <c r="BD1144" s="69"/>
      <c r="BE1144" s="69"/>
      <c r="BF1144" s="270">
        <v>2018</v>
      </c>
      <c r="BG1144" s="270"/>
      <c r="BH1144" s="268"/>
      <c r="BI1144" s="682" t="s">
        <v>2376</v>
      </c>
    </row>
    <row r="1145" spans="1:61" ht="15" customHeight="1">
      <c r="A1145" s="160" t="s">
        <v>1</v>
      </c>
      <c r="B1145" s="58" t="s">
        <v>320</v>
      </c>
      <c r="C1145" s="66" t="s">
        <v>1185</v>
      </c>
      <c r="D1145" s="33" t="s">
        <v>1183</v>
      </c>
      <c r="E1145" s="33"/>
      <c r="F1145" s="33"/>
      <c r="G1145" s="33"/>
      <c r="H1145" s="30" t="s">
        <v>647</v>
      </c>
      <c r="I1145" s="30"/>
      <c r="J1145" s="212"/>
      <c r="K1145" s="158"/>
      <c r="L1145" s="158"/>
      <c r="M1145" s="158"/>
      <c r="N1145" s="158"/>
      <c r="O1145" s="158"/>
      <c r="P1145" s="158">
        <v>69313957</v>
      </c>
      <c r="Q1145" s="158"/>
      <c r="R1145" s="158"/>
      <c r="S1145" s="158"/>
      <c r="T1145" s="158"/>
      <c r="U1145" s="225">
        <v>69313957</v>
      </c>
      <c r="V1145" s="158">
        <v>10</v>
      </c>
      <c r="W1145" s="311">
        <v>43344</v>
      </c>
      <c r="X1145" s="311"/>
      <c r="Y1145" s="311"/>
      <c r="Z1145" s="23"/>
      <c r="AA1145" s="158"/>
      <c r="AB1145" s="158"/>
      <c r="AC1145" s="158"/>
      <c r="AD1145" s="158"/>
      <c r="AE1145" s="158"/>
      <c r="AF1145" s="158"/>
      <c r="AG1145" s="158"/>
      <c r="AH1145" s="158"/>
      <c r="AI1145" s="158"/>
      <c r="AJ1145" s="158"/>
      <c r="AK1145" s="158"/>
      <c r="AL1145" s="158">
        <v>877</v>
      </c>
      <c r="AM1145" s="158">
        <v>10</v>
      </c>
      <c r="AN1145" s="158"/>
      <c r="AO1145" s="158"/>
      <c r="AP1145" s="158"/>
      <c r="AQ1145" s="23"/>
      <c r="AR1145" s="23"/>
      <c r="AS1145" s="23"/>
      <c r="AT1145" s="2">
        <v>1</v>
      </c>
      <c r="AU1145" s="58" t="s">
        <v>646</v>
      </c>
      <c r="AV1145" s="105"/>
      <c r="AW1145" s="23"/>
      <c r="AX1145" s="50"/>
      <c r="AY1145" s="72">
        <v>1</v>
      </c>
      <c r="AZ1145" s="158"/>
      <c r="BA1145" s="158"/>
      <c r="BB1145" s="158">
        <v>1</v>
      </c>
      <c r="BC1145" s="69"/>
      <c r="BD1145" s="69"/>
      <c r="BE1145" s="69"/>
      <c r="BF1145" s="270">
        <v>2018</v>
      </c>
      <c r="BG1145" s="270"/>
      <c r="BH1145" s="268"/>
      <c r="BI1145" s="682" t="s">
        <v>2376</v>
      </c>
    </row>
    <row r="1146" spans="1:61" s="204" customFormat="1" ht="18" customHeight="1">
      <c r="A1146" s="230" t="s">
        <v>1</v>
      </c>
      <c r="B1146" s="58" t="s">
        <v>320</v>
      </c>
      <c r="C1146" s="66" t="s">
        <v>1186</v>
      </c>
      <c r="D1146" s="33" t="s">
        <v>1936</v>
      </c>
      <c r="E1146" s="33"/>
      <c r="F1146" s="33"/>
      <c r="G1146" s="33"/>
      <c r="H1146" s="30" t="s">
        <v>647</v>
      </c>
      <c r="I1146" s="30">
        <v>746</v>
      </c>
      <c r="J1146" s="212">
        <v>41782</v>
      </c>
      <c r="K1146" s="158"/>
      <c r="L1146" s="677"/>
      <c r="M1146" s="158">
        <v>1</v>
      </c>
      <c r="N1146" s="158">
        <v>1</v>
      </c>
      <c r="O1146" s="158"/>
      <c r="P1146" s="158">
        <v>74651266</v>
      </c>
      <c r="Q1146" s="158"/>
      <c r="R1146" s="158"/>
      <c r="S1146" s="158"/>
      <c r="T1146" s="158"/>
      <c r="U1146" s="225"/>
      <c r="V1146" s="158"/>
      <c r="W1146" s="311"/>
      <c r="X1146" s="311"/>
      <c r="Y1146" s="311"/>
      <c r="Z1146" s="23"/>
      <c r="AA1146" s="158"/>
      <c r="AB1146" s="158"/>
      <c r="AC1146" s="158"/>
      <c r="AD1146" s="158"/>
      <c r="AE1146" s="158"/>
      <c r="AF1146" s="158">
        <f t="shared" ref="AF1146:AF1160" si="264">P1146-U1146-Z1146</f>
        <v>74651266</v>
      </c>
      <c r="AG1146" s="158"/>
      <c r="AH1146" s="94">
        <v>0</v>
      </c>
      <c r="AI1146" s="94">
        <v>74651266</v>
      </c>
      <c r="AJ1146" s="94"/>
      <c r="AK1146" s="75">
        <f t="shared" ref="AK1146:AK1147" si="265">P1146-R1146-U1146-Z1146</f>
        <v>74651266</v>
      </c>
      <c r="AL1146" s="158">
        <v>877</v>
      </c>
      <c r="AM1146" s="158">
        <v>10</v>
      </c>
      <c r="AN1146" s="158">
        <v>1</v>
      </c>
      <c r="AO1146" s="158"/>
      <c r="AP1146" s="158"/>
      <c r="AQ1146" s="23"/>
      <c r="AR1146" s="23"/>
      <c r="AS1146" s="23"/>
      <c r="AT1146" s="2">
        <v>0</v>
      </c>
      <c r="AU1146" s="58" t="s">
        <v>521</v>
      </c>
      <c r="AV1146" s="591" t="s">
        <v>2353</v>
      </c>
      <c r="AW1146" s="23"/>
      <c r="AX1146" s="50"/>
      <c r="AY1146" s="158"/>
      <c r="AZ1146" s="158"/>
      <c r="BA1146" s="158"/>
      <c r="BB1146" s="158"/>
      <c r="BC1146" s="69"/>
      <c r="BD1146" s="69"/>
      <c r="BE1146" s="69"/>
      <c r="BF1146" s="271"/>
      <c r="BG1146" s="271">
        <v>2019</v>
      </c>
      <c r="BH1146" s="271">
        <v>2020</v>
      </c>
      <c r="BI1146" s="271" t="s">
        <v>2375</v>
      </c>
    </row>
    <row r="1147" spans="1:61" s="204" customFormat="1" ht="18" customHeight="1">
      <c r="A1147" s="160" t="s">
        <v>1</v>
      </c>
      <c r="B1147" s="58" t="s">
        <v>320</v>
      </c>
      <c r="C1147" s="66" t="s">
        <v>1187</v>
      </c>
      <c r="D1147" s="33" t="s">
        <v>438</v>
      </c>
      <c r="E1147" s="33"/>
      <c r="F1147" s="33"/>
      <c r="G1147" s="33"/>
      <c r="H1147" s="30" t="s">
        <v>1116</v>
      </c>
      <c r="I1147" s="78">
        <v>304</v>
      </c>
      <c r="J1147" s="212">
        <v>43404</v>
      </c>
      <c r="K1147" s="158"/>
      <c r="L1147" s="158"/>
      <c r="M1147" s="158">
        <v>1</v>
      </c>
      <c r="N1147" s="158">
        <v>1</v>
      </c>
      <c r="O1147" s="23"/>
      <c r="P1147" s="158">
        <v>77562674</v>
      </c>
      <c r="Q1147" s="158"/>
      <c r="R1147" s="158"/>
      <c r="S1147" s="158"/>
      <c r="T1147" s="158"/>
      <c r="U1147" s="225"/>
      <c r="V1147" s="158"/>
      <c r="W1147" s="311"/>
      <c r="X1147" s="311"/>
      <c r="Y1147" s="311"/>
      <c r="Z1147" s="214"/>
      <c r="AA1147" s="221"/>
      <c r="AB1147" s="221"/>
      <c r="AC1147" s="221"/>
      <c r="AD1147" s="221"/>
      <c r="AE1147" s="158"/>
      <c r="AF1147" s="158">
        <f t="shared" si="264"/>
        <v>77562674</v>
      </c>
      <c r="AG1147" s="158"/>
      <c r="AH1147" s="94">
        <v>0</v>
      </c>
      <c r="AI1147" s="94">
        <v>77562674</v>
      </c>
      <c r="AJ1147" s="94"/>
      <c r="AK1147" s="666">
        <f t="shared" si="265"/>
        <v>77562674</v>
      </c>
      <c r="AL1147" s="666">
        <v>877</v>
      </c>
      <c r="AM1147" s="666">
        <v>20</v>
      </c>
      <c r="AN1147" s="158">
        <v>1</v>
      </c>
      <c r="AO1147" s="158"/>
      <c r="AP1147" s="23"/>
      <c r="AQ1147" s="23"/>
      <c r="AR1147" s="23"/>
      <c r="AS1147" s="23"/>
      <c r="AT1147" s="2">
        <v>0</v>
      </c>
      <c r="AU1147" s="58" t="s">
        <v>521</v>
      </c>
      <c r="AV1147" s="386"/>
      <c r="AW1147" s="23"/>
      <c r="AX1147" s="23"/>
      <c r="AY1147" s="23"/>
      <c r="AZ1147" s="23"/>
      <c r="BA1147" s="23"/>
      <c r="BB1147" s="23"/>
      <c r="BC1147" s="223"/>
      <c r="BD1147" s="223"/>
      <c r="BE1147" s="223"/>
      <c r="BF1147" s="351"/>
      <c r="BG1147" s="351">
        <v>2019</v>
      </c>
      <c r="BH1147" s="351">
        <v>2020</v>
      </c>
      <c r="BI1147" s="271" t="s">
        <v>2375</v>
      </c>
    </row>
    <row r="1148" spans="1:61" ht="18" customHeight="1">
      <c r="A1148" s="160" t="s">
        <v>1</v>
      </c>
      <c r="B1148" s="58" t="s">
        <v>320</v>
      </c>
      <c r="C1148" s="66" t="s">
        <v>1188</v>
      </c>
      <c r="D1148" s="33" t="s">
        <v>438</v>
      </c>
      <c r="E1148" s="33"/>
      <c r="F1148" s="33"/>
      <c r="G1148" s="33"/>
      <c r="H1148" s="30" t="s">
        <v>1116</v>
      </c>
      <c r="I1148" s="228" t="s">
        <v>1776</v>
      </c>
      <c r="J1148" s="215" t="s">
        <v>1777</v>
      </c>
      <c r="K1148" s="158"/>
      <c r="L1148" s="158"/>
      <c r="M1148" s="158">
        <v>1</v>
      </c>
      <c r="N1148" s="158"/>
      <c r="O1148" s="158"/>
      <c r="P1148" s="158">
        <f>76000000+3800000</f>
        <v>79800000</v>
      </c>
      <c r="Q1148" s="158"/>
      <c r="R1148" s="158"/>
      <c r="S1148" s="158"/>
      <c r="T1148" s="158"/>
      <c r="U1148" s="225">
        <f>76000000+3800000</f>
        <v>79800000</v>
      </c>
      <c r="V1148" s="158">
        <v>20</v>
      </c>
      <c r="W1148" s="311">
        <v>43770</v>
      </c>
      <c r="X1148" s="311"/>
      <c r="Y1148" s="311"/>
      <c r="Z1148" s="214"/>
      <c r="AA1148" s="221"/>
      <c r="AB1148" s="221"/>
      <c r="AC1148" s="221"/>
      <c r="AD1148" s="221"/>
      <c r="AE1148" s="158"/>
      <c r="AF1148" s="158">
        <f t="shared" si="264"/>
        <v>0</v>
      </c>
      <c r="AG1148" s="158"/>
      <c r="AH1148" s="94">
        <v>0</v>
      </c>
      <c r="AI1148" s="94">
        <v>0</v>
      </c>
      <c r="AJ1148" s="94"/>
      <c r="AK1148" s="158">
        <f t="shared" ref="AK1148:AK1160" si="266">AF1148+AH1148</f>
        <v>0</v>
      </c>
      <c r="AL1148" s="158">
        <v>877</v>
      </c>
      <c r="AM1148" s="158">
        <v>20</v>
      </c>
      <c r="AN1148" s="158"/>
      <c r="AO1148" s="158"/>
      <c r="AP1148" s="158"/>
      <c r="AQ1148" s="23"/>
      <c r="AR1148" s="23"/>
      <c r="AS1148" s="23"/>
      <c r="AT1148" s="2">
        <v>1</v>
      </c>
      <c r="AU1148" s="58" t="s">
        <v>646</v>
      </c>
      <c r="AV1148" s="388" t="s">
        <v>1956</v>
      </c>
      <c r="AW1148" s="23"/>
      <c r="AX1148" s="50"/>
      <c r="AY1148" s="50"/>
      <c r="AZ1148" s="23">
        <v>1</v>
      </c>
      <c r="BA1148" s="23"/>
      <c r="BB1148" s="23"/>
      <c r="BC1148" s="23"/>
      <c r="BD1148" s="23">
        <v>1</v>
      </c>
      <c r="BE1148" s="293"/>
      <c r="BF1148" s="270">
        <v>2019</v>
      </c>
      <c r="BG1148" s="270">
        <v>2019</v>
      </c>
      <c r="BH1148" s="271"/>
      <c r="BI1148" s="271" t="s">
        <v>2375</v>
      </c>
    </row>
    <row r="1149" spans="1:61" ht="18" customHeight="1">
      <c r="A1149" s="160" t="s">
        <v>1</v>
      </c>
      <c r="B1149" s="58" t="s">
        <v>320</v>
      </c>
      <c r="C1149" s="66" t="s">
        <v>1189</v>
      </c>
      <c r="D1149" s="33" t="s">
        <v>438</v>
      </c>
      <c r="E1149" s="33"/>
      <c r="F1149" s="33"/>
      <c r="G1149" s="33"/>
      <c r="H1149" s="30" t="s">
        <v>1116</v>
      </c>
      <c r="I1149" s="228" t="s">
        <v>1790</v>
      </c>
      <c r="J1149" s="215" t="s">
        <v>1791</v>
      </c>
      <c r="K1149" s="158"/>
      <c r="L1149" s="158"/>
      <c r="M1149" s="158">
        <v>1</v>
      </c>
      <c r="N1149" s="158"/>
      <c r="O1149" s="158"/>
      <c r="P1149" s="158">
        <v>56700000</v>
      </c>
      <c r="Q1149" s="158"/>
      <c r="R1149" s="158"/>
      <c r="S1149" s="158"/>
      <c r="T1149" s="158"/>
      <c r="U1149" s="225">
        <v>56700000</v>
      </c>
      <c r="V1149" s="158">
        <v>20</v>
      </c>
      <c r="W1149" s="311">
        <v>43770</v>
      </c>
      <c r="X1149" s="311"/>
      <c r="Y1149" s="311"/>
      <c r="Z1149" s="214"/>
      <c r="AA1149" s="221"/>
      <c r="AB1149" s="221"/>
      <c r="AC1149" s="221"/>
      <c r="AD1149" s="221"/>
      <c r="AE1149" s="158"/>
      <c r="AF1149" s="158">
        <f t="shared" si="264"/>
        <v>0</v>
      </c>
      <c r="AG1149" s="158"/>
      <c r="AH1149" s="94">
        <v>0</v>
      </c>
      <c r="AI1149" s="94">
        <v>0</v>
      </c>
      <c r="AJ1149" s="94"/>
      <c r="AK1149" s="158">
        <f t="shared" si="266"/>
        <v>0</v>
      </c>
      <c r="AL1149" s="158">
        <v>877</v>
      </c>
      <c r="AM1149" s="158">
        <v>20</v>
      </c>
      <c r="AN1149" s="158"/>
      <c r="AO1149" s="158"/>
      <c r="AP1149" s="158"/>
      <c r="AQ1149" s="23"/>
      <c r="AR1149" s="23"/>
      <c r="AS1149" s="23"/>
      <c r="AT1149" s="2">
        <v>1</v>
      </c>
      <c r="AU1149" s="58" t="s">
        <v>646</v>
      </c>
      <c r="AV1149" s="388" t="s">
        <v>1957</v>
      </c>
      <c r="AW1149" s="23"/>
      <c r="AX1149" s="50"/>
      <c r="AY1149" s="50"/>
      <c r="AZ1149" s="23">
        <v>1</v>
      </c>
      <c r="BA1149" s="23"/>
      <c r="BB1149" s="50"/>
      <c r="BC1149" s="50"/>
      <c r="BD1149" s="23">
        <v>1</v>
      </c>
      <c r="BE1149" s="293"/>
      <c r="BF1149" s="270">
        <v>2019</v>
      </c>
      <c r="BG1149" s="270">
        <v>2019</v>
      </c>
      <c r="BH1149" s="271"/>
      <c r="BI1149" s="271" t="s">
        <v>2375</v>
      </c>
    </row>
    <row r="1150" spans="1:61" ht="18" customHeight="1">
      <c r="A1150" s="160" t="s">
        <v>1</v>
      </c>
      <c r="B1150" s="58" t="s">
        <v>320</v>
      </c>
      <c r="C1150" s="66" t="s">
        <v>1190</v>
      </c>
      <c r="D1150" s="33" t="s">
        <v>438</v>
      </c>
      <c r="E1150" s="33"/>
      <c r="F1150" s="33"/>
      <c r="G1150" s="33"/>
      <c r="H1150" s="30" t="s">
        <v>1116</v>
      </c>
      <c r="I1150" s="78">
        <v>307</v>
      </c>
      <c r="J1150" s="212">
        <v>43404</v>
      </c>
      <c r="K1150" s="158"/>
      <c r="L1150" s="158">
        <v>1</v>
      </c>
      <c r="M1150" s="158"/>
      <c r="N1150" s="158"/>
      <c r="O1150" s="158"/>
      <c r="P1150" s="158">
        <v>76000000</v>
      </c>
      <c r="Q1150" s="158"/>
      <c r="R1150" s="158"/>
      <c r="S1150" s="158"/>
      <c r="T1150" s="158"/>
      <c r="U1150" s="225">
        <v>76000000</v>
      </c>
      <c r="V1150" s="158">
        <v>10</v>
      </c>
      <c r="W1150" s="311">
        <v>43647</v>
      </c>
      <c r="X1150" s="311"/>
      <c r="Y1150" s="311"/>
      <c r="Z1150" s="214"/>
      <c r="AA1150" s="221"/>
      <c r="AB1150" s="221"/>
      <c r="AC1150" s="221"/>
      <c r="AD1150" s="221"/>
      <c r="AE1150" s="158"/>
      <c r="AF1150" s="158">
        <f t="shared" si="264"/>
        <v>0</v>
      </c>
      <c r="AG1150" s="158"/>
      <c r="AH1150" s="94">
        <v>0</v>
      </c>
      <c r="AI1150" s="94">
        <v>0</v>
      </c>
      <c r="AJ1150" s="94"/>
      <c r="AK1150" s="158">
        <f t="shared" si="266"/>
        <v>0</v>
      </c>
      <c r="AL1150" s="158">
        <v>877</v>
      </c>
      <c r="AM1150" s="158">
        <v>10</v>
      </c>
      <c r="AN1150" s="158"/>
      <c r="AO1150" s="158"/>
      <c r="AP1150" s="23"/>
      <c r="AQ1150" s="23"/>
      <c r="AR1150" s="23"/>
      <c r="AS1150" s="23"/>
      <c r="AT1150" s="2">
        <v>1</v>
      </c>
      <c r="AU1150" s="58" t="s">
        <v>646</v>
      </c>
      <c r="AV1150" s="388" t="s">
        <v>1715</v>
      </c>
      <c r="AW1150" s="23"/>
      <c r="AX1150" s="50"/>
      <c r="AY1150" s="50"/>
      <c r="AZ1150" s="23">
        <v>1</v>
      </c>
      <c r="BA1150" s="23"/>
      <c r="BB1150" s="50"/>
      <c r="BC1150" s="50"/>
      <c r="BD1150" s="23">
        <v>1</v>
      </c>
      <c r="BE1150" s="23"/>
      <c r="BF1150" s="270">
        <v>2019</v>
      </c>
      <c r="BG1150" s="270">
        <v>2019</v>
      </c>
      <c r="BH1150" s="271"/>
      <c r="BI1150" s="271" t="s">
        <v>2375</v>
      </c>
    </row>
    <row r="1151" spans="1:61" s="204" customFormat="1" ht="18" customHeight="1">
      <c r="A1151" s="160" t="s">
        <v>1</v>
      </c>
      <c r="B1151" s="58" t="s">
        <v>320</v>
      </c>
      <c r="C1151" s="66" t="s">
        <v>1191</v>
      </c>
      <c r="D1151" s="33" t="s">
        <v>438</v>
      </c>
      <c r="E1151" s="33"/>
      <c r="F1151" s="33"/>
      <c r="G1151" s="33"/>
      <c r="H1151" s="30" t="s">
        <v>1116</v>
      </c>
      <c r="I1151" s="78">
        <v>309</v>
      </c>
      <c r="J1151" s="212">
        <v>43404</v>
      </c>
      <c r="K1151" s="158"/>
      <c r="L1151" s="158"/>
      <c r="M1151" s="158">
        <v>1</v>
      </c>
      <c r="N1151" s="158">
        <v>1</v>
      </c>
      <c r="O1151" s="23"/>
      <c r="P1151" s="158">
        <v>76000000</v>
      </c>
      <c r="Q1151" s="158"/>
      <c r="R1151" s="158"/>
      <c r="S1151" s="158"/>
      <c r="T1151" s="158"/>
      <c r="U1151" s="225"/>
      <c r="V1151" s="158"/>
      <c r="W1151" s="311"/>
      <c r="X1151" s="311"/>
      <c r="Y1151" s="311"/>
      <c r="Z1151" s="214"/>
      <c r="AA1151" s="221"/>
      <c r="AB1151" s="294"/>
      <c r="AC1151" s="294"/>
      <c r="AD1151" s="294"/>
      <c r="AE1151" s="158"/>
      <c r="AF1151" s="158">
        <f t="shared" si="264"/>
        <v>76000000</v>
      </c>
      <c r="AG1151" s="158"/>
      <c r="AH1151" s="94">
        <v>0</v>
      </c>
      <c r="AI1151" s="94">
        <v>76000000</v>
      </c>
      <c r="AJ1151" s="94"/>
      <c r="AK1151" s="666">
        <f>P1151-R1151-U1151-Z1151</f>
        <v>76000000</v>
      </c>
      <c r="AL1151" s="666">
        <v>877</v>
      </c>
      <c r="AM1151" s="666">
        <v>20</v>
      </c>
      <c r="AN1151" s="158">
        <v>1</v>
      </c>
      <c r="AO1151" s="158"/>
      <c r="AP1151" s="23"/>
      <c r="AQ1151" s="23"/>
      <c r="AR1151" s="23"/>
      <c r="AS1151" s="23"/>
      <c r="AT1151" s="2">
        <v>0</v>
      </c>
      <c r="AU1151" s="58" t="s">
        <v>521</v>
      </c>
      <c r="AV1151" s="386"/>
      <c r="AW1151" s="23"/>
      <c r="AX1151" s="23"/>
      <c r="AY1151" s="23"/>
      <c r="AZ1151" s="23"/>
      <c r="BA1151" s="23"/>
      <c r="BB1151" s="23"/>
      <c r="BC1151" s="223"/>
      <c r="BD1151" s="223"/>
      <c r="BE1151" s="223"/>
      <c r="BF1151" s="351"/>
      <c r="BG1151" s="351">
        <v>2019</v>
      </c>
      <c r="BH1151" s="351">
        <v>2020</v>
      </c>
      <c r="BI1151" s="271" t="s">
        <v>2375</v>
      </c>
    </row>
    <row r="1152" spans="1:61" ht="18" customHeight="1">
      <c r="A1152" s="243" t="s">
        <v>1</v>
      </c>
      <c r="B1152" s="58" t="s">
        <v>320</v>
      </c>
      <c r="C1152" s="66" t="s">
        <v>1192</v>
      </c>
      <c r="D1152" s="33" t="s">
        <v>438</v>
      </c>
      <c r="E1152" s="33"/>
      <c r="F1152" s="33"/>
      <c r="G1152" s="33"/>
      <c r="H1152" s="30" t="s">
        <v>1116</v>
      </c>
      <c r="I1152" s="30">
        <v>333</v>
      </c>
      <c r="J1152" s="212">
        <v>43406</v>
      </c>
      <c r="K1152" s="23"/>
      <c r="L1152" s="23">
        <v>1</v>
      </c>
      <c r="M1152" s="158"/>
      <c r="N1152" s="158"/>
      <c r="O1152" s="158"/>
      <c r="P1152" s="158">
        <v>76000000</v>
      </c>
      <c r="Q1152" s="158"/>
      <c r="R1152" s="158"/>
      <c r="S1152" s="158"/>
      <c r="T1152" s="158"/>
      <c r="U1152" s="225">
        <v>76000000</v>
      </c>
      <c r="V1152" s="158">
        <v>10</v>
      </c>
      <c r="W1152" s="311">
        <v>43586</v>
      </c>
      <c r="X1152" s="311"/>
      <c r="Y1152" s="311"/>
      <c r="Z1152" s="214"/>
      <c r="AA1152" s="214"/>
      <c r="AB1152" s="214"/>
      <c r="AC1152" s="214"/>
      <c r="AD1152" s="214"/>
      <c r="AE1152" s="158"/>
      <c r="AF1152" s="158">
        <f t="shared" si="264"/>
        <v>0</v>
      </c>
      <c r="AG1152" s="158"/>
      <c r="AH1152" s="94">
        <v>0</v>
      </c>
      <c r="AI1152" s="94">
        <v>0</v>
      </c>
      <c r="AJ1152" s="94"/>
      <c r="AK1152" s="158">
        <f t="shared" si="266"/>
        <v>0</v>
      </c>
      <c r="AL1152" s="158">
        <v>877</v>
      </c>
      <c r="AM1152" s="158">
        <v>10</v>
      </c>
      <c r="AN1152" s="158"/>
      <c r="AO1152" s="158"/>
      <c r="AP1152" s="23"/>
      <c r="AQ1152" s="23"/>
      <c r="AR1152" s="23"/>
      <c r="AS1152" s="23"/>
      <c r="AT1152" s="2">
        <v>1</v>
      </c>
      <c r="AU1152" s="58" t="s">
        <v>646</v>
      </c>
      <c r="AV1152" s="386" t="s">
        <v>1395</v>
      </c>
      <c r="AW1152" s="23"/>
      <c r="AX1152" s="50"/>
      <c r="AY1152" s="50"/>
      <c r="AZ1152" s="23">
        <v>1</v>
      </c>
      <c r="BA1152" s="23"/>
      <c r="BB1152" s="50"/>
      <c r="BC1152" s="293"/>
      <c r="BD1152" s="223">
        <v>1</v>
      </c>
      <c r="BE1152" s="223"/>
      <c r="BF1152" s="270">
        <v>2019</v>
      </c>
      <c r="BG1152" s="270">
        <v>2019</v>
      </c>
      <c r="BH1152" s="271"/>
      <c r="BI1152" s="271" t="s">
        <v>2375</v>
      </c>
    </row>
    <row r="1153" spans="1:61" s="204" customFormat="1" ht="18" customHeight="1">
      <c r="A1153" s="160" t="s">
        <v>1</v>
      </c>
      <c r="B1153" s="58" t="s">
        <v>320</v>
      </c>
      <c r="C1153" s="66" t="s">
        <v>1193</v>
      </c>
      <c r="D1153" s="33" t="s">
        <v>438</v>
      </c>
      <c r="E1153" s="33"/>
      <c r="F1153" s="33"/>
      <c r="G1153" s="33"/>
      <c r="H1153" s="30" t="s">
        <v>1116</v>
      </c>
      <c r="I1153" s="78">
        <v>334</v>
      </c>
      <c r="J1153" s="212">
        <v>43406</v>
      </c>
      <c r="K1153" s="158"/>
      <c r="L1153" s="158"/>
      <c r="M1153" s="158">
        <v>1</v>
      </c>
      <c r="N1153" s="158">
        <v>1</v>
      </c>
      <c r="O1153" s="23"/>
      <c r="P1153" s="158">
        <v>76950000</v>
      </c>
      <c r="Q1153" s="158"/>
      <c r="R1153" s="158"/>
      <c r="S1153" s="158"/>
      <c r="T1153" s="158"/>
      <c r="U1153" s="225">
        <v>76950000</v>
      </c>
      <c r="V1153" s="158">
        <v>20</v>
      </c>
      <c r="W1153" s="311">
        <v>43800</v>
      </c>
      <c r="X1153" s="311"/>
      <c r="Y1153" s="311"/>
      <c r="Z1153" s="214"/>
      <c r="AA1153" s="221"/>
      <c r="AB1153" s="221"/>
      <c r="AC1153" s="221"/>
      <c r="AD1153" s="221"/>
      <c r="AE1153" s="158"/>
      <c r="AF1153" s="158">
        <f t="shared" si="264"/>
        <v>0</v>
      </c>
      <c r="AG1153" s="158"/>
      <c r="AH1153" s="94">
        <v>0</v>
      </c>
      <c r="AI1153" s="94">
        <v>0</v>
      </c>
      <c r="AJ1153" s="94"/>
      <c r="AK1153" s="158">
        <f>P1153-R1153-U1153-Z1153</f>
        <v>0</v>
      </c>
      <c r="AL1153" s="158">
        <v>877</v>
      </c>
      <c r="AM1153" s="158">
        <v>20</v>
      </c>
      <c r="AN1153" s="158"/>
      <c r="AO1153" s="158"/>
      <c r="AP1153" s="690">
        <v>1</v>
      </c>
      <c r="AQ1153" s="23"/>
      <c r="AR1153" s="23"/>
      <c r="AS1153" s="23"/>
      <c r="AT1153" s="2">
        <v>1</v>
      </c>
      <c r="AU1153" s="58" t="s">
        <v>646</v>
      </c>
      <c r="AV1153" s="386" t="s">
        <v>1969</v>
      </c>
      <c r="AW1153" s="23"/>
      <c r="AX1153" s="50"/>
      <c r="AY1153" s="50"/>
      <c r="AZ1153" s="50"/>
      <c r="BA1153" s="671">
        <v>1</v>
      </c>
      <c r="BB1153" s="50"/>
      <c r="BC1153" s="293"/>
      <c r="BD1153" s="223">
        <v>1</v>
      </c>
      <c r="BE1153" s="293"/>
      <c r="BF1153" s="271">
        <v>2020</v>
      </c>
      <c r="BG1153" s="271">
        <v>2019</v>
      </c>
      <c r="BH1153" s="271">
        <v>2020</v>
      </c>
      <c r="BI1153" s="271" t="s">
        <v>2375</v>
      </c>
    </row>
    <row r="1154" spans="1:61" ht="18" customHeight="1">
      <c r="A1154" s="160" t="s">
        <v>1</v>
      </c>
      <c r="B1154" s="58" t="s">
        <v>320</v>
      </c>
      <c r="C1154" s="66" t="s">
        <v>1194</v>
      </c>
      <c r="D1154" s="33" t="s">
        <v>438</v>
      </c>
      <c r="E1154" s="33"/>
      <c r="F1154" s="33"/>
      <c r="G1154" s="33"/>
      <c r="H1154" s="30" t="s">
        <v>1116</v>
      </c>
      <c r="I1154" s="78">
        <v>339</v>
      </c>
      <c r="J1154" s="212">
        <v>43406</v>
      </c>
      <c r="K1154" s="158"/>
      <c r="L1154" s="23">
        <v>1</v>
      </c>
      <c r="M1154" s="158"/>
      <c r="N1154" s="158"/>
      <c r="O1154" s="158"/>
      <c r="P1154" s="158">
        <v>66800000</v>
      </c>
      <c r="Q1154" s="158"/>
      <c r="R1154" s="158"/>
      <c r="S1154" s="158"/>
      <c r="T1154" s="158"/>
      <c r="U1154" s="225">
        <v>66800000</v>
      </c>
      <c r="V1154" s="158">
        <v>10</v>
      </c>
      <c r="W1154" s="311">
        <v>43647</v>
      </c>
      <c r="X1154" s="311"/>
      <c r="Y1154" s="311"/>
      <c r="Z1154" s="214"/>
      <c r="AA1154" s="221"/>
      <c r="AB1154" s="221"/>
      <c r="AC1154" s="221"/>
      <c r="AD1154" s="221"/>
      <c r="AE1154" s="158"/>
      <c r="AF1154" s="158">
        <f t="shared" si="264"/>
        <v>0</v>
      </c>
      <c r="AG1154" s="158"/>
      <c r="AH1154" s="94">
        <v>0</v>
      </c>
      <c r="AI1154" s="94">
        <v>0</v>
      </c>
      <c r="AJ1154" s="94"/>
      <c r="AK1154" s="158">
        <f t="shared" si="266"/>
        <v>0</v>
      </c>
      <c r="AL1154" s="158">
        <v>877</v>
      </c>
      <c r="AM1154" s="158">
        <v>10</v>
      </c>
      <c r="AN1154" s="158"/>
      <c r="AO1154" s="158"/>
      <c r="AP1154" s="23"/>
      <c r="AQ1154" s="23"/>
      <c r="AR1154" s="23"/>
      <c r="AS1154" s="23"/>
      <c r="AT1154" s="2">
        <v>1</v>
      </c>
      <c r="AU1154" s="58" t="s">
        <v>646</v>
      </c>
      <c r="AV1154" s="386" t="s">
        <v>1716</v>
      </c>
      <c r="AW1154" s="23"/>
      <c r="AX1154" s="50"/>
      <c r="AY1154" s="50"/>
      <c r="AZ1154" s="23">
        <v>1</v>
      </c>
      <c r="BA1154" s="23"/>
      <c r="BB1154" s="50"/>
      <c r="BC1154" s="50"/>
      <c r="BD1154" s="23">
        <v>1</v>
      </c>
      <c r="BE1154" s="23"/>
      <c r="BF1154" s="270">
        <v>2019</v>
      </c>
      <c r="BG1154" s="270">
        <v>2019</v>
      </c>
      <c r="BH1154" s="271"/>
      <c r="BI1154" s="271" t="s">
        <v>2375</v>
      </c>
    </row>
    <row r="1155" spans="1:61" s="204" customFormat="1" ht="18" customHeight="1">
      <c r="A1155" s="160" t="s">
        <v>1</v>
      </c>
      <c r="B1155" s="58" t="s">
        <v>320</v>
      </c>
      <c r="C1155" s="66" t="s">
        <v>1195</v>
      </c>
      <c r="D1155" s="33" t="s">
        <v>387</v>
      </c>
      <c r="E1155" s="33"/>
      <c r="F1155" s="33"/>
      <c r="G1155" s="33"/>
      <c r="H1155" s="30" t="s">
        <v>1116</v>
      </c>
      <c r="I1155" s="78">
        <v>455</v>
      </c>
      <c r="J1155" s="212">
        <v>43423</v>
      </c>
      <c r="K1155" s="158"/>
      <c r="L1155" s="158"/>
      <c r="M1155" s="158">
        <v>1</v>
      </c>
      <c r="N1155" s="158">
        <v>1</v>
      </c>
      <c r="O1155" s="23"/>
      <c r="P1155" s="158">
        <v>63601392</v>
      </c>
      <c r="Q1155" s="158"/>
      <c r="R1155" s="158"/>
      <c r="S1155" s="158"/>
      <c r="T1155" s="158"/>
      <c r="U1155" s="225">
        <v>28620626</v>
      </c>
      <c r="V1155" s="158">
        <v>20</v>
      </c>
      <c r="W1155" s="311">
        <v>43800</v>
      </c>
      <c r="X1155" s="311"/>
      <c r="Y1155" s="311"/>
      <c r="Z1155" s="214">
        <v>34980766</v>
      </c>
      <c r="AA1155" s="158">
        <v>20</v>
      </c>
      <c r="AB1155" s="311">
        <v>44011</v>
      </c>
      <c r="AC1155" s="221"/>
      <c r="AD1155" s="221"/>
      <c r="AE1155" s="158"/>
      <c r="AF1155" s="158">
        <f t="shared" si="264"/>
        <v>0</v>
      </c>
      <c r="AG1155" s="158"/>
      <c r="AH1155" s="94">
        <v>0</v>
      </c>
      <c r="AI1155" s="94">
        <v>34980766</v>
      </c>
      <c r="AJ1155" s="94"/>
      <c r="AK1155" s="666">
        <f t="shared" ref="AK1155:AK1156" si="267">P1155-R1155-U1155-Z1155</f>
        <v>0</v>
      </c>
      <c r="AL1155" s="666">
        <v>877</v>
      </c>
      <c r="AM1155" s="666">
        <v>20</v>
      </c>
      <c r="AN1155" s="158"/>
      <c r="AO1155" s="158">
        <v>1</v>
      </c>
      <c r="AP1155" s="23"/>
      <c r="AQ1155" s="23"/>
      <c r="AR1155" s="23"/>
      <c r="AS1155" s="23"/>
      <c r="AT1155" s="2">
        <v>0.45</v>
      </c>
      <c r="AU1155" s="58" t="s">
        <v>38</v>
      </c>
      <c r="AV1155" s="386"/>
      <c r="AW1155" s="23"/>
      <c r="AX1155" s="23"/>
      <c r="AY1155" s="23"/>
      <c r="AZ1155" s="23"/>
      <c r="BA1155" s="23"/>
      <c r="BB1155" s="23"/>
      <c r="BC1155" s="223"/>
      <c r="BD1155" s="223"/>
      <c r="BE1155" s="223"/>
      <c r="BF1155" s="351"/>
      <c r="BG1155" s="351">
        <v>2019</v>
      </c>
      <c r="BH1155" s="504">
        <v>2020</v>
      </c>
      <c r="BI1155" s="271" t="s">
        <v>2375</v>
      </c>
    </row>
    <row r="1156" spans="1:61" s="204" customFormat="1" ht="18" customHeight="1">
      <c r="A1156" s="160" t="s">
        <v>1</v>
      </c>
      <c r="B1156" s="58" t="s">
        <v>320</v>
      </c>
      <c r="C1156" s="66" t="s">
        <v>1196</v>
      </c>
      <c r="D1156" s="33" t="s">
        <v>387</v>
      </c>
      <c r="E1156" s="33"/>
      <c r="F1156" s="33"/>
      <c r="G1156" s="33"/>
      <c r="H1156" s="30" t="s">
        <v>1116</v>
      </c>
      <c r="I1156" s="78">
        <v>453</v>
      </c>
      <c r="J1156" s="212">
        <v>43423</v>
      </c>
      <c r="K1156" s="158"/>
      <c r="L1156" s="158"/>
      <c r="M1156" s="158">
        <v>1</v>
      </c>
      <c r="N1156" s="158">
        <v>1</v>
      </c>
      <c r="O1156" s="23"/>
      <c r="P1156" s="158">
        <v>63555000</v>
      </c>
      <c r="Q1156" s="158"/>
      <c r="R1156" s="158"/>
      <c r="S1156" s="158"/>
      <c r="T1156" s="158"/>
      <c r="U1156" s="225">
        <v>28599750</v>
      </c>
      <c r="V1156" s="158">
        <v>20</v>
      </c>
      <c r="W1156" s="311">
        <v>43800</v>
      </c>
      <c r="X1156" s="311"/>
      <c r="Y1156" s="311"/>
      <c r="Z1156" s="214">
        <v>34955250</v>
      </c>
      <c r="AA1156" s="158">
        <v>20</v>
      </c>
      <c r="AB1156" s="311">
        <v>44011</v>
      </c>
      <c r="AC1156" s="294"/>
      <c r="AD1156" s="294"/>
      <c r="AE1156" s="158"/>
      <c r="AF1156" s="158">
        <f t="shared" si="264"/>
        <v>0</v>
      </c>
      <c r="AG1156" s="158"/>
      <c r="AH1156" s="94">
        <v>0</v>
      </c>
      <c r="AI1156" s="94">
        <v>34955250</v>
      </c>
      <c r="AJ1156" s="94"/>
      <c r="AK1156" s="666">
        <f t="shared" si="267"/>
        <v>0</v>
      </c>
      <c r="AL1156" s="666">
        <v>877</v>
      </c>
      <c r="AM1156" s="666">
        <v>20</v>
      </c>
      <c r="AN1156" s="158"/>
      <c r="AO1156" s="158">
        <v>1</v>
      </c>
      <c r="AP1156" s="23"/>
      <c r="AQ1156" s="23"/>
      <c r="AR1156" s="23"/>
      <c r="AS1156" s="23"/>
      <c r="AT1156" s="2">
        <v>0.45</v>
      </c>
      <c r="AU1156" s="58" t="s">
        <v>38</v>
      </c>
      <c r="AV1156" s="386"/>
      <c r="AW1156" s="23"/>
      <c r="AX1156" s="23"/>
      <c r="AY1156" s="23"/>
      <c r="AZ1156" s="23"/>
      <c r="BA1156" s="23"/>
      <c r="BB1156" s="23"/>
      <c r="BC1156" s="223"/>
      <c r="BD1156" s="223"/>
      <c r="BE1156" s="223"/>
      <c r="BF1156" s="351"/>
      <c r="BG1156" s="351">
        <v>2019</v>
      </c>
      <c r="BH1156" s="504">
        <v>2020</v>
      </c>
      <c r="BI1156" s="271" t="s">
        <v>2375</v>
      </c>
    </row>
    <row r="1157" spans="1:61" ht="18" customHeight="1">
      <c r="A1157" s="160" t="s">
        <v>1</v>
      </c>
      <c r="B1157" s="58" t="s">
        <v>320</v>
      </c>
      <c r="C1157" s="66" t="s">
        <v>1197</v>
      </c>
      <c r="D1157" s="33" t="s">
        <v>438</v>
      </c>
      <c r="E1157" s="33"/>
      <c r="F1157" s="33"/>
      <c r="G1157" s="33"/>
      <c r="H1157" s="30" t="s">
        <v>1116</v>
      </c>
      <c r="I1157" s="30">
        <v>338</v>
      </c>
      <c r="J1157" s="212">
        <v>43406</v>
      </c>
      <c r="K1157" s="23"/>
      <c r="L1157" s="23">
        <v>1</v>
      </c>
      <c r="M1157" s="158"/>
      <c r="N1157" s="158"/>
      <c r="O1157" s="158"/>
      <c r="P1157" s="158">
        <v>77425000</v>
      </c>
      <c r="Q1157" s="158"/>
      <c r="R1157" s="158"/>
      <c r="S1157" s="158"/>
      <c r="T1157" s="158"/>
      <c r="U1157" s="225">
        <v>77425000</v>
      </c>
      <c r="V1157" s="158">
        <v>10</v>
      </c>
      <c r="W1157" s="311">
        <v>43586</v>
      </c>
      <c r="X1157" s="311"/>
      <c r="Y1157" s="311"/>
      <c r="Z1157" s="214"/>
      <c r="AA1157" s="214"/>
      <c r="AB1157" s="214"/>
      <c r="AC1157" s="214"/>
      <c r="AD1157" s="214"/>
      <c r="AE1157" s="158"/>
      <c r="AF1157" s="158">
        <f t="shared" si="264"/>
        <v>0</v>
      </c>
      <c r="AG1157" s="158"/>
      <c r="AH1157" s="94">
        <v>0</v>
      </c>
      <c r="AI1157" s="94">
        <v>0</v>
      </c>
      <c r="AJ1157" s="94"/>
      <c r="AK1157" s="158">
        <f t="shared" si="266"/>
        <v>0</v>
      </c>
      <c r="AL1157" s="158">
        <v>877</v>
      </c>
      <c r="AM1157" s="158">
        <v>10</v>
      </c>
      <c r="AN1157" s="158"/>
      <c r="AO1157" s="158"/>
      <c r="AP1157" s="23"/>
      <c r="AQ1157" s="23"/>
      <c r="AR1157" s="23"/>
      <c r="AS1157" s="23"/>
      <c r="AT1157" s="2">
        <v>1</v>
      </c>
      <c r="AU1157" s="58" t="s">
        <v>646</v>
      </c>
      <c r="AV1157" s="386" t="s">
        <v>1396</v>
      </c>
      <c r="AW1157" s="23"/>
      <c r="AX1157" s="50"/>
      <c r="AY1157" s="50"/>
      <c r="AZ1157" s="23">
        <v>1</v>
      </c>
      <c r="BA1157" s="23"/>
      <c r="BB1157" s="50"/>
      <c r="BC1157" s="293"/>
      <c r="BD1157" s="223">
        <v>1</v>
      </c>
      <c r="BE1157" s="223"/>
      <c r="BF1157" s="270">
        <v>2019</v>
      </c>
      <c r="BG1157" s="270">
        <v>2019</v>
      </c>
      <c r="BH1157" s="271"/>
      <c r="BI1157" s="271" t="s">
        <v>2375</v>
      </c>
    </row>
    <row r="1158" spans="1:61" s="204" customFormat="1" ht="18" customHeight="1">
      <c r="A1158" s="160" t="s">
        <v>1</v>
      </c>
      <c r="B1158" s="58" t="s">
        <v>320</v>
      </c>
      <c r="C1158" s="66" t="s">
        <v>1198</v>
      </c>
      <c r="D1158" s="33" t="s">
        <v>438</v>
      </c>
      <c r="E1158" s="33"/>
      <c r="F1158" s="33"/>
      <c r="G1158" s="33"/>
      <c r="H1158" s="30" t="s">
        <v>1116</v>
      </c>
      <c r="I1158" s="78">
        <v>372</v>
      </c>
      <c r="J1158" s="212">
        <v>43411</v>
      </c>
      <c r="K1158" s="158"/>
      <c r="L1158" s="158"/>
      <c r="M1158" s="158">
        <v>1</v>
      </c>
      <c r="N1158" s="158">
        <v>1</v>
      </c>
      <c r="O1158" s="23"/>
      <c r="P1158" s="158">
        <v>76000000</v>
      </c>
      <c r="Q1158" s="158"/>
      <c r="R1158" s="158"/>
      <c r="S1158" s="158"/>
      <c r="T1158" s="158"/>
      <c r="U1158" s="225">
        <v>76000000</v>
      </c>
      <c r="V1158" s="158">
        <v>20</v>
      </c>
      <c r="W1158" s="311">
        <v>43920</v>
      </c>
      <c r="X1158" s="311"/>
      <c r="Y1158" s="311"/>
      <c r="Z1158" s="214"/>
      <c r="AA1158" s="221"/>
      <c r="AB1158" s="214"/>
      <c r="AC1158" s="214"/>
      <c r="AD1158" s="214"/>
      <c r="AE1158" s="158"/>
      <c r="AF1158" s="158">
        <f>P1158</f>
        <v>76000000</v>
      </c>
      <c r="AG1158" s="158"/>
      <c r="AH1158" s="94">
        <v>0</v>
      </c>
      <c r="AI1158" s="94">
        <v>76000000</v>
      </c>
      <c r="AJ1158" s="94"/>
      <c r="AK1158" s="666">
        <f>P1158-R1158-U1158-Z1158</f>
        <v>0</v>
      </c>
      <c r="AL1158" s="666">
        <v>877</v>
      </c>
      <c r="AM1158" s="666">
        <v>20</v>
      </c>
      <c r="AN1158" s="158"/>
      <c r="AO1158" s="158"/>
      <c r="AP1158" s="23">
        <v>1</v>
      </c>
      <c r="AQ1158" s="23"/>
      <c r="AR1158" s="23"/>
      <c r="AS1158" s="23"/>
      <c r="AT1158" s="2">
        <v>1</v>
      </c>
      <c r="AU1158" s="58" t="s">
        <v>646</v>
      </c>
      <c r="AV1158" s="386"/>
      <c r="AW1158" s="23"/>
      <c r="AX1158" s="23"/>
      <c r="AY1158" s="23"/>
      <c r="AZ1158" s="23"/>
      <c r="BA1158" s="671">
        <v>1</v>
      </c>
      <c r="BB1158" s="23"/>
      <c r="BC1158" s="223"/>
      <c r="BD1158" s="223">
        <v>1</v>
      </c>
      <c r="BE1158" s="223"/>
      <c r="BF1158" s="351">
        <v>2020</v>
      </c>
      <c r="BG1158" s="351">
        <v>2019</v>
      </c>
      <c r="BH1158" s="504">
        <v>2020</v>
      </c>
      <c r="BI1158" s="271" t="s">
        <v>2375</v>
      </c>
    </row>
    <row r="1159" spans="1:61" ht="18" customHeight="1">
      <c r="A1159" s="248" t="s">
        <v>1</v>
      </c>
      <c r="B1159" s="58" t="s">
        <v>320</v>
      </c>
      <c r="C1159" s="264" t="s">
        <v>1199</v>
      </c>
      <c r="D1159" s="33" t="s">
        <v>438</v>
      </c>
      <c r="E1159" s="33"/>
      <c r="F1159" s="33"/>
      <c r="G1159" s="33"/>
      <c r="H1159" s="30" t="s">
        <v>1116</v>
      </c>
      <c r="I1159" s="30">
        <v>371</v>
      </c>
      <c r="J1159" s="212">
        <v>43411</v>
      </c>
      <c r="K1159" s="23"/>
      <c r="L1159" s="23">
        <v>1</v>
      </c>
      <c r="M1159" s="158"/>
      <c r="N1159" s="158"/>
      <c r="O1159" s="158"/>
      <c r="P1159" s="158">
        <v>76000000</v>
      </c>
      <c r="Q1159" s="158"/>
      <c r="R1159" s="158"/>
      <c r="S1159" s="158"/>
      <c r="T1159" s="158"/>
      <c r="U1159" s="225">
        <v>76000000</v>
      </c>
      <c r="V1159" s="158">
        <v>10</v>
      </c>
      <c r="W1159" s="311">
        <v>43586</v>
      </c>
      <c r="X1159" s="311"/>
      <c r="Y1159" s="311"/>
      <c r="Z1159" s="214"/>
      <c r="AA1159" s="214"/>
      <c r="AB1159" s="214"/>
      <c r="AC1159" s="214"/>
      <c r="AD1159" s="214"/>
      <c r="AE1159" s="158"/>
      <c r="AF1159" s="158">
        <f t="shared" si="264"/>
        <v>0</v>
      </c>
      <c r="AG1159" s="158"/>
      <c r="AH1159" s="94">
        <v>0</v>
      </c>
      <c r="AI1159" s="94">
        <v>0</v>
      </c>
      <c r="AJ1159" s="94"/>
      <c r="AK1159" s="158">
        <f t="shared" si="266"/>
        <v>0</v>
      </c>
      <c r="AL1159" s="158">
        <v>877</v>
      </c>
      <c r="AM1159" s="158">
        <v>10</v>
      </c>
      <c r="AN1159" s="158"/>
      <c r="AO1159" s="158"/>
      <c r="AP1159" s="23"/>
      <c r="AQ1159" s="23"/>
      <c r="AR1159" s="23"/>
      <c r="AS1159" s="23"/>
      <c r="AT1159" s="2">
        <v>1</v>
      </c>
      <c r="AU1159" s="58" t="s">
        <v>646</v>
      </c>
      <c r="AV1159" s="386" t="s">
        <v>1397</v>
      </c>
      <c r="AW1159" s="23"/>
      <c r="AX1159" s="50"/>
      <c r="AY1159" s="50"/>
      <c r="AZ1159" s="23">
        <v>1</v>
      </c>
      <c r="BA1159" s="23"/>
      <c r="BB1159" s="50"/>
      <c r="BC1159" s="293"/>
      <c r="BD1159" s="223">
        <v>1</v>
      </c>
      <c r="BE1159" s="223"/>
      <c r="BF1159" s="270">
        <v>2019</v>
      </c>
      <c r="BG1159" s="270">
        <v>2019</v>
      </c>
      <c r="BH1159" s="271"/>
      <c r="BI1159" s="271" t="s">
        <v>2375</v>
      </c>
    </row>
    <row r="1160" spans="1:61" ht="18" customHeight="1">
      <c r="A1160" s="160" t="s">
        <v>1</v>
      </c>
      <c r="B1160" s="58" t="s">
        <v>320</v>
      </c>
      <c r="C1160" s="66" t="s">
        <v>1200</v>
      </c>
      <c r="D1160" s="33" t="s">
        <v>1936</v>
      </c>
      <c r="E1160" s="33"/>
      <c r="F1160" s="33"/>
      <c r="G1160" s="33"/>
      <c r="H1160" s="30" t="s">
        <v>1116</v>
      </c>
      <c r="I1160" s="30">
        <v>308</v>
      </c>
      <c r="J1160" s="212">
        <v>43404</v>
      </c>
      <c r="K1160" s="23"/>
      <c r="L1160" s="23">
        <v>1</v>
      </c>
      <c r="M1160" s="158"/>
      <c r="N1160" s="158"/>
      <c r="O1160" s="158"/>
      <c r="P1160" s="158">
        <v>76000000</v>
      </c>
      <c r="Q1160" s="158"/>
      <c r="R1160" s="158"/>
      <c r="S1160" s="158"/>
      <c r="T1160" s="158"/>
      <c r="U1160" s="225">
        <v>76000000</v>
      </c>
      <c r="V1160" s="158">
        <v>10</v>
      </c>
      <c r="W1160" s="311">
        <v>43586</v>
      </c>
      <c r="X1160" s="311"/>
      <c r="Y1160" s="311"/>
      <c r="Z1160" s="214"/>
      <c r="AA1160" s="214"/>
      <c r="AB1160" s="214"/>
      <c r="AC1160" s="214"/>
      <c r="AD1160" s="214"/>
      <c r="AE1160" s="158"/>
      <c r="AF1160" s="158">
        <f t="shared" si="264"/>
        <v>0</v>
      </c>
      <c r="AG1160" s="158"/>
      <c r="AH1160" s="94">
        <v>0</v>
      </c>
      <c r="AI1160" s="94">
        <v>0</v>
      </c>
      <c r="AJ1160" s="94"/>
      <c r="AK1160" s="158">
        <f t="shared" si="266"/>
        <v>0</v>
      </c>
      <c r="AL1160" s="158">
        <v>877</v>
      </c>
      <c r="AM1160" s="158">
        <v>10</v>
      </c>
      <c r="AN1160" s="158"/>
      <c r="AO1160" s="158"/>
      <c r="AP1160" s="23"/>
      <c r="AQ1160" s="23"/>
      <c r="AR1160" s="23"/>
      <c r="AS1160" s="23"/>
      <c r="AT1160" s="2">
        <v>1</v>
      </c>
      <c r="AU1160" s="58" t="s">
        <v>646</v>
      </c>
      <c r="AV1160" s="386" t="s">
        <v>1397</v>
      </c>
      <c r="AW1160" s="23"/>
      <c r="AX1160" s="50"/>
      <c r="AY1160" s="50"/>
      <c r="AZ1160" s="23">
        <v>1</v>
      </c>
      <c r="BA1160" s="23"/>
      <c r="BB1160" s="50"/>
      <c r="BC1160" s="293"/>
      <c r="BD1160" s="223">
        <v>1</v>
      </c>
      <c r="BE1160" s="223"/>
      <c r="BF1160" s="270">
        <v>2019</v>
      </c>
      <c r="BG1160" s="270">
        <v>2019</v>
      </c>
      <c r="BH1160" s="271"/>
      <c r="BI1160" s="271" t="s">
        <v>2375</v>
      </c>
    </row>
    <row r="1161" spans="1:61" ht="15" customHeight="1">
      <c r="A1161" s="160" t="s">
        <v>1</v>
      </c>
      <c r="B1161" s="58" t="s">
        <v>320</v>
      </c>
      <c r="C1161" s="66" t="s">
        <v>977</v>
      </c>
      <c r="D1161" s="33" t="s">
        <v>1183</v>
      </c>
      <c r="E1161" s="33"/>
      <c r="F1161" s="33"/>
      <c r="G1161" s="33"/>
      <c r="H1161" s="30" t="s">
        <v>655</v>
      </c>
      <c r="I1161" s="30"/>
      <c r="J1161" s="212"/>
      <c r="K1161" s="158"/>
      <c r="L1161" s="158"/>
      <c r="M1161" s="158"/>
      <c r="N1161" s="158"/>
      <c r="O1161" s="158"/>
      <c r="P1161" s="158"/>
      <c r="Q1161" s="158"/>
      <c r="R1161" s="158"/>
      <c r="S1161" s="158"/>
      <c r="T1161" s="158"/>
      <c r="U1161" s="225"/>
      <c r="V1161" s="158"/>
      <c r="W1161" s="311"/>
      <c r="X1161" s="311"/>
      <c r="Y1161" s="311"/>
      <c r="Z1161" s="158"/>
      <c r="AA1161" s="158"/>
      <c r="AB1161" s="158"/>
      <c r="AC1161" s="158"/>
      <c r="AD1161" s="158"/>
      <c r="AE1161" s="158"/>
      <c r="AF1161" s="158"/>
      <c r="AG1161" s="158"/>
      <c r="AH1161" s="158"/>
      <c r="AI1161" s="158"/>
      <c r="AJ1161" s="158"/>
      <c r="AK1161" s="158"/>
      <c r="AL1161" s="158"/>
      <c r="AM1161" s="158"/>
      <c r="AN1161" s="158"/>
      <c r="AO1161" s="158"/>
      <c r="AP1161" s="158"/>
      <c r="AQ1161" s="23"/>
      <c r="AR1161" s="23"/>
      <c r="AS1161" s="23"/>
      <c r="AT1161" s="2">
        <v>1</v>
      </c>
      <c r="AU1161" s="58" t="s">
        <v>646</v>
      </c>
      <c r="AV1161" s="105"/>
      <c r="AW1161" s="23"/>
      <c r="AX1161" s="50"/>
      <c r="AY1161" s="72">
        <v>1</v>
      </c>
      <c r="AZ1161" s="158"/>
      <c r="BA1161" s="158"/>
      <c r="BB1161" s="158">
        <v>1</v>
      </c>
      <c r="BC1161" s="69"/>
      <c r="BD1161" s="69"/>
      <c r="BE1161" s="69"/>
      <c r="BF1161" s="270">
        <v>2018</v>
      </c>
      <c r="BG1161" s="270"/>
      <c r="BH1161" s="268"/>
      <c r="BI1161" s="271" t="s">
        <v>2376</v>
      </c>
    </row>
    <row r="1162" spans="1:61" ht="15" customHeight="1">
      <c r="A1162" s="160" t="s">
        <v>1</v>
      </c>
      <c r="B1162" s="58" t="s">
        <v>320</v>
      </c>
      <c r="C1162" s="66" t="s">
        <v>1206</v>
      </c>
      <c r="D1162" s="33" t="s">
        <v>1183</v>
      </c>
      <c r="E1162" s="33"/>
      <c r="F1162" s="33"/>
      <c r="G1162" s="33"/>
      <c r="H1162" s="30" t="s">
        <v>663</v>
      </c>
      <c r="I1162" s="30"/>
      <c r="J1162" s="212"/>
      <c r="K1162" s="158"/>
      <c r="L1162" s="158"/>
      <c r="M1162" s="158"/>
      <c r="N1162" s="158"/>
      <c r="O1162" s="158"/>
      <c r="P1162" s="158"/>
      <c r="Q1162" s="158"/>
      <c r="R1162" s="158"/>
      <c r="S1162" s="158"/>
      <c r="T1162" s="158"/>
      <c r="U1162" s="225"/>
      <c r="V1162" s="158"/>
      <c r="W1162" s="311"/>
      <c r="X1162" s="311"/>
      <c r="Y1162" s="311"/>
      <c r="Z1162" s="158"/>
      <c r="AA1162" s="158"/>
      <c r="AB1162" s="158"/>
      <c r="AC1162" s="158"/>
      <c r="AD1162" s="158"/>
      <c r="AE1162" s="158"/>
      <c r="AF1162" s="158"/>
      <c r="AG1162" s="158"/>
      <c r="AH1162" s="158"/>
      <c r="AI1162" s="158"/>
      <c r="AJ1162" s="158"/>
      <c r="AK1162" s="158"/>
      <c r="AL1162" s="158"/>
      <c r="AM1162" s="158"/>
      <c r="AN1162" s="158"/>
      <c r="AO1162" s="158"/>
      <c r="AP1162" s="158"/>
      <c r="AQ1162" s="23"/>
      <c r="AR1162" s="23"/>
      <c r="AS1162" s="23"/>
      <c r="AT1162" s="2">
        <v>1</v>
      </c>
      <c r="AU1162" s="58" t="s">
        <v>646</v>
      </c>
      <c r="AV1162" s="105"/>
      <c r="AW1162" s="23"/>
      <c r="AX1162" s="50"/>
      <c r="AY1162" s="72">
        <v>1</v>
      </c>
      <c r="AZ1162" s="158"/>
      <c r="BA1162" s="158"/>
      <c r="BB1162" s="158">
        <v>1</v>
      </c>
      <c r="BC1162" s="69"/>
      <c r="BD1162" s="69"/>
      <c r="BE1162" s="69"/>
      <c r="BF1162" s="270">
        <v>2018</v>
      </c>
      <c r="BG1162" s="270"/>
      <c r="BH1162" s="268"/>
      <c r="BI1162" s="271" t="s">
        <v>2376</v>
      </c>
    </row>
    <row r="1163" spans="1:61" ht="15" customHeight="1">
      <c r="A1163" s="160" t="s">
        <v>1</v>
      </c>
      <c r="B1163" s="58" t="s">
        <v>320</v>
      </c>
      <c r="C1163" s="66" t="s">
        <v>1207</v>
      </c>
      <c r="D1163" s="33" t="s">
        <v>1183</v>
      </c>
      <c r="E1163" s="33"/>
      <c r="F1163" s="33"/>
      <c r="G1163" s="33"/>
      <c r="H1163" s="30" t="s">
        <v>657</v>
      </c>
      <c r="I1163" s="30"/>
      <c r="J1163" s="212"/>
      <c r="K1163" s="158"/>
      <c r="L1163" s="158"/>
      <c r="M1163" s="158"/>
      <c r="N1163" s="158"/>
      <c r="O1163" s="158"/>
      <c r="P1163" s="158"/>
      <c r="Q1163" s="158"/>
      <c r="R1163" s="158"/>
      <c r="S1163" s="158"/>
      <c r="T1163" s="158"/>
      <c r="U1163" s="225"/>
      <c r="V1163" s="158"/>
      <c r="W1163" s="311"/>
      <c r="X1163" s="311"/>
      <c r="Y1163" s="311"/>
      <c r="Z1163" s="158"/>
      <c r="AA1163" s="158"/>
      <c r="AB1163" s="158"/>
      <c r="AC1163" s="158"/>
      <c r="AD1163" s="158"/>
      <c r="AE1163" s="158"/>
      <c r="AF1163" s="158"/>
      <c r="AG1163" s="158"/>
      <c r="AH1163" s="158"/>
      <c r="AI1163" s="158"/>
      <c r="AJ1163" s="158"/>
      <c r="AK1163" s="158"/>
      <c r="AL1163" s="158"/>
      <c r="AM1163" s="158"/>
      <c r="AN1163" s="158"/>
      <c r="AO1163" s="158"/>
      <c r="AP1163" s="158"/>
      <c r="AQ1163" s="23"/>
      <c r="AR1163" s="23"/>
      <c r="AS1163" s="23"/>
      <c r="AT1163" s="2">
        <v>1</v>
      </c>
      <c r="AU1163" s="58" t="s">
        <v>646</v>
      </c>
      <c r="AV1163" s="105"/>
      <c r="AW1163" s="23"/>
      <c r="AX1163" s="50"/>
      <c r="AY1163" s="72">
        <v>1</v>
      </c>
      <c r="AZ1163" s="158"/>
      <c r="BA1163" s="158"/>
      <c r="BB1163" s="158">
        <v>1</v>
      </c>
      <c r="BC1163" s="69"/>
      <c r="BD1163" s="69"/>
      <c r="BE1163" s="69"/>
      <c r="BF1163" s="270">
        <v>2018</v>
      </c>
      <c r="BG1163" s="270"/>
      <c r="BH1163" s="268"/>
      <c r="BI1163" s="271" t="s">
        <v>2376</v>
      </c>
    </row>
    <row r="1164" spans="1:61" ht="18" customHeight="1">
      <c r="A1164" s="230" t="s">
        <v>1</v>
      </c>
      <c r="B1164" s="58" t="s">
        <v>320</v>
      </c>
      <c r="C1164" s="241" t="s">
        <v>1220</v>
      </c>
      <c r="D1164" s="33" t="s">
        <v>1936</v>
      </c>
      <c r="E1164" s="33"/>
      <c r="F1164" s="33"/>
      <c r="G1164" s="33"/>
      <c r="H1164" s="30" t="s">
        <v>647</v>
      </c>
      <c r="I1164" s="228" t="s">
        <v>1699</v>
      </c>
      <c r="J1164" s="215" t="s">
        <v>1698</v>
      </c>
      <c r="K1164" s="23"/>
      <c r="L1164" s="23">
        <v>1</v>
      </c>
      <c r="M1164" s="158"/>
      <c r="N1164" s="158"/>
      <c r="O1164" s="158"/>
      <c r="P1164" s="158">
        <v>61288248</v>
      </c>
      <c r="Q1164" s="158"/>
      <c r="R1164" s="158"/>
      <c r="S1164" s="158"/>
      <c r="T1164" s="158"/>
      <c r="U1164" s="225">
        <v>61288248</v>
      </c>
      <c r="V1164" s="158">
        <v>10</v>
      </c>
      <c r="W1164" s="311">
        <v>43497</v>
      </c>
      <c r="X1164" s="311"/>
      <c r="Y1164" s="311"/>
      <c r="Z1164" s="158"/>
      <c r="AA1164" s="158"/>
      <c r="AB1164" s="5"/>
      <c r="AC1164" s="5"/>
      <c r="AD1164" s="5"/>
      <c r="AE1164" s="158"/>
      <c r="AF1164" s="158">
        <f t="shared" ref="AF1164:AF1227" si="268">P1164-U1164-Z1164</f>
        <v>0</v>
      </c>
      <c r="AG1164" s="158"/>
      <c r="AH1164" s="94">
        <v>0</v>
      </c>
      <c r="AI1164" s="94">
        <v>0</v>
      </c>
      <c r="AJ1164" s="94"/>
      <c r="AK1164" s="158">
        <f t="shared" ref="AK1164:AK1226" si="269">AF1164+AH1164</f>
        <v>0</v>
      </c>
      <c r="AL1164" s="158">
        <v>877</v>
      </c>
      <c r="AM1164" s="158">
        <v>10</v>
      </c>
      <c r="AN1164" s="158"/>
      <c r="AO1164" s="158"/>
      <c r="AP1164" s="158"/>
      <c r="AQ1164" s="23"/>
      <c r="AR1164" s="23"/>
      <c r="AS1164" s="23"/>
      <c r="AT1164" s="2">
        <v>1</v>
      </c>
      <c r="AU1164" s="58" t="s">
        <v>646</v>
      </c>
      <c r="AV1164" s="386" t="s">
        <v>1398</v>
      </c>
      <c r="AW1164" s="23"/>
      <c r="AX1164" s="50"/>
      <c r="AY1164" s="158"/>
      <c r="AZ1164" s="23">
        <v>1</v>
      </c>
      <c r="BA1164" s="23"/>
      <c r="BB1164" s="158"/>
      <c r="BC1164" s="69"/>
      <c r="BD1164" s="223">
        <v>1</v>
      </c>
      <c r="BE1164" s="223"/>
      <c r="BF1164" s="270">
        <v>2019</v>
      </c>
      <c r="BG1164" s="270">
        <v>2019</v>
      </c>
      <c r="BH1164" s="271"/>
      <c r="BI1164" s="271" t="s">
        <v>2375</v>
      </c>
    </row>
    <row r="1165" spans="1:61" s="204" customFormat="1" ht="18" customHeight="1">
      <c r="A1165" s="160" t="s">
        <v>1</v>
      </c>
      <c r="B1165" s="58" t="s">
        <v>320</v>
      </c>
      <c r="C1165" s="66" t="s">
        <v>1221</v>
      </c>
      <c r="D1165" s="33" t="s">
        <v>387</v>
      </c>
      <c r="E1165" s="33"/>
      <c r="F1165" s="33"/>
      <c r="G1165" s="33"/>
      <c r="H1165" s="30" t="s">
        <v>647</v>
      </c>
      <c r="I1165" s="115" t="s">
        <v>1916</v>
      </c>
      <c r="J1165" s="215" t="s">
        <v>1917</v>
      </c>
      <c r="K1165" s="158"/>
      <c r="L1165" s="158"/>
      <c r="M1165" s="158">
        <v>1</v>
      </c>
      <c r="N1165" s="158">
        <v>1</v>
      </c>
      <c r="O1165" s="23"/>
      <c r="P1165" s="158">
        <v>63032547</v>
      </c>
      <c r="Q1165" s="158"/>
      <c r="R1165" s="158"/>
      <c r="S1165" s="158"/>
      <c r="T1165" s="158"/>
      <c r="U1165" s="225">
        <v>28364646</v>
      </c>
      <c r="V1165" s="158">
        <v>10</v>
      </c>
      <c r="W1165" s="311">
        <v>43497</v>
      </c>
      <c r="X1165" s="311"/>
      <c r="Y1165" s="311"/>
      <c r="Z1165" s="158">
        <v>34667901</v>
      </c>
      <c r="AA1165" s="69">
        <v>20</v>
      </c>
      <c r="AB1165" s="311">
        <v>43800</v>
      </c>
      <c r="AC1165" s="577"/>
      <c r="AD1165" s="69"/>
      <c r="AE1165" s="158"/>
      <c r="AF1165" s="158">
        <f t="shared" si="268"/>
        <v>0</v>
      </c>
      <c r="AG1165" s="158"/>
      <c r="AH1165" s="94">
        <v>0</v>
      </c>
      <c r="AI1165" s="94">
        <v>0</v>
      </c>
      <c r="AJ1165" s="94"/>
      <c r="AK1165" s="158">
        <f>P1165-R1165-U1165-Z1165</f>
        <v>0</v>
      </c>
      <c r="AL1165" s="158">
        <v>877</v>
      </c>
      <c r="AM1165" s="158">
        <v>20</v>
      </c>
      <c r="AN1165" s="158"/>
      <c r="AO1165" s="158">
        <v>1</v>
      </c>
      <c r="AP1165" s="158"/>
      <c r="AQ1165" s="23"/>
      <c r="AR1165" s="23"/>
      <c r="AS1165" s="23"/>
      <c r="AT1165" s="2">
        <v>0.45</v>
      </c>
      <c r="AU1165" s="58" t="s">
        <v>38</v>
      </c>
      <c r="AV1165" s="386"/>
      <c r="AW1165" s="23"/>
      <c r="AX1165" s="50"/>
      <c r="AY1165" s="158"/>
      <c r="AZ1165" s="158"/>
      <c r="BA1165" s="158"/>
      <c r="BB1165" s="158"/>
      <c r="BC1165" s="69"/>
      <c r="BD1165" s="69"/>
      <c r="BE1165" s="69"/>
      <c r="BF1165" s="271"/>
      <c r="BG1165" s="271">
        <v>2019</v>
      </c>
      <c r="BH1165" s="430">
        <v>2020</v>
      </c>
      <c r="BI1165" s="271" t="s">
        <v>2375</v>
      </c>
    </row>
    <row r="1166" spans="1:61" ht="18" customHeight="1">
      <c r="A1166" s="160" t="s">
        <v>1</v>
      </c>
      <c r="B1166" s="58" t="s">
        <v>1427</v>
      </c>
      <c r="C1166" s="66" t="s">
        <v>1272</v>
      </c>
      <c r="D1166" s="33" t="s">
        <v>387</v>
      </c>
      <c r="E1166" s="33"/>
      <c r="F1166" s="33"/>
      <c r="G1166" s="33"/>
      <c r="H1166" s="30" t="s">
        <v>1232</v>
      </c>
      <c r="I1166" s="30">
        <v>755</v>
      </c>
      <c r="J1166" s="212">
        <v>43584</v>
      </c>
      <c r="K1166" s="158"/>
      <c r="L1166" s="158"/>
      <c r="M1166" s="158">
        <v>1</v>
      </c>
      <c r="N1166" s="158"/>
      <c r="O1166" s="158"/>
      <c r="P1166" s="158">
        <v>65788897</v>
      </c>
      <c r="Q1166" s="158"/>
      <c r="R1166" s="158"/>
      <c r="S1166" s="158"/>
      <c r="T1166" s="158"/>
      <c r="U1166" s="225">
        <v>65788897</v>
      </c>
      <c r="V1166" s="158">
        <v>20</v>
      </c>
      <c r="W1166" s="311">
        <v>43709</v>
      </c>
      <c r="X1166" s="311"/>
      <c r="Y1166" s="311"/>
      <c r="Z1166" s="158"/>
      <c r="AA1166" s="69"/>
      <c r="AB1166" s="69"/>
      <c r="AC1166" s="69"/>
      <c r="AD1166" s="69"/>
      <c r="AE1166" s="158"/>
      <c r="AF1166" s="158">
        <f t="shared" si="268"/>
        <v>0</v>
      </c>
      <c r="AG1166" s="158"/>
      <c r="AH1166" s="94">
        <v>0</v>
      </c>
      <c r="AI1166" s="94">
        <v>0</v>
      </c>
      <c r="AJ1166" s="94"/>
      <c r="AK1166" s="158">
        <f t="shared" si="269"/>
        <v>0</v>
      </c>
      <c r="AL1166" s="158">
        <v>877</v>
      </c>
      <c r="AM1166" s="158">
        <v>20</v>
      </c>
      <c r="AN1166" s="158"/>
      <c r="AO1166" s="158"/>
      <c r="AP1166" s="158"/>
      <c r="AQ1166" s="23"/>
      <c r="AR1166" s="23"/>
      <c r="AS1166" s="23"/>
      <c r="AT1166" s="2">
        <v>1</v>
      </c>
      <c r="AU1166" s="58" t="s">
        <v>646</v>
      </c>
      <c r="AV1166" s="388" t="s">
        <v>1958</v>
      </c>
      <c r="AW1166" s="23"/>
      <c r="AX1166" s="50"/>
      <c r="AY1166" s="158"/>
      <c r="AZ1166" s="158">
        <v>1</v>
      </c>
      <c r="BA1166" s="158"/>
      <c r="BB1166" s="158"/>
      <c r="BC1166" s="69"/>
      <c r="BD1166" s="69">
        <v>1</v>
      </c>
      <c r="BE1166" s="69"/>
      <c r="BF1166" s="270">
        <v>2019</v>
      </c>
      <c r="BG1166" s="270">
        <v>2019</v>
      </c>
      <c r="BH1166" s="271"/>
      <c r="BI1166" s="271" t="s">
        <v>2375</v>
      </c>
    </row>
    <row r="1167" spans="1:61" s="204" customFormat="1" ht="18" customHeight="1">
      <c r="A1167" s="248" t="s">
        <v>1</v>
      </c>
      <c r="B1167" s="58" t="s">
        <v>1428</v>
      </c>
      <c r="C1167" s="264" t="s">
        <v>1909</v>
      </c>
      <c r="D1167" s="33" t="s">
        <v>438</v>
      </c>
      <c r="E1167" s="33"/>
      <c r="F1167" s="33"/>
      <c r="G1167" s="33"/>
      <c r="H1167" s="30" t="s">
        <v>1232</v>
      </c>
      <c r="I1167" s="30">
        <v>587</v>
      </c>
      <c r="J1167" s="212">
        <v>43558</v>
      </c>
      <c r="K1167" s="158"/>
      <c r="L1167" s="158"/>
      <c r="M1167" s="158">
        <v>1</v>
      </c>
      <c r="N1167" s="158">
        <v>1</v>
      </c>
      <c r="O1167" s="23"/>
      <c r="P1167" s="158">
        <v>68135900</v>
      </c>
      <c r="Q1167" s="158"/>
      <c r="R1167" s="158"/>
      <c r="S1167" s="158"/>
      <c r="T1167" s="158"/>
      <c r="U1167" s="225">
        <v>68135900</v>
      </c>
      <c r="V1167" s="158">
        <v>10</v>
      </c>
      <c r="W1167" s="311">
        <v>43917</v>
      </c>
      <c r="X1167" s="311"/>
      <c r="Y1167" s="311"/>
      <c r="Z1167" s="158"/>
      <c r="AA1167" s="158"/>
      <c r="AB1167" s="158"/>
      <c r="AC1167" s="158"/>
      <c r="AD1167" s="158"/>
      <c r="AE1167" s="158"/>
      <c r="AF1167" s="158">
        <f t="shared" ref="AF1167:AF1168" si="270">P1167</f>
        <v>68135900</v>
      </c>
      <c r="AG1167" s="158"/>
      <c r="AH1167" s="94">
        <v>0</v>
      </c>
      <c r="AI1167" s="94">
        <v>68135900</v>
      </c>
      <c r="AJ1167" s="94"/>
      <c r="AK1167" s="72">
        <f t="shared" ref="AK1167:AK1171" si="271">P1167-R1167-U1167-Z1167</f>
        <v>0</v>
      </c>
      <c r="AL1167" s="158">
        <v>877</v>
      </c>
      <c r="AM1167" s="158">
        <v>10</v>
      </c>
      <c r="AN1167" s="158"/>
      <c r="AO1167" s="158"/>
      <c r="AP1167" s="158">
        <v>1</v>
      </c>
      <c r="AQ1167" s="23"/>
      <c r="AR1167" s="23"/>
      <c r="AS1167" s="23"/>
      <c r="AT1167" s="2">
        <v>1</v>
      </c>
      <c r="AU1167" s="58" t="s">
        <v>646</v>
      </c>
      <c r="AV1167" s="386"/>
      <c r="AW1167" s="23"/>
      <c r="AX1167" s="50"/>
      <c r="AY1167" s="158"/>
      <c r="AZ1167" s="158"/>
      <c r="BA1167" s="156">
        <v>1</v>
      </c>
      <c r="BB1167" s="158"/>
      <c r="BC1167" s="69"/>
      <c r="BD1167" s="69">
        <v>1</v>
      </c>
      <c r="BE1167" s="69"/>
      <c r="BF1167" s="271">
        <v>2020</v>
      </c>
      <c r="BG1167" s="271">
        <v>2019</v>
      </c>
      <c r="BH1167" s="271">
        <v>2020</v>
      </c>
      <c r="BI1167" s="271" t="s">
        <v>2375</v>
      </c>
    </row>
    <row r="1168" spans="1:61" s="204" customFormat="1" ht="18" customHeight="1">
      <c r="A1168" s="160" t="s">
        <v>1</v>
      </c>
      <c r="B1168" s="58" t="s">
        <v>1431</v>
      </c>
      <c r="C1168" s="66" t="s">
        <v>1429</v>
      </c>
      <c r="D1168" s="33" t="s">
        <v>438</v>
      </c>
      <c r="E1168" s="33"/>
      <c r="F1168" s="33"/>
      <c r="G1168" s="33"/>
      <c r="H1168" s="30" t="s">
        <v>1232</v>
      </c>
      <c r="I1168" s="30">
        <v>585</v>
      </c>
      <c r="J1168" s="212">
        <v>43558</v>
      </c>
      <c r="K1168" s="158"/>
      <c r="L1168" s="158"/>
      <c r="M1168" s="158">
        <v>1</v>
      </c>
      <c r="N1168" s="158">
        <v>1</v>
      </c>
      <c r="O1168" s="23"/>
      <c r="P1168" s="158">
        <v>77562674</v>
      </c>
      <c r="Q1168" s="158"/>
      <c r="R1168" s="158"/>
      <c r="S1168" s="158"/>
      <c r="T1168" s="158"/>
      <c r="U1168" s="225">
        <v>77562674</v>
      </c>
      <c r="V1168" s="158">
        <v>10</v>
      </c>
      <c r="W1168" s="311">
        <v>43917</v>
      </c>
      <c r="X1168" s="311"/>
      <c r="Y1168" s="311"/>
      <c r="Z1168" s="158"/>
      <c r="AA1168" s="158"/>
      <c r="AB1168" s="158"/>
      <c r="AC1168" s="158"/>
      <c r="AD1168" s="158"/>
      <c r="AE1168" s="158"/>
      <c r="AF1168" s="158">
        <f t="shared" si="270"/>
        <v>77562674</v>
      </c>
      <c r="AG1168" s="158"/>
      <c r="AH1168" s="94">
        <v>0</v>
      </c>
      <c r="AI1168" s="94">
        <v>77562674</v>
      </c>
      <c r="AJ1168" s="94"/>
      <c r="AK1168" s="72">
        <f t="shared" si="271"/>
        <v>0</v>
      </c>
      <c r="AL1168" s="158">
        <v>877</v>
      </c>
      <c r="AM1168" s="158">
        <v>10</v>
      </c>
      <c r="AN1168" s="158"/>
      <c r="AO1168" s="158"/>
      <c r="AP1168" s="158">
        <v>1</v>
      </c>
      <c r="AQ1168" s="23"/>
      <c r="AR1168" s="23"/>
      <c r="AS1168" s="23"/>
      <c r="AT1168" s="2">
        <v>1</v>
      </c>
      <c r="AU1168" s="58" t="s">
        <v>646</v>
      </c>
      <c r="AV1168" s="386"/>
      <c r="AW1168" s="23"/>
      <c r="AX1168" s="50"/>
      <c r="AY1168" s="158"/>
      <c r="AZ1168" s="158"/>
      <c r="BA1168" s="156">
        <v>1</v>
      </c>
      <c r="BB1168" s="158"/>
      <c r="BC1168" s="69"/>
      <c r="BD1168" s="69">
        <v>1</v>
      </c>
      <c r="BE1168" s="69"/>
      <c r="BF1168" s="271">
        <v>2020</v>
      </c>
      <c r="BG1168" s="271">
        <v>2019</v>
      </c>
      <c r="BH1168" s="271">
        <v>2020</v>
      </c>
      <c r="BI1168" s="271" t="s">
        <v>2375</v>
      </c>
    </row>
    <row r="1169" spans="1:61" s="204" customFormat="1" ht="18" customHeight="1">
      <c r="A1169" s="160" t="s">
        <v>1</v>
      </c>
      <c r="B1169" s="58" t="s">
        <v>1432</v>
      </c>
      <c r="C1169" s="66" t="s">
        <v>1430</v>
      </c>
      <c r="D1169" s="33" t="s">
        <v>438</v>
      </c>
      <c r="E1169" s="33"/>
      <c r="F1169" s="33"/>
      <c r="G1169" s="33"/>
      <c r="H1169" s="30" t="s">
        <v>1232</v>
      </c>
      <c r="I1169" s="30">
        <v>591</v>
      </c>
      <c r="J1169" s="212">
        <v>43559</v>
      </c>
      <c r="K1169" s="158"/>
      <c r="L1169" s="158"/>
      <c r="M1169" s="158">
        <v>1</v>
      </c>
      <c r="N1169" s="158">
        <v>1</v>
      </c>
      <c r="O1169" s="23"/>
      <c r="P1169" s="158">
        <v>79800000</v>
      </c>
      <c r="Q1169" s="158"/>
      <c r="R1169" s="158"/>
      <c r="S1169" s="158"/>
      <c r="T1169" s="158"/>
      <c r="U1169" s="225"/>
      <c r="V1169" s="158"/>
      <c r="W1169" s="311"/>
      <c r="X1169" s="311"/>
      <c r="Y1169" s="311"/>
      <c r="Z1169" s="158"/>
      <c r="AA1169" s="158"/>
      <c r="AB1169" s="158"/>
      <c r="AC1169" s="158"/>
      <c r="AD1169" s="158"/>
      <c r="AE1169" s="158"/>
      <c r="AF1169" s="158">
        <f t="shared" si="268"/>
        <v>79800000</v>
      </c>
      <c r="AG1169" s="158"/>
      <c r="AH1169" s="94">
        <v>0</v>
      </c>
      <c r="AI1169" s="94">
        <v>79800000</v>
      </c>
      <c r="AJ1169" s="94"/>
      <c r="AK1169" s="602">
        <f t="shared" si="271"/>
        <v>79800000</v>
      </c>
      <c r="AL1169" s="72">
        <v>877</v>
      </c>
      <c r="AM1169" s="72">
        <v>10</v>
      </c>
      <c r="AN1169" s="158">
        <v>1</v>
      </c>
      <c r="AO1169" s="158"/>
      <c r="AP1169" s="158"/>
      <c r="AQ1169" s="23"/>
      <c r="AR1169" s="23"/>
      <c r="AS1169" s="23"/>
      <c r="AT1169" s="2">
        <v>0</v>
      </c>
      <c r="AU1169" s="58" t="s">
        <v>521</v>
      </c>
      <c r="AV1169" s="386"/>
      <c r="AW1169" s="23"/>
      <c r="AX1169" s="50"/>
      <c r="AY1169" s="158"/>
      <c r="AZ1169" s="158"/>
      <c r="BA1169" s="158"/>
      <c r="BB1169" s="158"/>
      <c r="BC1169" s="69"/>
      <c r="BD1169" s="69"/>
      <c r="BE1169" s="69"/>
      <c r="BF1169" s="271"/>
      <c r="BG1169" s="271">
        <v>2019</v>
      </c>
      <c r="BH1169" s="271">
        <v>2020</v>
      </c>
      <c r="BI1169" s="271" t="s">
        <v>2375</v>
      </c>
    </row>
    <row r="1170" spans="1:61" s="204" customFormat="1" ht="18" customHeight="1">
      <c r="A1170" s="160" t="s">
        <v>1</v>
      </c>
      <c r="B1170" s="58" t="s">
        <v>1434</v>
      </c>
      <c r="C1170" s="66" t="s">
        <v>1433</v>
      </c>
      <c r="D1170" s="33" t="s">
        <v>438</v>
      </c>
      <c r="E1170" s="33"/>
      <c r="F1170" s="33"/>
      <c r="G1170" s="33"/>
      <c r="H1170" s="30" t="s">
        <v>1232</v>
      </c>
      <c r="I1170" s="30">
        <v>586</v>
      </c>
      <c r="J1170" s="212">
        <v>43558</v>
      </c>
      <c r="K1170" s="158"/>
      <c r="L1170" s="158"/>
      <c r="M1170" s="158">
        <v>1</v>
      </c>
      <c r="N1170" s="158">
        <v>1</v>
      </c>
      <c r="O1170" s="23"/>
      <c r="P1170" s="158">
        <v>77520000</v>
      </c>
      <c r="Q1170" s="158"/>
      <c r="R1170" s="158"/>
      <c r="S1170" s="158"/>
      <c r="T1170" s="158"/>
      <c r="U1170" s="225"/>
      <c r="V1170" s="158"/>
      <c r="W1170" s="311"/>
      <c r="X1170" s="311"/>
      <c r="Y1170" s="311"/>
      <c r="Z1170" s="158"/>
      <c r="AA1170" s="158"/>
      <c r="AB1170" s="158"/>
      <c r="AC1170" s="158"/>
      <c r="AD1170" s="158"/>
      <c r="AE1170" s="158"/>
      <c r="AF1170" s="158">
        <f t="shared" si="268"/>
        <v>77520000</v>
      </c>
      <c r="AG1170" s="158"/>
      <c r="AH1170" s="94">
        <v>0</v>
      </c>
      <c r="AI1170" s="94">
        <v>77520000</v>
      </c>
      <c r="AJ1170" s="94"/>
      <c r="AK1170" s="602">
        <f t="shared" si="271"/>
        <v>77520000</v>
      </c>
      <c r="AL1170" s="72">
        <v>877</v>
      </c>
      <c r="AM1170" s="72">
        <v>10</v>
      </c>
      <c r="AN1170" s="158">
        <v>1</v>
      </c>
      <c r="AO1170" s="158"/>
      <c r="AP1170" s="158"/>
      <c r="AQ1170" s="23"/>
      <c r="AR1170" s="23"/>
      <c r="AS1170" s="23"/>
      <c r="AT1170" s="2">
        <v>0</v>
      </c>
      <c r="AU1170" s="58" t="s">
        <v>521</v>
      </c>
      <c r="AV1170" s="386"/>
      <c r="AW1170" s="23"/>
      <c r="AX1170" s="50"/>
      <c r="AY1170" s="158"/>
      <c r="AZ1170" s="158"/>
      <c r="BA1170" s="158"/>
      <c r="BB1170" s="158"/>
      <c r="BC1170" s="69"/>
      <c r="BD1170" s="69"/>
      <c r="BE1170" s="69"/>
      <c r="BF1170" s="271"/>
      <c r="BG1170" s="271">
        <v>2019</v>
      </c>
      <c r="BH1170" s="271">
        <v>2020</v>
      </c>
      <c r="BI1170" s="271" t="s">
        <v>2375</v>
      </c>
    </row>
    <row r="1171" spans="1:61" s="204" customFormat="1" ht="18" customHeight="1">
      <c r="A1171" s="160" t="s">
        <v>1</v>
      </c>
      <c r="B1171" s="58" t="s">
        <v>1438</v>
      </c>
      <c r="C1171" s="66" t="s">
        <v>1435</v>
      </c>
      <c r="D1171" s="33" t="s">
        <v>438</v>
      </c>
      <c r="E1171" s="33"/>
      <c r="F1171" s="33"/>
      <c r="G1171" s="33"/>
      <c r="H1171" s="30" t="s">
        <v>1232</v>
      </c>
      <c r="I1171" s="30">
        <v>649</v>
      </c>
      <c r="J1171" s="212">
        <v>43565</v>
      </c>
      <c r="K1171" s="158"/>
      <c r="L1171" s="158"/>
      <c r="M1171" s="158">
        <v>1</v>
      </c>
      <c r="N1171" s="158">
        <v>1</v>
      </c>
      <c r="O1171" s="23"/>
      <c r="P1171" s="158">
        <v>80277356</v>
      </c>
      <c r="Q1171" s="158"/>
      <c r="R1171" s="158"/>
      <c r="S1171" s="158"/>
      <c r="T1171" s="158"/>
      <c r="U1171" s="225"/>
      <c r="V1171" s="158"/>
      <c r="W1171" s="311"/>
      <c r="X1171" s="311"/>
      <c r="Y1171" s="311"/>
      <c r="Z1171" s="158"/>
      <c r="AA1171" s="158"/>
      <c r="AB1171" s="158"/>
      <c r="AC1171" s="158"/>
      <c r="AD1171" s="158"/>
      <c r="AE1171" s="158"/>
      <c r="AF1171" s="158">
        <f t="shared" si="268"/>
        <v>80277356</v>
      </c>
      <c r="AG1171" s="158"/>
      <c r="AH1171" s="94">
        <v>0</v>
      </c>
      <c r="AI1171" s="94">
        <v>80277356</v>
      </c>
      <c r="AJ1171" s="94"/>
      <c r="AK1171" s="602">
        <f t="shared" si="271"/>
        <v>80277356</v>
      </c>
      <c r="AL1171" s="72">
        <v>877</v>
      </c>
      <c r="AM1171" s="72">
        <v>10</v>
      </c>
      <c r="AN1171" s="158">
        <v>1</v>
      </c>
      <c r="AO1171" s="158"/>
      <c r="AP1171" s="158"/>
      <c r="AQ1171" s="23"/>
      <c r="AR1171" s="23"/>
      <c r="AS1171" s="23"/>
      <c r="AT1171" s="2">
        <v>0</v>
      </c>
      <c r="AU1171" s="58" t="s">
        <v>521</v>
      </c>
      <c r="AV1171" s="386"/>
      <c r="AW1171" s="23"/>
      <c r="AX1171" s="50"/>
      <c r="AY1171" s="158"/>
      <c r="AZ1171" s="158"/>
      <c r="BA1171" s="158"/>
      <c r="BB1171" s="158"/>
      <c r="BC1171" s="69"/>
      <c r="BD1171" s="69"/>
      <c r="BE1171" s="69"/>
      <c r="BF1171" s="271"/>
      <c r="BG1171" s="271">
        <v>2019</v>
      </c>
      <c r="BH1171" s="271">
        <v>2020</v>
      </c>
      <c r="BI1171" s="271" t="s">
        <v>2375</v>
      </c>
    </row>
    <row r="1172" spans="1:61" ht="18" customHeight="1">
      <c r="A1172" s="160" t="s">
        <v>1</v>
      </c>
      <c r="B1172" s="58" t="s">
        <v>1439</v>
      </c>
      <c r="C1172" s="66" t="s">
        <v>1871</v>
      </c>
      <c r="D1172" s="33" t="s">
        <v>438</v>
      </c>
      <c r="E1172" s="33"/>
      <c r="F1172" s="33"/>
      <c r="G1172" s="33"/>
      <c r="H1172" s="30" t="s">
        <v>1232</v>
      </c>
      <c r="I1172" s="30">
        <v>648</v>
      </c>
      <c r="J1172" s="212">
        <v>43565</v>
      </c>
      <c r="K1172" s="158"/>
      <c r="L1172" s="158"/>
      <c r="M1172" s="158">
        <v>1</v>
      </c>
      <c r="N1172" s="158"/>
      <c r="O1172" s="158"/>
      <c r="P1172" s="158">
        <v>73625000</v>
      </c>
      <c r="Q1172" s="158"/>
      <c r="R1172" s="158"/>
      <c r="S1172" s="158"/>
      <c r="T1172" s="158"/>
      <c r="U1172" s="225">
        <v>73625000</v>
      </c>
      <c r="V1172" s="158">
        <v>20</v>
      </c>
      <c r="W1172" s="311">
        <v>43739</v>
      </c>
      <c r="X1172" s="311"/>
      <c r="Y1172" s="311"/>
      <c r="Z1172" s="158"/>
      <c r="AA1172" s="158"/>
      <c r="AB1172" s="158"/>
      <c r="AC1172" s="158"/>
      <c r="AD1172" s="158"/>
      <c r="AE1172" s="158"/>
      <c r="AF1172" s="158">
        <f t="shared" si="268"/>
        <v>0</v>
      </c>
      <c r="AG1172" s="158"/>
      <c r="AH1172" s="94">
        <v>0</v>
      </c>
      <c r="AI1172" s="94">
        <v>0</v>
      </c>
      <c r="AJ1172" s="94"/>
      <c r="AK1172" s="158">
        <f t="shared" si="269"/>
        <v>0</v>
      </c>
      <c r="AL1172" s="158">
        <v>877</v>
      </c>
      <c r="AM1172" s="158">
        <v>20</v>
      </c>
      <c r="AN1172" s="158"/>
      <c r="AO1172" s="158"/>
      <c r="AP1172" s="158"/>
      <c r="AQ1172" s="23"/>
      <c r="AR1172" s="23"/>
      <c r="AS1172" s="23"/>
      <c r="AT1172" s="2">
        <v>1</v>
      </c>
      <c r="AU1172" s="58" t="s">
        <v>646</v>
      </c>
      <c r="AV1172" s="386" t="s">
        <v>1817</v>
      </c>
      <c r="AW1172" s="23"/>
      <c r="AX1172" s="50"/>
      <c r="AY1172" s="158"/>
      <c r="AZ1172" s="158">
        <v>1</v>
      </c>
      <c r="BA1172" s="158"/>
      <c r="BB1172" s="158"/>
      <c r="BC1172" s="69"/>
      <c r="BD1172" s="69">
        <v>1</v>
      </c>
      <c r="BE1172" s="69"/>
      <c r="BF1172" s="270">
        <v>2019</v>
      </c>
      <c r="BG1172" s="270">
        <v>2019</v>
      </c>
      <c r="BH1172" s="271"/>
      <c r="BI1172" s="271" t="s">
        <v>2375</v>
      </c>
    </row>
    <row r="1173" spans="1:61" s="204" customFormat="1" ht="18" customHeight="1">
      <c r="A1173" s="160" t="s">
        <v>1</v>
      </c>
      <c r="B1173" s="58" t="s">
        <v>1440</v>
      </c>
      <c r="C1173" s="66" t="s">
        <v>1436</v>
      </c>
      <c r="D1173" s="33" t="s">
        <v>387</v>
      </c>
      <c r="E1173" s="33"/>
      <c r="F1173" s="33"/>
      <c r="G1173" s="33"/>
      <c r="H1173" s="30" t="s">
        <v>1232</v>
      </c>
      <c r="I1173" s="30">
        <v>758</v>
      </c>
      <c r="J1173" s="212">
        <v>43585</v>
      </c>
      <c r="K1173" s="158"/>
      <c r="L1173" s="158"/>
      <c r="M1173" s="158">
        <v>1</v>
      </c>
      <c r="N1173" s="158">
        <v>1</v>
      </c>
      <c r="O1173" s="23"/>
      <c r="P1173" s="158">
        <v>63601392</v>
      </c>
      <c r="Q1173" s="158"/>
      <c r="R1173" s="158"/>
      <c r="S1173" s="158"/>
      <c r="T1173" s="158"/>
      <c r="U1173" s="225"/>
      <c r="V1173" s="158"/>
      <c r="W1173" s="311"/>
      <c r="X1173" s="311"/>
      <c r="Y1173" s="311"/>
      <c r="Z1173" s="158"/>
      <c r="AA1173" s="158"/>
      <c r="AB1173" s="158"/>
      <c r="AC1173" s="158"/>
      <c r="AD1173" s="158"/>
      <c r="AE1173" s="158"/>
      <c r="AF1173" s="158">
        <f t="shared" si="268"/>
        <v>63601392</v>
      </c>
      <c r="AG1173" s="158"/>
      <c r="AH1173" s="94">
        <v>0</v>
      </c>
      <c r="AI1173" s="94">
        <v>63601392</v>
      </c>
      <c r="AJ1173" s="94"/>
      <c r="AK1173" s="602">
        <f>P1173-R1173-U1173-Z1173</f>
        <v>63601392</v>
      </c>
      <c r="AL1173" s="72">
        <v>877</v>
      </c>
      <c r="AM1173" s="72">
        <v>10</v>
      </c>
      <c r="AN1173" s="158">
        <v>1</v>
      </c>
      <c r="AO1173" s="158"/>
      <c r="AP1173" s="158"/>
      <c r="AQ1173" s="23"/>
      <c r="AR1173" s="23"/>
      <c r="AS1173" s="23"/>
      <c r="AT1173" s="2">
        <v>0</v>
      </c>
      <c r="AU1173" s="58" t="s">
        <v>521</v>
      </c>
      <c r="AV1173" s="386"/>
      <c r="AW1173" s="23"/>
      <c r="AX1173" s="50"/>
      <c r="AY1173" s="158"/>
      <c r="AZ1173" s="158"/>
      <c r="BA1173" s="158"/>
      <c r="BB1173" s="158"/>
      <c r="BC1173" s="69"/>
      <c r="BD1173" s="69"/>
      <c r="BE1173" s="69"/>
      <c r="BF1173" s="271"/>
      <c r="BG1173" s="271">
        <v>2019</v>
      </c>
      <c r="BH1173" s="271">
        <v>2020</v>
      </c>
      <c r="BI1173" s="271" t="s">
        <v>2375</v>
      </c>
    </row>
    <row r="1174" spans="1:61" ht="18" customHeight="1">
      <c r="A1174" s="160" t="s">
        <v>1</v>
      </c>
      <c r="B1174" s="58" t="s">
        <v>1441</v>
      </c>
      <c r="C1174" s="66" t="s">
        <v>1437</v>
      </c>
      <c r="D1174" s="33" t="s">
        <v>438</v>
      </c>
      <c r="E1174" s="33"/>
      <c r="F1174" s="33"/>
      <c r="G1174" s="33"/>
      <c r="H1174" s="30" t="s">
        <v>1232</v>
      </c>
      <c r="I1174" s="30">
        <v>760</v>
      </c>
      <c r="J1174" s="212">
        <v>43585</v>
      </c>
      <c r="K1174" s="158"/>
      <c r="L1174" s="158"/>
      <c r="M1174" s="158">
        <v>1</v>
      </c>
      <c r="N1174" s="158"/>
      <c r="O1174" s="158"/>
      <c r="P1174" s="158">
        <v>77900000</v>
      </c>
      <c r="Q1174" s="158"/>
      <c r="R1174" s="158"/>
      <c r="S1174" s="158"/>
      <c r="T1174" s="158"/>
      <c r="U1174" s="225">
        <v>77900000</v>
      </c>
      <c r="V1174" s="158">
        <v>20</v>
      </c>
      <c r="W1174" s="311">
        <v>43739</v>
      </c>
      <c r="X1174" s="311"/>
      <c r="Y1174" s="311"/>
      <c r="Z1174" s="158"/>
      <c r="AA1174" s="158"/>
      <c r="AB1174" s="158"/>
      <c r="AC1174" s="158"/>
      <c r="AD1174" s="158"/>
      <c r="AE1174" s="158"/>
      <c r="AF1174" s="158">
        <f t="shared" si="268"/>
        <v>0</v>
      </c>
      <c r="AG1174" s="158"/>
      <c r="AH1174" s="94">
        <v>0</v>
      </c>
      <c r="AI1174" s="94">
        <v>0</v>
      </c>
      <c r="AJ1174" s="94"/>
      <c r="AK1174" s="158">
        <f t="shared" si="269"/>
        <v>0</v>
      </c>
      <c r="AL1174" s="158">
        <v>877</v>
      </c>
      <c r="AM1174" s="158">
        <v>20</v>
      </c>
      <c r="AN1174" s="158"/>
      <c r="AO1174" s="158"/>
      <c r="AP1174" s="158"/>
      <c r="AQ1174" s="23"/>
      <c r="AR1174" s="23"/>
      <c r="AS1174" s="23"/>
      <c r="AT1174" s="2">
        <v>1</v>
      </c>
      <c r="AU1174" s="58" t="s">
        <v>646</v>
      </c>
      <c r="AV1174" s="386" t="s">
        <v>1818</v>
      </c>
      <c r="AW1174" s="23"/>
      <c r="AX1174" s="50"/>
      <c r="AY1174" s="158"/>
      <c r="AZ1174" s="158">
        <v>1</v>
      </c>
      <c r="BA1174" s="158"/>
      <c r="BB1174" s="158"/>
      <c r="BC1174" s="69"/>
      <c r="BD1174" s="69">
        <v>1</v>
      </c>
      <c r="BE1174" s="69"/>
      <c r="BF1174" s="270">
        <v>2019</v>
      </c>
      <c r="BG1174" s="270">
        <v>2019</v>
      </c>
      <c r="BH1174" s="271"/>
      <c r="BI1174" s="271" t="s">
        <v>2375</v>
      </c>
    </row>
    <row r="1175" spans="1:61" ht="18" customHeight="1">
      <c r="A1175" s="160" t="s">
        <v>1</v>
      </c>
      <c r="B1175" s="58" t="s">
        <v>1442</v>
      </c>
      <c r="C1175" s="66" t="s">
        <v>1281</v>
      </c>
      <c r="D1175" s="33" t="s">
        <v>438</v>
      </c>
      <c r="E1175" s="33"/>
      <c r="F1175" s="33"/>
      <c r="G1175" s="33"/>
      <c r="H1175" s="30" t="s">
        <v>1232</v>
      </c>
      <c r="I1175" s="30">
        <v>754</v>
      </c>
      <c r="J1175" s="212">
        <v>43584</v>
      </c>
      <c r="K1175" s="158"/>
      <c r="L1175" s="158"/>
      <c r="M1175" s="158">
        <v>1</v>
      </c>
      <c r="N1175" s="158"/>
      <c r="O1175" s="158"/>
      <c r="P1175" s="158">
        <v>79800000</v>
      </c>
      <c r="Q1175" s="158"/>
      <c r="R1175" s="158"/>
      <c r="S1175" s="158"/>
      <c r="T1175" s="158"/>
      <c r="U1175" s="225">
        <v>79800000</v>
      </c>
      <c r="V1175" s="158">
        <v>20</v>
      </c>
      <c r="W1175" s="311">
        <v>43739</v>
      </c>
      <c r="X1175" s="311"/>
      <c r="Y1175" s="311"/>
      <c r="Z1175" s="158"/>
      <c r="AA1175" s="158"/>
      <c r="AB1175" s="158"/>
      <c r="AC1175" s="158"/>
      <c r="AD1175" s="158"/>
      <c r="AE1175" s="158"/>
      <c r="AF1175" s="158">
        <f t="shared" si="268"/>
        <v>0</v>
      </c>
      <c r="AG1175" s="158"/>
      <c r="AH1175" s="94">
        <v>0</v>
      </c>
      <c r="AI1175" s="94">
        <v>0</v>
      </c>
      <c r="AJ1175" s="94"/>
      <c r="AK1175" s="158">
        <f t="shared" si="269"/>
        <v>0</v>
      </c>
      <c r="AL1175" s="158">
        <v>877</v>
      </c>
      <c r="AM1175" s="158">
        <v>20</v>
      </c>
      <c r="AN1175" s="158"/>
      <c r="AO1175" s="158"/>
      <c r="AP1175" s="158"/>
      <c r="AQ1175" s="23"/>
      <c r="AR1175" s="23"/>
      <c r="AS1175" s="23"/>
      <c r="AT1175" s="2">
        <v>1</v>
      </c>
      <c r="AU1175" s="58" t="s">
        <v>646</v>
      </c>
      <c r="AV1175" s="386" t="s">
        <v>1819</v>
      </c>
      <c r="AW1175" s="23"/>
      <c r="AX1175" s="50"/>
      <c r="AY1175" s="158"/>
      <c r="AZ1175" s="158">
        <v>1</v>
      </c>
      <c r="BA1175" s="158"/>
      <c r="BB1175" s="158"/>
      <c r="BC1175" s="69"/>
      <c r="BD1175" s="69">
        <v>1</v>
      </c>
      <c r="BE1175" s="69"/>
      <c r="BF1175" s="270">
        <v>2019</v>
      </c>
      <c r="BG1175" s="270">
        <v>2019</v>
      </c>
      <c r="BH1175" s="271"/>
      <c r="BI1175" s="271" t="s">
        <v>2375</v>
      </c>
    </row>
    <row r="1176" spans="1:61" s="204" customFormat="1" ht="18" customHeight="1">
      <c r="A1176" s="160" t="s">
        <v>1</v>
      </c>
      <c r="B1176" s="58" t="s">
        <v>320</v>
      </c>
      <c r="C1176" s="66" t="s">
        <v>1284</v>
      </c>
      <c r="D1176" s="33" t="s">
        <v>438</v>
      </c>
      <c r="E1176" s="33"/>
      <c r="F1176" s="33"/>
      <c r="G1176" s="33"/>
      <c r="H1176" s="30" t="s">
        <v>1113</v>
      </c>
      <c r="I1176" s="30">
        <v>858</v>
      </c>
      <c r="J1176" s="212">
        <v>43462</v>
      </c>
      <c r="K1176" s="158"/>
      <c r="L1176" s="158"/>
      <c r="M1176" s="158">
        <v>1</v>
      </c>
      <c r="N1176" s="158">
        <v>1</v>
      </c>
      <c r="O1176" s="23"/>
      <c r="P1176" s="158">
        <v>76000000</v>
      </c>
      <c r="Q1176" s="158"/>
      <c r="R1176" s="158"/>
      <c r="S1176" s="158"/>
      <c r="T1176" s="158"/>
      <c r="U1176" s="225"/>
      <c r="V1176" s="158"/>
      <c r="W1176" s="311"/>
      <c r="X1176" s="311"/>
      <c r="Y1176" s="311"/>
      <c r="Z1176" s="158"/>
      <c r="AA1176" s="158"/>
      <c r="AB1176" s="158"/>
      <c r="AC1176" s="158"/>
      <c r="AD1176" s="158"/>
      <c r="AE1176" s="158"/>
      <c r="AF1176" s="158">
        <f t="shared" si="268"/>
        <v>76000000</v>
      </c>
      <c r="AG1176" s="158"/>
      <c r="AH1176" s="94">
        <v>0</v>
      </c>
      <c r="AI1176" s="94">
        <v>76000000</v>
      </c>
      <c r="AJ1176" s="94"/>
      <c r="AK1176" s="666">
        <f>P1176-R1176-U1176-Z1176</f>
        <v>76000000</v>
      </c>
      <c r="AL1176" s="666">
        <v>877</v>
      </c>
      <c r="AM1176" s="666">
        <v>20</v>
      </c>
      <c r="AN1176" s="158">
        <v>1</v>
      </c>
      <c r="AO1176" s="158"/>
      <c r="AP1176" s="158"/>
      <c r="AQ1176" s="23"/>
      <c r="AR1176" s="23"/>
      <c r="AS1176" s="23"/>
      <c r="AT1176" s="2">
        <v>0</v>
      </c>
      <c r="AU1176" s="58" t="s">
        <v>521</v>
      </c>
      <c r="AV1176" s="386"/>
      <c r="AW1176" s="23"/>
      <c r="AX1176" s="23"/>
      <c r="AY1176" s="158"/>
      <c r="AZ1176" s="158"/>
      <c r="BA1176" s="158"/>
      <c r="BB1176" s="158"/>
      <c r="BC1176" s="69"/>
      <c r="BD1176" s="69"/>
      <c r="BE1176" s="69"/>
      <c r="BF1176" s="271"/>
      <c r="BG1176" s="271">
        <v>2019</v>
      </c>
      <c r="BH1176" s="271">
        <v>2020</v>
      </c>
      <c r="BI1176" s="271" t="s">
        <v>2375</v>
      </c>
    </row>
    <row r="1177" spans="1:61" ht="18" customHeight="1">
      <c r="A1177" s="160" t="s">
        <v>1</v>
      </c>
      <c r="B1177" s="58" t="s">
        <v>320</v>
      </c>
      <c r="C1177" s="66" t="s">
        <v>1285</v>
      </c>
      <c r="D1177" s="33" t="s">
        <v>438</v>
      </c>
      <c r="E1177" s="33"/>
      <c r="F1177" s="33"/>
      <c r="G1177" s="33"/>
      <c r="H1177" s="30" t="s">
        <v>1113</v>
      </c>
      <c r="I1177" s="115" t="s">
        <v>1759</v>
      </c>
      <c r="J1177" s="215" t="s">
        <v>1760</v>
      </c>
      <c r="K1177" s="158"/>
      <c r="L1177" s="158">
        <v>1</v>
      </c>
      <c r="M1177" s="158"/>
      <c r="N1177" s="158"/>
      <c r="O1177" s="158"/>
      <c r="P1177" s="158">
        <v>71250000</v>
      </c>
      <c r="Q1177" s="158"/>
      <c r="R1177" s="158"/>
      <c r="S1177" s="158"/>
      <c r="T1177" s="158"/>
      <c r="U1177" s="225">
        <v>71250000</v>
      </c>
      <c r="V1177" s="158">
        <v>20</v>
      </c>
      <c r="W1177" s="311">
        <v>43678</v>
      </c>
      <c r="X1177" s="311"/>
      <c r="Y1177" s="311"/>
      <c r="Z1177" s="158"/>
      <c r="AA1177" s="158"/>
      <c r="AB1177" s="158"/>
      <c r="AC1177" s="158"/>
      <c r="AD1177" s="158"/>
      <c r="AE1177" s="158"/>
      <c r="AF1177" s="158">
        <f t="shared" si="268"/>
        <v>0</v>
      </c>
      <c r="AG1177" s="158"/>
      <c r="AH1177" s="94">
        <v>0</v>
      </c>
      <c r="AI1177" s="94">
        <v>0</v>
      </c>
      <c r="AJ1177" s="94"/>
      <c r="AK1177" s="158">
        <f t="shared" si="269"/>
        <v>0</v>
      </c>
      <c r="AL1177" s="158">
        <v>877</v>
      </c>
      <c r="AM1177" s="158">
        <v>20</v>
      </c>
      <c r="AN1177" s="158"/>
      <c r="AO1177" s="158"/>
      <c r="AP1177" s="158"/>
      <c r="AQ1177" s="23"/>
      <c r="AR1177" s="23"/>
      <c r="AS1177" s="23"/>
      <c r="AT1177" s="2">
        <v>1</v>
      </c>
      <c r="AU1177" s="58" t="s">
        <v>646</v>
      </c>
      <c r="AV1177" s="386" t="s">
        <v>1798</v>
      </c>
      <c r="AW1177" s="23"/>
      <c r="AX1177" s="50"/>
      <c r="AY1177" s="158"/>
      <c r="AZ1177" s="158">
        <v>1</v>
      </c>
      <c r="BA1177" s="158"/>
      <c r="BB1177" s="158"/>
      <c r="BC1177" s="69"/>
      <c r="BD1177" s="69">
        <v>1</v>
      </c>
      <c r="BE1177" s="69"/>
      <c r="BF1177" s="270">
        <v>2019</v>
      </c>
      <c r="BG1177" s="270">
        <v>2019</v>
      </c>
      <c r="BH1177" s="271"/>
      <c r="BI1177" s="271" t="s">
        <v>2375</v>
      </c>
    </row>
    <row r="1178" spans="1:61" ht="18" customHeight="1">
      <c r="A1178" s="160" t="s">
        <v>1</v>
      </c>
      <c r="B1178" s="58" t="s">
        <v>320</v>
      </c>
      <c r="C1178" s="66" t="s">
        <v>1407</v>
      </c>
      <c r="D1178" s="33" t="s">
        <v>1936</v>
      </c>
      <c r="E1178" s="33"/>
      <c r="F1178" s="33"/>
      <c r="G1178" s="33"/>
      <c r="H1178" s="30" t="s">
        <v>655</v>
      </c>
      <c r="I1178" s="30">
        <v>768</v>
      </c>
      <c r="J1178" s="212">
        <v>43585</v>
      </c>
      <c r="K1178" s="23"/>
      <c r="L1178" s="23">
        <v>1</v>
      </c>
      <c r="M1178" s="158"/>
      <c r="N1178" s="158"/>
      <c r="O1178" s="158"/>
      <c r="P1178" s="158">
        <v>69314090</v>
      </c>
      <c r="Q1178" s="158"/>
      <c r="R1178" s="158"/>
      <c r="S1178" s="158"/>
      <c r="T1178" s="158"/>
      <c r="U1178" s="225">
        <v>69314090</v>
      </c>
      <c r="V1178" s="158">
        <v>20</v>
      </c>
      <c r="W1178" s="311">
        <v>43586</v>
      </c>
      <c r="X1178" s="311"/>
      <c r="Y1178" s="311"/>
      <c r="Z1178" s="158"/>
      <c r="AA1178" s="158"/>
      <c r="AB1178" s="158"/>
      <c r="AC1178" s="158"/>
      <c r="AD1178" s="158"/>
      <c r="AE1178" s="158"/>
      <c r="AF1178" s="158">
        <f t="shared" si="268"/>
        <v>0</v>
      </c>
      <c r="AG1178" s="158"/>
      <c r="AH1178" s="94">
        <v>0</v>
      </c>
      <c r="AI1178" s="94">
        <v>0</v>
      </c>
      <c r="AJ1178" s="94"/>
      <c r="AK1178" s="158">
        <f t="shared" si="269"/>
        <v>0</v>
      </c>
      <c r="AL1178" s="158">
        <v>877</v>
      </c>
      <c r="AM1178" s="158">
        <v>20</v>
      </c>
      <c r="AN1178" s="158"/>
      <c r="AO1178" s="158"/>
      <c r="AP1178" s="158"/>
      <c r="AQ1178" s="23"/>
      <c r="AR1178" s="23"/>
      <c r="AS1178" s="23"/>
      <c r="AT1178" s="2">
        <v>1</v>
      </c>
      <c r="AU1178" s="58" t="s">
        <v>646</v>
      </c>
      <c r="AV1178" s="386" t="s">
        <v>1408</v>
      </c>
      <c r="AW1178" s="23"/>
      <c r="AX1178" s="50"/>
      <c r="AY1178" s="158"/>
      <c r="AZ1178" s="158">
        <v>1</v>
      </c>
      <c r="BA1178" s="158"/>
      <c r="BB1178" s="158"/>
      <c r="BC1178" s="69"/>
      <c r="BD1178" s="223">
        <v>1</v>
      </c>
      <c r="BE1178" s="223"/>
      <c r="BF1178" s="270">
        <v>2019</v>
      </c>
      <c r="BG1178" s="270">
        <v>2019</v>
      </c>
      <c r="BH1178" s="271"/>
      <c r="BI1178" s="271" t="s">
        <v>2375</v>
      </c>
    </row>
    <row r="1179" spans="1:61" s="204" customFormat="1" ht="18" customHeight="1">
      <c r="A1179" s="160" t="s">
        <v>1</v>
      </c>
      <c r="B1179" s="58" t="s">
        <v>320</v>
      </c>
      <c r="C1179" s="66" t="s">
        <v>1409</v>
      </c>
      <c r="D1179" s="33" t="s">
        <v>387</v>
      </c>
      <c r="E1179" s="33"/>
      <c r="F1179" s="33"/>
      <c r="G1179" s="33"/>
      <c r="H1179" s="30" t="s">
        <v>647</v>
      </c>
      <c r="I1179" s="30">
        <v>164</v>
      </c>
      <c r="J1179" s="212">
        <v>43384</v>
      </c>
      <c r="K1179" s="158"/>
      <c r="L1179" s="158"/>
      <c r="M1179" s="158">
        <v>1</v>
      </c>
      <c r="N1179" s="158">
        <v>1</v>
      </c>
      <c r="O1179" s="23"/>
      <c r="P1179" s="158">
        <v>56548064</v>
      </c>
      <c r="Q1179" s="158"/>
      <c r="R1179" s="158"/>
      <c r="S1179" s="158"/>
      <c r="T1179" s="158"/>
      <c r="U1179" s="225">
        <v>56548064</v>
      </c>
      <c r="V1179" s="158">
        <v>20</v>
      </c>
      <c r="W1179" s="311">
        <v>43586</v>
      </c>
      <c r="X1179" s="311"/>
      <c r="Y1179" s="311"/>
      <c r="Z1179" s="158"/>
      <c r="AA1179" s="158"/>
      <c r="AB1179" s="158"/>
      <c r="AC1179" s="158"/>
      <c r="AD1179" s="158"/>
      <c r="AE1179" s="158"/>
      <c r="AF1179" s="158">
        <f t="shared" si="268"/>
        <v>0</v>
      </c>
      <c r="AG1179" s="158"/>
      <c r="AH1179" s="94">
        <v>0</v>
      </c>
      <c r="AI1179" s="94">
        <v>0</v>
      </c>
      <c r="AJ1179" s="94"/>
      <c r="AK1179" s="158">
        <f>P1179-R1179-U1179-Z1179</f>
        <v>0</v>
      </c>
      <c r="AL1179" s="158">
        <v>877</v>
      </c>
      <c r="AM1179" s="158">
        <v>20</v>
      </c>
      <c r="AN1179" s="158"/>
      <c r="AO1179" s="158">
        <v>1</v>
      </c>
      <c r="AP1179" s="158"/>
      <c r="AQ1179" s="23"/>
      <c r="AR1179" s="23"/>
      <c r="AS1179" s="23"/>
      <c r="AT1179" s="2">
        <v>0.45</v>
      </c>
      <c r="AU1179" s="58" t="s">
        <v>38</v>
      </c>
      <c r="AV1179" s="386"/>
      <c r="AW1179" s="23"/>
      <c r="AX1179" s="50"/>
      <c r="AY1179" s="158"/>
      <c r="AZ1179" s="158"/>
      <c r="BA1179" s="158"/>
      <c r="BB1179" s="158"/>
      <c r="BC1179" s="69"/>
      <c r="BD1179" s="69"/>
      <c r="BE1179" s="69"/>
      <c r="BF1179" s="271"/>
      <c r="BG1179" s="271">
        <v>2019</v>
      </c>
      <c r="BH1179" s="271">
        <v>2020</v>
      </c>
      <c r="BI1179" s="271" t="s">
        <v>2375</v>
      </c>
    </row>
    <row r="1180" spans="1:61" ht="18" customHeight="1">
      <c r="A1180" s="160" t="s">
        <v>1</v>
      </c>
      <c r="B1180" s="58" t="s">
        <v>320</v>
      </c>
      <c r="C1180" s="66" t="s">
        <v>1410</v>
      </c>
      <c r="D1180" s="33" t="s">
        <v>1936</v>
      </c>
      <c r="E1180" s="33"/>
      <c r="F1180" s="33"/>
      <c r="G1180" s="33"/>
      <c r="H1180" s="30" t="s">
        <v>1113</v>
      </c>
      <c r="I1180" s="30">
        <v>859</v>
      </c>
      <c r="J1180" s="212">
        <v>43462</v>
      </c>
      <c r="K1180" s="158"/>
      <c r="L1180" s="158"/>
      <c r="M1180" s="158">
        <v>1</v>
      </c>
      <c r="N1180" s="158"/>
      <c r="O1180" s="158"/>
      <c r="P1180" s="158">
        <v>64000000</v>
      </c>
      <c r="Q1180" s="158"/>
      <c r="R1180" s="158"/>
      <c r="S1180" s="158"/>
      <c r="T1180" s="158"/>
      <c r="U1180" s="225">
        <v>64000000</v>
      </c>
      <c r="V1180" s="158">
        <v>20</v>
      </c>
      <c r="W1180" s="311">
        <v>43739</v>
      </c>
      <c r="X1180" s="311"/>
      <c r="Y1180" s="311"/>
      <c r="Z1180" s="158"/>
      <c r="AA1180" s="158"/>
      <c r="AB1180" s="158"/>
      <c r="AC1180" s="158"/>
      <c r="AD1180" s="158"/>
      <c r="AE1180" s="158"/>
      <c r="AF1180" s="158">
        <f t="shared" si="268"/>
        <v>0</v>
      </c>
      <c r="AG1180" s="158"/>
      <c r="AH1180" s="94">
        <v>0</v>
      </c>
      <c r="AI1180" s="94">
        <v>0</v>
      </c>
      <c r="AJ1180" s="94"/>
      <c r="AK1180" s="158">
        <f t="shared" si="269"/>
        <v>0</v>
      </c>
      <c r="AL1180" s="158">
        <v>877</v>
      </c>
      <c r="AM1180" s="158">
        <v>20</v>
      </c>
      <c r="AN1180" s="158"/>
      <c r="AO1180" s="158"/>
      <c r="AP1180" s="158"/>
      <c r="AQ1180" s="23"/>
      <c r="AR1180" s="23"/>
      <c r="AS1180" s="23"/>
      <c r="AT1180" s="2">
        <v>1</v>
      </c>
      <c r="AU1180" s="58" t="s">
        <v>646</v>
      </c>
      <c r="AV1180" s="386" t="s">
        <v>1820</v>
      </c>
      <c r="AW1180" s="23"/>
      <c r="AX1180" s="50"/>
      <c r="AY1180" s="158"/>
      <c r="AZ1180" s="158">
        <v>1</v>
      </c>
      <c r="BA1180" s="158"/>
      <c r="BB1180" s="158"/>
      <c r="BC1180" s="69"/>
      <c r="BD1180" s="69">
        <v>1</v>
      </c>
      <c r="BE1180" s="69"/>
      <c r="BF1180" s="270">
        <v>2019</v>
      </c>
      <c r="BG1180" s="270">
        <v>2019</v>
      </c>
      <c r="BH1180" s="271"/>
      <c r="BI1180" s="271" t="s">
        <v>2375</v>
      </c>
    </row>
    <row r="1181" spans="1:61" ht="18" customHeight="1">
      <c r="A1181" s="160" t="s">
        <v>1</v>
      </c>
      <c r="B1181" s="58" t="s">
        <v>320</v>
      </c>
      <c r="C1181" s="210" t="s">
        <v>1411</v>
      </c>
      <c r="D1181" s="33" t="s">
        <v>1936</v>
      </c>
      <c r="E1181" s="33"/>
      <c r="F1181" s="33"/>
      <c r="G1181" s="33"/>
      <c r="H1181" s="30" t="s">
        <v>664</v>
      </c>
      <c r="I1181" s="115" t="s">
        <v>1738</v>
      </c>
      <c r="J1181" s="215" t="s">
        <v>1739</v>
      </c>
      <c r="K1181" s="158"/>
      <c r="L1181" s="158">
        <v>1</v>
      </c>
      <c r="M1181" s="158"/>
      <c r="N1181" s="158"/>
      <c r="O1181" s="158"/>
      <c r="P1181" s="158">
        <v>80277356</v>
      </c>
      <c r="Q1181" s="158"/>
      <c r="R1181" s="158"/>
      <c r="S1181" s="158"/>
      <c r="T1181" s="158"/>
      <c r="U1181" s="225">
        <v>80277356</v>
      </c>
      <c r="V1181" s="158">
        <v>20</v>
      </c>
      <c r="W1181" s="311">
        <v>43617</v>
      </c>
      <c r="X1181" s="311"/>
      <c r="Y1181" s="311"/>
      <c r="Z1181" s="158"/>
      <c r="AA1181" s="158"/>
      <c r="AB1181" s="158"/>
      <c r="AC1181" s="158"/>
      <c r="AD1181" s="158"/>
      <c r="AE1181" s="158"/>
      <c r="AF1181" s="158">
        <f t="shared" si="268"/>
        <v>0</v>
      </c>
      <c r="AG1181" s="158"/>
      <c r="AH1181" s="94">
        <v>0</v>
      </c>
      <c r="AI1181" s="94">
        <v>0</v>
      </c>
      <c r="AJ1181" s="94"/>
      <c r="AK1181" s="158">
        <f t="shared" si="269"/>
        <v>0</v>
      </c>
      <c r="AL1181" s="158">
        <v>877</v>
      </c>
      <c r="AM1181" s="158">
        <v>20</v>
      </c>
      <c r="AN1181" s="158"/>
      <c r="AO1181" s="158"/>
      <c r="AP1181" s="158"/>
      <c r="AQ1181" s="23"/>
      <c r="AR1181" s="23"/>
      <c r="AS1181" s="23"/>
      <c r="AT1181" s="2">
        <v>1</v>
      </c>
      <c r="AU1181" s="58" t="s">
        <v>646</v>
      </c>
      <c r="AV1181" s="388" t="s">
        <v>1751</v>
      </c>
      <c r="AW1181" s="23"/>
      <c r="AX1181" s="50"/>
      <c r="AY1181" s="158"/>
      <c r="AZ1181" s="158">
        <v>1</v>
      </c>
      <c r="BA1181" s="158"/>
      <c r="BB1181" s="158"/>
      <c r="BC1181" s="69"/>
      <c r="BD1181" s="69">
        <v>1</v>
      </c>
      <c r="BE1181" s="69"/>
      <c r="BF1181" s="270">
        <v>2019</v>
      </c>
      <c r="BG1181" s="270">
        <v>2019</v>
      </c>
      <c r="BH1181" s="271"/>
      <c r="BI1181" s="271" t="s">
        <v>2375</v>
      </c>
    </row>
    <row r="1182" spans="1:61" ht="18" customHeight="1">
      <c r="A1182" s="160" t="s">
        <v>1</v>
      </c>
      <c r="B1182" s="58" t="s">
        <v>320</v>
      </c>
      <c r="C1182" s="66" t="s">
        <v>1412</v>
      </c>
      <c r="D1182" s="33" t="s">
        <v>1936</v>
      </c>
      <c r="E1182" s="33"/>
      <c r="F1182" s="33"/>
      <c r="G1182" s="33"/>
      <c r="H1182" s="30" t="s">
        <v>647</v>
      </c>
      <c r="I1182" s="115" t="s">
        <v>1740</v>
      </c>
      <c r="J1182" s="215" t="s">
        <v>1741</v>
      </c>
      <c r="K1182" s="158"/>
      <c r="L1182" s="158">
        <v>1</v>
      </c>
      <c r="M1182" s="158"/>
      <c r="N1182" s="158"/>
      <c r="O1182" s="158"/>
      <c r="P1182" s="158">
        <v>80277356</v>
      </c>
      <c r="Q1182" s="158"/>
      <c r="R1182" s="158"/>
      <c r="S1182" s="158"/>
      <c r="T1182" s="158"/>
      <c r="U1182" s="225">
        <v>80277356</v>
      </c>
      <c r="V1182" s="158">
        <v>20</v>
      </c>
      <c r="W1182" s="311">
        <v>43617</v>
      </c>
      <c r="X1182" s="311"/>
      <c r="Y1182" s="311"/>
      <c r="Z1182" s="158"/>
      <c r="AA1182" s="158"/>
      <c r="AB1182" s="158"/>
      <c r="AC1182" s="158"/>
      <c r="AD1182" s="158"/>
      <c r="AE1182" s="158"/>
      <c r="AF1182" s="158">
        <f t="shared" si="268"/>
        <v>0</v>
      </c>
      <c r="AG1182" s="158"/>
      <c r="AH1182" s="94">
        <v>0</v>
      </c>
      <c r="AI1182" s="94">
        <v>0</v>
      </c>
      <c r="AJ1182" s="94"/>
      <c r="AK1182" s="158">
        <f t="shared" si="269"/>
        <v>0</v>
      </c>
      <c r="AL1182" s="158">
        <v>877</v>
      </c>
      <c r="AM1182" s="158">
        <v>20</v>
      </c>
      <c r="AN1182" s="158"/>
      <c r="AO1182" s="158"/>
      <c r="AP1182" s="158"/>
      <c r="AQ1182" s="23"/>
      <c r="AR1182" s="23"/>
      <c r="AS1182" s="23"/>
      <c r="AT1182" s="2">
        <v>1</v>
      </c>
      <c r="AU1182" s="58" t="s">
        <v>646</v>
      </c>
      <c r="AV1182" s="386" t="s">
        <v>1752</v>
      </c>
      <c r="AW1182" s="23"/>
      <c r="AX1182" s="50"/>
      <c r="AY1182" s="158"/>
      <c r="AZ1182" s="158">
        <v>1</v>
      </c>
      <c r="BA1182" s="158"/>
      <c r="BB1182" s="158"/>
      <c r="BC1182" s="69"/>
      <c r="BD1182" s="69">
        <v>1</v>
      </c>
      <c r="BE1182" s="69"/>
      <c r="BF1182" s="270">
        <v>2019</v>
      </c>
      <c r="BG1182" s="270">
        <v>2019</v>
      </c>
      <c r="BH1182" s="271"/>
      <c r="BI1182" s="271" t="s">
        <v>2375</v>
      </c>
    </row>
    <row r="1183" spans="1:61" ht="18" customHeight="1">
      <c r="A1183" s="160" t="s">
        <v>1</v>
      </c>
      <c r="B1183" s="58" t="s">
        <v>320</v>
      </c>
      <c r="C1183" s="66" t="s">
        <v>1406</v>
      </c>
      <c r="D1183" s="33" t="s">
        <v>1936</v>
      </c>
      <c r="E1183" s="33"/>
      <c r="F1183" s="33"/>
      <c r="G1183" s="33"/>
      <c r="H1183" s="30" t="s">
        <v>647</v>
      </c>
      <c r="I1183" s="115" t="s">
        <v>1736</v>
      </c>
      <c r="J1183" s="215" t="s">
        <v>1737</v>
      </c>
      <c r="K1183" s="158"/>
      <c r="L1183" s="158">
        <v>1</v>
      </c>
      <c r="M1183" s="158"/>
      <c r="N1183" s="158"/>
      <c r="O1183" s="158"/>
      <c r="P1183" s="158">
        <v>69312000</v>
      </c>
      <c r="Q1183" s="158"/>
      <c r="R1183" s="158"/>
      <c r="S1183" s="158"/>
      <c r="T1183" s="158"/>
      <c r="U1183" s="225">
        <v>69312000</v>
      </c>
      <c r="V1183" s="158">
        <v>20</v>
      </c>
      <c r="W1183" s="311">
        <v>43617</v>
      </c>
      <c r="X1183" s="311"/>
      <c r="Y1183" s="311"/>
      <c r="Z1183" s="158"/>
      <c r="AA1183" s="158"/>
      <c r="AB1183" s="158"/>
      <c r="AC1183" s="158"/>
      <c r="AD1183" s="158"/>
      <c r="AE1183" s="158"/>
      <c r="AF1183" s="158">
        <f t="shared" si="268"/>
        <v>0</v>
      </c>
      <c r="AG1183" s="158"/>
      <c r="AH1183" s="94">
        <v>0</v>
      </c>
      <c r="AI1183" s="94">
        <v>0</v>
      </c>
      <c r="AJ1183" s="94"/>
      <c r="AK1183" s="158">
        <f t="shared" si="269"/>
        <v>0</v>
      </c>
      <c r="AL1183" s="158">
        <v>877</v>
      </c>
      <c r="AM1183" s="158">
        <v>20</v>
      </c>
      <c r="AN1183" s="158"/>
      <c r="AO1183" s="158"/>
      <c r="AP1183" s="158"/>
      <c r="AQ1183" s="23"/>
      <c r="AR1183" s="23"/>
      <c r="AS1183" s="23"/>
      <c r="AT1183" s="2">
        <v>1</v>
      </c>
      <c r="AU1183" s="58" t="s">
        <v>646</v>
      </c>
      <c r="AV1183" s="386" t="s">
        <v>1753</v>
      </c>
      <c r="AW1183" s="23"/>
      <c r="AX1183" s="50"/>
      <c r="AY1183" s="158"/>
      <c r="AZ1183" s="158">
        <v>1</v>
      </c>
      <c r="BA1183" s="158"/>
      <c r="BB1183" s="158"/>
      <c r="BC1183" s="69"/>
      <c r="BD1183" s="69">
        <v>1</v>
      </c>
      <c r="BE1183" s="69"/>
      <c r="BF1183" s="270">
        <v>2019</v>
      </c>
      <c r="BG1183" s="270">
        <v>2019</v>
      </c>
      <c r="BH1183" s="271"/>
      <c r="BI1183" s="271" t="s">
        <v>2375</v>
      </c>
    </row>
    <row r="1184" spans="1:61" s="204" customFormat="1" ht="18" customHeight="1">
      <c r="A1184" s="160" t="s">
        <v>1</v>
      </c>
      <c r="B1184" s="58" t="s">
        <v>320</v>
      </c>
      <c r="C1184" s="66" t="s">
        <v>1415</v>
      </c>
      <c r="D1184" s="33" t="s">
        <v>387</v>
      </c>
      <c r="E1184" s="33"/>
      <c r="F1184" s="33"/>
      <c r="G1184" s="33"/>
      <c r="H1184" s="30" t="s">
        <v>647</v>
      </c>
      <c r="I1184" s="115" t="s">
        <v>1913</v>
      </c>
      <c r="J1184" s="215" t="s">
        <v>1914</v>
      </c>
      <c r="K1184" s="158"/>
      <c r="L1184" s="158"/>
      <c r="M1184" s="158">
        <v>1</v>
      </c>
      <c r="N1184" s="158">
        <v>1</v>
      </c>
      <c r="O1184" s="23"/>
      <c r="P1184" s="158">
        <v>63601392</v>
      </c>
      <c r="Q1184" s="158"/>
      <c r="R1184" s="158"/>
      <c r="S1184" s="158"/>
      <c r="T1184" s="158"/>
      <c r="U1184" s="225">
        <v>28620626</v>
      </c>
      <c r="V1184" s="158">
        <v>20</v>
      </c>
      <c r="W1184" s="311">
        <v>43800</v>
      </c>
      <c r="X1184" s="311"/>
      <c r="Y1184" s="311"/>
      <c r="Z1184" s="158"/>
      <c r="AA1184" s="158"/>
      <c r="AB1184" s="158"/>
      <c r="AC1184" s="158"/>
      <c r="AD1184" s="158"/>
      <c r="AE1184" s="158"/>
      <c r="AF1184" s="158">
        <f t="shared" si="268"/>
        <v>34980766</v>
      </c>
      <c r="AG1184" s="158"/>
      <c r="AH1184" s="94">
        <v>0</v>
      </c>
      <c r="AI1184" s="94">
        <v>34980766</v>
      </c>
      <c r="AJ1184" s="94"/>
      <c r="AK1184" s="666">
        <f>P1184-R1184-U1184-Z1184</f>
        <v>34980766</v>
      </c>
      <c r="AL1184" s="666">
        <v>877</v>
      </c>
      <c r="AM1184" s="666">
        <v>20</v>
      </c>
      <c r="AN1184" s="158">
        <v>1</v>
      </c>
      <c r="AO1184" s="158"/>
      <c r="AP1184" s="158"/>
      <c r="AQ1184" s="23"/>
      <c r="AR1184" s="23"/>
      <c r="AS1184" s="23"/>
      <c r="AT1184" s="2">
        <v>0</v>
      </c>
      <c r="AU1184" s="58" t="s">
        <v>521</v>
      </c>
      <c r="AV1184" s="386"/>
      <c r="AW1184" s="23"/>
      <c r="AX1184" s="23"/>
      <c r="AY1184" s="158"/>
      <c r="AZ1184" s="158"/>
      <c r="BA1184" s="158"/>
      <c r="BB1184" s="158"/>
      <c r="BC1184" s="69"/>
      <c r="BD1184" s="69"/>
      <c r="BE1184" s="69"/>
      <c r="BF1184" s="271"/>
      <c r="BG1184" s="271">
        <v>2019</v>
      </c>
      <c r="BH1184" s="430">
        <v>2020</v>
      </c>
      <c r="BI1184" s="271" t="s">
        <v>2375</v>
      </c>
    </row>
    <row r="1185" spans="1:61" ht="18" customHeight="1">
      <c r="A1185" s="160" t="s">
        <v>1</v>
      </c>
      <c r="B1185" s="58" t="s">
        <v>320</v>
      </c>
      <c r="C1185" s="66" t="s">
        <v>1416</v>
      </c>
      <c r="D1185" s="33" t="s">
        <v>1936</v>
      </c>
      <c r="E1185" s="33"/>
      <c r="F1185" s="33"/>
      <c r="G1185" s="33"/>
      <c r="H1185" s="30" t="s">
        <v>647</v>
      </c>
      <c r="I1185" s="228">
        <v>767</v>
      </c>
      <c r="J1185" s="212">
        <v>43585</v>
      </c>
      <c r="K1185" s="158"/>
      <c r="L1185" s="158">
        <v>1</v>
      </c>
      <c r="M1185" s="158"/>
      <c r="N1185" s="158"/>
      <c r="O1185" s="158"/>
      <c r="P1185" s="158">
        <v>69313900</v>
      </c>
      <c r="Q1185" s="158"/>
      <c r="R1185" s="158"/>
      <c r="S1185" s="158"/>
      <c r="T1185" s="158"/>
      <c r="U1185" s="225">
        <v>69313900</v>
      </c>
      <c r="V1185" s="158">
        <v>20</v>
      </c>
      <c r="W1185" s="311">
        <v>43647</v>
      </c>
      <c r="X1185" s="311"/>
      <c r="Y1185" s="311"/>
      <c r="Z1185" s="158"/>
      <c r="AA1185" s="158"/>
      <c r="AB1185" s="158"/>
      <c r="AC1185" s="158"/>
      <c r="AD1185" s="158"/>
      <c r="AE1185" s="158"/>
      <c r="AF1185" s="158">
        <f t="shared" si="268"/>
        <v>0</v>
      </c>
      <c r="AG1185" s="158"/>
      <c r="AH1185" s="94">
        <v>0</v>
      </c>
      <c r="AI1185" s="94">
        <v>0</v>
      </c>
      <c r="AJ1185" s="94"/>
      <c r="AK1185" s="158">
        <f t="shared" si="269"/>
        <v>0</v>
      </c>
      <c r="AL1185" s="158">
        <v>877</v>
      </c>
      <c r="AM1185" s="158">
        <v>20</v>
      </c>
      <c r="AN1185" s="158"/>
      <c r="AO1185" s="158"/>
      <c r="AP1185" s="158"/>
      <c r="AQ1185" s="23"/>
      <c r="AR1185" s="23"/>
      <c r="AS1185" s="23"/>
      <c r="AT1185" s="2">
        <v>1</v>
      </c>
      <c r="AU1185" s="58" t="s">
        <v>646</v>
      </c>
      <c r="AV1185" s="386" t="s">
        <v>1750</v>
      </c>
      <c r="AW1185" s="23"/>
      <c r="AX1185" s="50"/>
      <c r="AY1185" s="158"/>
      <c r="AZ1185" s="158">
        <v>1</v>
      </c>
      <c r="BA1185" s="158"/>
      <c r="BB1185" s="158"/>
      <c r="BC1185" s="69"/>
      <c r="BD1185" s="69">
        <v>1</v>
      </c>
      <c r="BE1185" s="69"/>
      <c r="BF1185" s="270">
        <v>2019</v>
      </c>
      <c r="BG1185" s="270">
        <v>2019</v>
      </c>
      <c r="BH1185" s="271"/>
      <c r="BI1185" s="271" t="s">
        <v>2375</v>
      </c>
    </row>
    <row r="1186" spans="1:61" ht="18" customHeight="1">
      <c r="A1186" s="160" t="s">
        <v>1</v>
      </c>
      <c r="B1186" s="58" t="s">
        <v>320</v>
      </c>
      <c r="C1186" s="66" t="s">
        <v>1754</v>
      </c>
      <c r="D1186" s="33" t="s">
        <v>1936</v>
      </c>
      <c r="E1186" s="33"/>
      <c r="F1186" s="33"/>
      <c r="G1186" s="33"/>
      <c r="H1186" s="30" t="s">
        <v>647</v>
      </c>
      <c r="I1186" s="228" t="s">
        <v>1755</v>
      </c>
      <c r="J1186" s="333" t="s">
        <v>1756</v>
      </c>
      <c r="K1186" s="158"/>
      <c r="L1186" s="158">
        <v>1</v>
      </c>
      <c r="M1186" s="158"/>
      <c r="N1186" s="158"/>
      <c r="O1186" s="158"/>
      <c r="P1186" s="158">
        <v>79800000</v>
      </c>
      <c r="Q1186" s="158"/>
      <c r="R1186" s="158"/>
      <c r="S1186" s="158"/>
      <c r="T1186" s="158"/>
      <c r="U1186" s="225">
        <v>79800000</v>
      </c>
      <c r="V1186" s="158">
        <v>20</v>
      </c>
      <c r="W1186" s="311">
        <v>43647</v>
      </c>
      <c r="X1186" s="311"/>
      <c r="Y1186" s="311"/>
      <c r="Z1186" s="158"/>
      <c r="AA1186" s="158"/>
      <c r="AB1186" s="158"/>
      <c r="AC1186" s="158"/>
      <c r="AD1186" s="158"/>
      <c r="AE1186" s="158"/>
      <c r="AF1186" s="158">
        <f t="shared" si="268"/>
        <v>0</v>
      </c>
      <c r="AG1186" s="158"/>
      <c r="AH1186" s="94">
        <v>0</v>
      </c>
      <c r="AI1186" s="94">
        <v>0</v>
      </c>
      <c r="AJ1186" s="94"/>
      <c r="AK1186" s="158">
        <f t="shared" si="269"/>
        <v>0</v>
      </c>
      <c r="AL1186" s="158">
        <v>877</v>
      </c>
      <c r="AM1186" s="158">
        <v>20</v>
      </c>
      <c r="AN1186" s="158"/>
      <c r="AO1186" s="158"/>
      <c r="AP1186" s="158"/>
      <c r="AQ1186" s="23"/>
      <c r="AR1186" s="23"/>
      <c r="AS1186" s="23"/>
      <c r="AT1186" s="2">
        <v>1</v>
      </c>
      <c r="AU1186" s="58" t="s">
        <v>646</v>
      </c>
      <c r="AV1186" s="386" t="s">
        <v>1758</v>
      </c>
      <c r="AW1186" s="23"/>
      <c r="AX1186" s="50"/>
      <c r="AY1186" s="158"/>
      <c r="AZ1186" s="158">
        <v>1</v>
      </c>
      <c r="BA1186" s="158"/>
      <c r="BB1186" s="158"/>
      <c r="BC1186" s="69"/>
      <c r="BD1186" s="69">
        <v>1</v>
      </c>
      <c r="BE1186" s="69"/>
      <c r="BF1186" s="270">
        <v>2019</v>
      </c>
      <c r="BG1186" s="270">
        <v>2019</v>
      </c>
      <c r="BH1186" s="271"/>
      <c r="BI1186" s="271" t="s">
        <v>2375</v>
      </c>
    </row>
    <row r="1187" spans="1:61" ht="18" customHeight="1">
      <c r="A1187" s="160" t="s">
        <v>1</v>
      </c>
      <c r="B1187" s="58" t="s">
        <v>320</v>
      </c>
      <c r="C1187" s="66" t="s">
        <v>1405</v>
      </c>
      <c r="D1187" s="33" t="s">
        <v>1936</v>
      </c>
      <c r="E1187" s="33"/>
      <c r="F1187" s="33"/>
      <c r="G1187" s="33"/>
      <c r="H1187" s="30" t="s">
        <v>647</v>
      </c>
      <c r="I1187" s="115" t="s">
        <v>1742</v>
      </c>
      <c r="J1187" s="215" t="s">
        <v>1743</v>
      </c>
      <c r="K1187" s="158"/>
      <c r="L1187" s="158">
        <v>1</v>
      </c>
      <c r="M1187" s="158"/>
      <c r="N1187" s="158"/>
      <c r="O1187" s="158"/>
      <c r="P1187" s="158">
        <v>76950000</v>
      </c>
      <c r="Q1187" s="158"/>
      <c r="R1187" s="158"/>
      <c r="S1187" s="158"/>
      <c r="T1187" s="158"/>
      <c r="U1187" s="225">
        <v>76950000</v>
      </c>
      <c r="V1187" s="158">
        <v>20</v>
      </c>
      <c r="W1187" s="311">
        <v>43617</v>
      </c>
      <c r="X1187" s="311"/>
      <c r="Y1187" s="311"/>
      <c r="Z1187" s="158"/>
      <c r="AA1187" s="158"/>
      <c r="AB1187" s="158"/>
      <c r="AC1187" s="158"/>
      <c r="AD1187" s="158"/>
      <c r="AE1187" s="158"/>
      <c r="AF1187" s="158">
        <f t="shared" si="268"/>
        <v>0</v>
      </c>
      <c r="AG1187" s="158"/>
      <c r="AH1187" s="94">
        <v>0</v>
      </c>
      <c r="AI1187" s="94">
        <v>0</v>
      </c>
      <c r="AJ1187" s="94"/>
      <c r="AK1187" s="158">
        <f t="shared" si="269"/>
        <v>0</v>
      </c>
      <c r="AL1187" s="158">
        <v>877</v>
      </c>
      <c r="AM1187" s="158">
        <v>20</v>
      </c>
      <c r="AN1187" s="158"/>
      <c r="AO1187" s="158"/>
      <c r="AP1187" s="158"/>
      <c r="AQ1187" s="23"/>
      <c r="AR1187" s="23"/>
      <c r="AS1187" s="23"/>
      <c r="AT1187" s="2">
        <v>1</v>
      </c>
      <c r="AU1187" s="58" t="s">
        <v>646</v>
      </c>
      <c r="AV1187" s="388" t="s">
        <v>1757</v>
      </c>
      <c r="AW1187" s="23"/>
      <c r="AX1187" s="50"/>
      <c r="AY1187" s="158"/>
      <c r="AZ1187" s="158">
        <v>1</v>
      </c>
      <c r="BA1187" s="158"/>
      <c r="BB1187" s="158"/>
      <c r="BC1187" s="69"/>
      <c r="BD1187" s="69">
        <v>1</v>
      </c>
      <c r="BE1187" s="69"/>
      <c r="BF1187" s="270">
        <v>2019</v>
      </c>
      <c r="BG1187" s="270">
        <v>2019</v>
      </c>
      <c r="BH1187" s="271"/>
      <c r="BI1187" s="271" t="s">
        <v>2375</v>
      </c>
    </row>
    <row r="1188" spans="1:61" ht="18" customHeight="1">
      <c r="A1188" s="230" t="s">
        <v>1</v>
      </c>
      <c r="B1188" s="58" t="s">
        <v>320</v>
      </c>
      <c r="C1188" s="241" t="s">
        <v>1546</v>
      </c>
      <c r="D1188" s="33" t="s">
        <v>438</v>
      </c>
      <c r="E1188" s="33"/>
      <c r="F1188" s="33"/>
      <c r="G1188" s="33"/>
      <c r="H1188" s="30" t="s">
        <v>1113</v>
      </c>
      <c r="I1188" s="30">
        <v>861</v>
      </c>
      <c r="J1188" s="212">
        <v>43462</v>
      </c>
      <c r="K1188" s="158"/>
      <c r="L1188" s="158"/>
      <c r="M1188" s="158">
        <v>1</v>
      </c>
      <c r="N1188" s="158"/>
      <c r="O1188" s="158"/>
      <c r="P1188" s="158">
        <v>80275000</v>
      </c>
      <c r="Q1188" s="158"/>
      <c r="R1188" s="158"/>
      <c r="S1188" s="158"/>
      <c r="T1188" s="158"/>
      <c r="U1188" s="225">
        <v>80275000</v>
      </c>
      <c r="V1188" s="158">
        <v>20</v>
      </c>
      <c r="W1188" s="311">
        <v>43617</v>
      </c>
      <c r="X1188" s="311"/>
      <c r="Y1188" s="311"/>
      <c r="Z1188" s="158"/>
      <c r="AA1188" s="158"/>
      <c r="AB1188" s="5"/>
      <c r="AC1188" s="5"/>
      <c r="AD1188" s="5"/>
      <c r="AE1188" s="158"/>
      <c r="AF1188" s="158">
        <f t="shared" si="268"/>
        <v>0</v>
      </c>
      <c r="AG1188" s="158"/>
      <c r="AH1188" s="94">
        <v>0</v>
      </c>
      <c r="AI1188" s="94">
        <v>0</v>
      </c>
      <c r="AJ1188" s="94"/>
      <c r="AK1188" s="158">
        <f t="shared" si="269"/>
        <v>0</v>
      </c>
      <c r="AL1188" s="158">
        <v>877</v>
      </c>
      <c r="AM1188" s="158">
        <v>20</v>
      </c>
      <c r="AN1188" s="158"/>
      <c r="AO1188" s="158"/>
      <c r="AP1188" s="158"/>
      <c r="AQ1188" s="23"/>
      <c r="AR1188" s="23"/>
      <c r="AS1188" s="23"/>
      <c r="AT1188" s="2">
        <v>1</v>
      </c>
      <c r="AU1188" s="58" t="s">
        <v>646</v>
      </c>
      <c r="AV1188" s="388" t="s">
        <v>1959</v>
      </c>
      <c r="AW1188" s="23"/>
      <c r="AX1188" s="50"/>
      <c r="AY1188" s="158"/>
      <c r="AZ1188" s="158">
        <v>1</v>
      </c>
      <c r="BA1188" s="158"/>
      <c r="BB1188" s="158"/>
      <c r="BC1188" s="69"/>
      <c r="BD1188" s="69">
        <v>1</v>
      </c>
      <c r="BE1188" s="69"/>
      <c r="BF1188" s="270">
        <v>2019</v>
      </c>
      <c r="BG1188" s="270">
        <v>2019</v>
      </c>
      <c r="BH1188" s="271"/>
      <c r="BI1188" s="271" t="s">
        <v>2375</v>
      </c>
    </row>
    <row r="1189" spans="1:61" s="204" customFormat="1" ht="18" customHeight="1">
      <c r="A1189" s="160" t="s">
        <v>1</v>
      </c>
      <c r="B1189" s="58" t="s">
        <v>320</v>
      </c>
      <c r="C1189" s="66" t="s">
        <v>1545</v>
      </c>
      <c r="D1189" s="33" t="s">
        <v>438</v>
      </c>
      <c r="E1189" s="33"/>
      <c r="F1189" s="33"/>
      <c r="G1189" s="33"/>
      <c r="H1189" s="30" t="s">
        <v>661</v>
      </c>
      <c r="I1189" s="228" t="s">
        <v>1988</v>
      </c>
      <c r="J1189" s="212">
        <v>41145</v>
      </c>
      <c r="K1189" s="158"/>
      <c r="L1189" s="158"/>
      <c r="M1189" s="158">
        <v>1</v>
      </c>
      <c r="N1189" s="158">
        <v>1</v>
      </c>
      <c r="O1189" s="23"/>
      <c r="P1189" s="158">
        <f>55714595+8719235</f>
        <v>64433830</v>
      </c>
      <c r="Q1189" s="158"/>
      <c r="R1189" s="298"/>
      <c r="S1189" s="158"/>
      <c r="T1189" s="158"/>
      <c r="U1189" s="225"/>
      <c r="V1189" s="158"/>
      <c r="W1189" s="311"/>
      <c r="X1189" s="311"/>
      <c r="Y1189" s="311"/>
      <c r="Z1189" s="158"/>
      <c r="AA1189" s="69"/>
      <c r="AB1189" s="276"/>
      <c r="AC1189" s="276"/>
      <c r="AD1189" s="276"/>
      <c r="AE1189" s="158"/>
      <c r="AF1189" s="158">
        <f t="shared" si="268"/>
        <v>64433830</v>
      </c>
      <c r="AG1189" s="158"/>
      <c r="AH1189" s="94">
        <v>0</v>
      </c>
      <c r="AI1189" s="94">
        <v>64433830</v>
      </c>
      <c r="AJ1189" s="94"/>
      <c r="AK1189" s="75">
        <f>P1189-R1189-U1189-Z1189</f>
        <v>64433830</v>
      </c>
      <c r="AL1189" s="72" t="s">
        <v>2184</v>
      </c>
      <c r="AM1189" s="72">
        <v>10</v>
      </c>
      <c r="AN1189" s="158">
        <v>1</v>
      </c>
      <c r="AO1189" s="158"/>
      <c r="AP1189" s="158"/>
      <c r="AQ1189" s="23"/>
      <c r="AR1189" s="23"/>
      <c r="AS1189" s="23"/>
      <c r="AT1189" s="2">
        <v>0</v>
      </c>
      <c r="AU1189" s="58" t="s">
        <v>521</v>
      </c>
      <c r="AV1189" s="386" t="s">
        <v>2357</v>
      </c>
      <c r="AW1189" s="23"/>
      <c r="AX1189" s="50"/>
      <c r="AY1189" s="158"/>
      <c r="AZ1189" s="158"/>
      <c r="BA1189" s="158"/>
      <c r="BB1189" s="158"/>
      <c r="BC1189" s="69"/>
      <c r="BD1189" s="69"/>
      <c r="BE1189" s="69"/>
      <c r="BF1189" s="271"/>
      <c r="BG1189" s="271">
        <v>2019</v>
      </c>
      <c r="BH1189" s="271">
        <v>2020</v>
      </c>
      <c r="BI1189" s="271" t="s">
        <v>2375</v>
      </c>
    </row>
    <row r="1190" spans="1:61" ht="18" customHeight="1">
      <c r="A1190" s="160" t="s">
        <v>1</v>
      </c>
      <c r="B1190" s="58" t="s">
        <v>320</v>
      </c>
      <c r="C1190" s="241" t="s">
        <v>1761</v>
      </c>
      <c r="D1190" s="33" t="s">
        <v>438</v>
      </c>
      <c r="E1190" s="33"/>
      <c r="F1190" s="33"/>
      <c r="G1190" s="33"/>
      <c r="H1190" s="30" t="s">
        <v>1605</v>
      </c>
      <c r="I1190" s="78">
        <v>1411</v>
      </c>
      <c r="J1190" s="212">
        <v>43693</v>
      </c>
      <c r="K1190" s="158"/>
      <c r="L1190" s="158"/>
      <c r="M1190" s="158">
        <v>1</v>
      </c>
      <c r="N1190" s="158"/>
      <c r="O1190" s="158"/>
      <c r="P1190" s="158">
        <v>80277356</v>
      </c>
      <c r="Q1190" s="158"/>
      <c r="R1190" s="298"/>
      <c r="S1190" s="158"/>
      <c r="T1190" s="158"/>
      <c r="U1190" s="225">
        <v>80277356</v>
      </c>
      <c r="V1190" s="158">
        <v>20</v>
      </c>
      <c r="W1190" s="311">
        <v>43770</v>
      </c>
      <c r="X1190" s="311"/>
      <c r="Y1190" s="311"/>
      <c r="Z1190" s="158"/>
      <c r="AA1190" s="69"/>
      <c r="AB1190" s="276"/>
      <c r="AC1190" s="276"/>
      <c r="AD1190" s="276"/>
      <c r="AE1190" s="158"/>
      <c r="AF1190" s="158">
        <f t="shared" si="268"/>
        <v>0</v>
      </c>
      <c r="AG1190" s="158"/>
      <c r="AH1190" s="94">
        <v>0</v>
      </c>
      <c r="AI1190" s="94">
        <v>0</v>
      </c>
      <c r="AJ1190" s="94"/>
      <c r="AK1190" s="158">
        <f t="shared" si="269"/>
        <v>0</v>
      </c>
      <c r="AL1190" s="158">
        <v>877</v>
      </c>
      <c r="AM1190" s="158">
        <v>20</v>
      </c>
      <c r="AN1190" s="158"/>
      <c r="AO1190" s="158"/>
      <c r="AP1190" s="158"/>
      <c r="AQ1190" s="23"/>
      <c r="AR1190" s="23"/>
      <c r="AS1190" s="23"/>
      <c r="AT1190" s="2">
        <v>1</v>
      </c>
      <c r="AU1190" s="58" t="s">
        <v>646</v>
      </c>
      <c r="AV1190" s="388" t="s">
        <v>1960</v>
      </c>
      <c r="AW1190" s="23"/>
      <c r="AX1190" s="50"/>
      <c r="AY1190" s="158"/>
      <c r="AZ1190" s="158">
        <v>1</v>
      </c>
      <c r="BA1190" s="158"/>
      <c r="BB1190" s="158"/>
      <c r="BC1190" s="69"/>
      <c r="BD1190" s="69">
        <v>1</v>
      </c>
      <c r="BE1190" s="69"/>
      <c r="BF1190" s="270">
        <v>2019</v>
      </c>
      <c r="BG1190" s="270">
        <v>2019</v>
      </c>
      <c r="BH1190" s="271"/>
      <c r="BI1190" s="271" t="s">
        <v>2375</v>
      </c>
    </row>
    <row r="1191" spans="1:61" s="204" customFormat="1" ht="18" customHeight="1">
      <c r="A1191" s="160" t="s">
        <v>1</v>
      </c>
      <c r="B1191" s="58" t="s">
        <v>320</v>
      </c>
      <c r="C1191" s="66" t="s">
        <v>1899</v>
      </c>
      <c r="D1191" s="33" t="s">
        <v>1936</v>
      </c>
      <c r="E1191" s="33"/>
      <c r="F1191" s="33"/>
      <c r="G1191" s="33"/>
      <c r="H1191" s="30" t="s">
        <v>1605</v>
      </c>
      <c r="I1191" s="78">
        <v>1407</v>
      </c>
      <c r="J1191" s="212">
        <v>43693</v>
      </c>
      <c r="K1191" s="158"/>
      <c r="L1191" s="158"/>
      <c r="M1191" s="158">
        <v>1</v>
      </c>
      <c r="N1191" s="158">
        <v>1</v>
      </c>
      <c r="O1191" s="23"/>
      <c r="P1191" s="158">
        <f>79800000</f>
        <v>79800000</v>
      </c>
      <c r="Q1191" s="158"/>
      <c r="R1191" s="298"/>
      <c r="S1191" s="158"/>
      <c r="T1191" s="158"/>
      <c r="U1191" s="225"/>
      <c r="V1191" s="158"/>
      <c r="W1191" s="311"/>
      <c r="X1191" s="311"/>
      <c r="Y1191" s="311"/>
      <c r="Z1191" s="158"/>
      <c r="AA1191" s="69"/>
      <c r="AB1191" s="276"/>
      <c r="AC1191" s="276"/>
      <c r="AD1191" s="276"/>
      <c r="AE1191" s="158"/>
      <c r="AF1191" s="158">
        <f t="shared" si="268"/>
        <v>79800000</v>
      </c>
      <c r="AG1191" s="158"/>
      <c r="AH1191" s="94">
        <v>0</v>
      </c>
      <c r="AI1191" s="94">
        <v>79800000</v>
      </c>
      <c r="AJ1191" s="94"/>
      <c r="AK1191" s="602">
        <f t="shared" ref="AK1191:AK1214" si="272">P1191-R1191-U1191-Z1191</f>
        <v>79800000</v>
      </c>
      <c r="AL1191" s="72">
        <v>877</v>
      </c>
      <c r="AM1191" s="72">
        <v>10</v>
      </c>
      <c r="AN1191" s="158">
        <v>1</v>
      </c>
      <c r="AO1191" s="158"/>
      <c r="AP1191" s="158"/>
      <c r="AQ1191" s="23"/>
      <c r="AR1191" s="23"/>
      <c r="AS1191" s="23"/>
      <c r="AT1191" s="56">
        <v>0</v>
      </c>
      <c r="AU1191" s="58" t="s">
        <v>521</v>
      </c>
      <c r="AV1191" s="386"/>
      <c r="AW1191" s="23"/>
      <c r="AX1191" s="50"/>
      <c r="AY1191" s="158"/>
      <c r="AZ1191" s="158"/>
      <c r="BA1191" s="158"/>
      <c r="BB1191" s="158"/>
      <c r="BC1191" s="69"/>
      <c r="BD1191" s="69"/>
      <c r="BE1191" s="69"/>
      <c r="BF1191" s="271"/>
      <c r="BG1191" s="271">
        <v>2019</v>
      </c>
      <c r="BH1191" s="271">
        <v>2020</v>
      </c>
      <c r="BI1191" s="271" t="s">
        <v>2375</v>
      </c>
    </row>
    <row r="1192" spans="1:61" s="204" customFormat="1" ht="18" customHeight="1">
      <c r="A1192" s="160" t="s">
        <v>1</v>
      </c>
      <c r="B1192" s="58" t="s">
        <v>320</v>
      </c>
      <c r="C1192" s="66" t="s">
        <v>1900</v>
      </c>
      <c r="D1192" s="33" t="s">
        <v>1936</v>
      </c>
      <c r="E1192" s="33"/>
      <c r="F1192" s="33"/>
      <c r="G1192" s="33"/>
      <c r="H1192" s="30" t="s">
        <v>1605</v>
      </c>
      <c r="I1192" s="78">
        <v>1425</v>
      </c>
      <c r="J1192" s="212">
        <v>43697</v>
      </c>
      <c r="K1192" s="158"/>
      <c r="L1192" s="158"/>
      <c r="M1192" s="158">
        <v>1</v>
      </c>
      <c r="N1192" s="158">
        <v>1</v>
      </c>
      <c r="O1192" s="23"/>
      <c r="P1192" s="158">
        <f>58100000</f>
        <v>58100000</v>
      </c>
      <c r="Q1192" s="158"/>
      <c r="R1192" s="298"/>
      <c r="S1192" s="158"/>
      <c r="T1192" s="158"/>
      <c r="U1192" s="225"/>
      <c r="V1192" s="158"/>
      <c r="W1192" s="311"/>
      <c r="X1192" s="311"/>
      <c r="Y1192" s="311"/>
      <c r="Z1192" s="158"/>
      <c r="AA1192" s="69"/>
      <c r="AB1192" s="276"/>
      <c r="AC1192" s="276"/>
      <c r="AD1192" s="276"/>
      <c r="AE1192" s="158"/>
      <c r="AF1192" s="158">
        <f t="shared" si="268"/>
        <v>58100000</v>
      </c>
      <c r="AG1192" s="158"/>
      <c r="AH1192" s="94">
        <v>0</v>
      </c>
      <c r="AI1192" s="94">
        <v>58100000</v>
      </c>
      <c r="AJ1192" s="94"/>
      <c r="AK1192" s="602">
        <f t="shared" si="272"/>
        <v>58100000</v>
      </c>
      <c r="AL1192" s="72">
        <v>877</v>
      </c>
      <c r="AM1192" s="72">
        <v>10</v>
      </c>
      <c r="AN1192" s="158">
        <v>1</v>
      </c>
      <c r="AO1192" s="158"/>
      <c r="AP1192" s="158"/>
      <c r="AQ1192" s="23"/>
      <c r="AR1192" s="23"/>
      <c r="AS1192" s="23"/>
      <c r="AT1192" s="56">
        <v>0</v>
      </c>
      <c r="AU1192" s="58" t="s">
        <v>521</v>
      </c>
      <c r="AV1192" s="386"/>
      <c r="AW1192" s="23"/>
      <c r="AX1192" s="50"/>
      <c r="AY1192" s="158"/>
      <c r="AZ1192" s="158"/>
      <c r="BA1192" s="158"/>
      <c r="BB1192" s="158"/>
      <c r="BC1192" s="69"/>
      <c r="BD1192" s="69"/>
      <c r="BE1192" s="69"/>
      <c r="BF1192" s="271"/>
      <c r="BG1192" s="271">
        <v>2019</v>
      </c>
      <c r="BH1192" s="271">
        <v>2020</v>
      </c>
      <c r="BI1192" s="271" t="s">
        <v>2375</v>
      </c>
    </row>
    <row r="1193" spans="1:61" s="204" customFormat="1" ht="18" customHeight="1">
      <c r="A1193" s="160" t="s">
        <v>1</v>
      </c>
      <c r="B1193" s="58" t="s">
        <v>320</v>
      </c>
      <c r="C1193" s="241" t="s">
        <v>1901</v>
      </c>
      <c r="D1193" s="33" t="s">
        <v>387</v>
      </c>
      <c r="E1193" s="33"/>
      <c r="F1193" s="33"/>
      <c r="G1193" s="33"/>
      <c r="H1193" s="30" t="s">
        <v>1605</v>
      </c>
      <c r="I1193" s="78">
        <v>1412</v>
      </c>
      <c r="J1193" s="212">
        <v>43696</v>
      </c>
      <c r="K1193" s="158"/>
      <c r="L1193" s="158"/>
      <c r="M1193" s="158">
        <v>1</v>
      </c>
      <c r="N1193" s="158">
        <v>1</v>
      </c>
      <c r="O1193" s="23"/>
      <c r="P1193" s="158">
        <f>65827432</f>
        <v>65827432</v>
      </c>
      <c r="Q1193" s="158"/>
      <c r="R1193" s="298"/>
      <c r="S1193" s="158"/>
      <c r="T1193" s="158"/>
      <c r="U1193" s="225">
        <v>29622344</v>
      </c>
      <c r="V1193" s="158">
        <v>20</v>
      </c>
      <c r="W1193" s="311">
        <v>43800</v>
      </c>
      <c r="X1193" s="311"/>
      <c r="Y1193" s="311"/>
      <c r="Z1193" s="158"/>
      <c r="AA1193" s="69"/>
      <c r="AB1193" s="276"/>
      <c r="AC1193" s="276"/>
      <c r="AD1193" s="276"/>
      <c r="AE1193" s="158"/>
      <c r="AF1193" s="158">
        <f t="shared" si="268"/>
        <v>36205088</v>
      </c>
      <c r="AG1193" s="158"/>
      <c r="AH1193" s="94">
        <v>0</v>
      </c>
      <c r="AI1193" s="94">
        <v>36205088</v>
      </c>
      <c r="AJ1193" s="94"/>
      <c r="AK1193" s="602">
        <f t="shared" si="272"/>
        <v>36205088</v>
      </c>
      <c r="AL1193" s="72">
        <v>877</v>
      </c>
      <c r="AM1193" s="72">
        <v>10</v>
      </c>
      <c r="AN1193" s="158">
        <v>1</v>
      </c>
      <c r="AO1193" s="158"/>
      <c r="AP1193" s="158"/>
      <c r="AQ1193" s="23"/>
      <c r="AR1193" s="23"/>
      <c r="AS1193" s="23"/>
      <c r="AT1193" s="56">
        <v>0</v>
      </c>
      <c r="AU1193" s="58" t="s">
        <v>521</v>
      </c>
      <c r="AV1193" s="386"/>
      <c r="AW1193" s="23"/>
      <c r="AX1193" s="50"/>
      <c r="AY1193" s="158"/>
      <c r="AZ1193" s="158"/>
      <c r="BA1193" s="158"/>
      <c r="BB1193" s="158"/>
      <c r="BC1193" s="69"/>
      <c r="BD1193" s="69"/>
      <c r="BE1193" s="69"/>
      <c r="BF1193" s="271"/>
      <c r="BG1193" s="271">
        <v>2019</v>
      </c>
      <c r="BH1193" s="271">
        <v>2020</v>
      </c>
      <c r="BI1193" s="271" t="s">
        <v>2375</v>
      </c>
    </row>
    <row r="1194" spans="1:61" s="204" customFormat="1" ht="18" customHeight="1">
      <c r="A1194" s="160" t="s">
        <v>1</v>
      </c>
      <c r="B1194" s="58" t="s">
        <v>320</v>
      </c>
      <c r="C1194" s="241" t="s">
        <v>1896</v>
      </c>
      <c r="D1194" s="33" t="s">
        <v>1936</v>
      </c>
      <c r="E1194" s="33"/>
      <c r="F1194" s="33"/>
      <c r="G1194" s="33"/>
      <c r="H1194" s="30" t="s">
        <v>1605</v>
      </c>
      <c r="I1194" s="78">
        <v>1417</v>
      </c>
      <c r="J1194" s="212">
        <v>43696</v>
      </c>
      <c r="K1194" s="158"/>
      <c r="L1194" s="158"/>
      <c r="M1194" s="158">
        <v>1</v>
      </c>
      <c r="N1194" s="158">
        <v>1</v>
      </c>
      <c r="O1194" s="23"/>
      <c r="P1194" s="158">
        <v>56000000</v>
      </c>
      <c r="Q1194" s="158"/>
      <c r="R1194" s="298"/>
      <c r="S1194" s="158"/>
      <c r="T1194" s="158"/>
      <c r="U1194" s="225">
        <v>56000000</v>
      </c>
      <c r="V1194" s="158">
        <v>20</v>
      </c>
      <c r="W1194" s="311">
        <v>43800</v>
      </c>
      <c r="X1194" s="311"/>
      <c r="Y1194" s="311"/>
      <c r="Z1194" s="158"/>
      <c r="AA1194" s="69"/>
      <c r="AB1194" s="276"/>
      <c r="AC1194" s="276"/>
      <c r="AD1194" s="276"/>
      <c r="AE1194" s="158"/>
      <c r="AF1194" s="158">
        <f>P1194-U1194-Z1194</f>
        <v>0</v>
      </c>
      <c r="AG1194" s="158"/>
      <c r="AH1194" s="94">
        <v>0</v>
      </c>
      <c r="AI1194" s="94">
        <v>0</v>
      </c>
      <c r="AJ1194" s="94"/>
      <c r="AK1194" s="158">
        <f t="shared" si="272"/>
        <v>0</v>
      </c>
      <c r="AL1194" s="158">
        <v>877</v>
      </c>
      <c r="AM1194" s="158">
        <v>20</v>
      </c>
      <c r="AN1194" s="158"/>
      <c r="AO1194" s="158"/>
      <c r="AP1194" s="158">
        <v>1</v>
      </c>
      <c r="AQ1194" s="23"/>
      <c r="AR1194" s="23"/>
      <c r="AS1194" s="23"/>
      <c r="AT1194" s="56">
        <v>1</v>
      </c>
      <c r="AU1194" s="58" t="s">
        <v>646</v>
      </c>
      <c r="AV1194" s="386" t="s">
        <v>1966</v>
      </c>
      <c r="AW1194" s="23"/>
      <c r="AX1194" s="50"/>
      <c r="AY1194" s="158"/>
      <c r="AZ1194" s="158"/>
      <c r="BA1194" s="156">
        <v>1</v>
      </c>
      <c r="BB1194" s="158"/>
      <c r="BC1194" s="69"/>
      <c r="BD1194" s="69">
        <v>1</v>
      </c>
      <c r="BE1194" s="69"/>
      <c r="BF1194" s="271">
        <v>2020</v>
      </c>
      <c r="BG1194" s="271">
        <v>2019</v>
      </c>
      <c r="BH1194" s="271">
        <v>2020</v>
      </c>
      <c r="BI1194" s="271" t="s">
        <v>2375</v>
      </c>
    </row>
    <row r="1195" spans="1:61" s="204" customFormat="1" ht="18" customHeight="1">
      <c r="A1195" s="160" t="s">
        <v>1</v>
      </c>
      <c r="B1195" s="58" t="s">
        <v>320</v>
      </c>
      <c r="C1195" s="241" t="s">
        <v>1897</v>
      </c>
      <c r="D1195" s="33" t="s">
        <v>1936</v>
      </c>
      <c r="E1195" s="33"/>
      <c r="F1195" s="33"/>
      <c r="G1195" s="33"/>
      <c r="H1195" s="30" t="s">
        <v>1605</v>
      </c>
      <c r="I1195" s="78">
        <v>1423</v>
      </c>
      <c r="J1195" s="212">
        <v>43696</v>
      </c>
      <c r="K1195" s="158"/>
      <c r="L1195" s="158"/>
      <c r="M1195" s="158">
        <v>1</v>
      </c>
      <c r="N1195" s="158">
        <v>1</v>
      </c>
      <c r="O1195" s="23"/>
      <c r="P1195" s="158">
        <v>76000000</v>
      </c>
      <c r="Q1195" s="158"/>
      <c r="R1195" s="298"/>
      <c r="S1195" s="158"/>
      <c r="T1195" s="158"/>
      <c r="U1195" s="225">
        <v>76000000</v>
      </c>
      <c r="V1195" s="158">
        <v>20</v>
      </c>
      <c r="W1195" s="311">
        <v>43800</v>
      </c>
      <c r="X1195" s="311"/>
      <c r="Y1195" s="311"/>
      <c r="Z1195" s="158"/>
      <c r="AA1195" s="69"/>
      <c r="AB1195" s="276"/>
      <c r="AC1195" s="276"/>
      <c r="AD1195" s="276"/>
      <c r="AE1195" s="158"/>
      <c r="AF1195" s="158">
        <f t="shared" si="268"/>
        <v>0</v>
      </c>
      <c r="AG1195" s="158"/>
      <c r="AH1195" s="94">
        <v>0</v>
      </c>
      <c r="AI1195" s="94">
        <v>0</v>
      </c>
      <c r="AJ1195" s="94"/>
      <c r="AK1195" s="158">
        <f t="shared" si="272"/>
        <v>0</v>
      </c>
      <c r="AL1195" s="158">
        <v>877</v>
      </c>
      <c r="AM1195" s="158">
        <v>20</v>
      </c>
      <c r="AN1195" s="158"/>
      <c r="AO1195" s="158"/>
      <c r="AP1195" s="158">
        <v>1</v>
      </c>
      <c r="AQ1195" s="23"/>
      <c r="AR1195" s="23"/>
      <c r="AS1195" s="23"/>
      <c r="AT1195" s="56">
        <v>1</v>
      </c>
      <c r="AU1195" s="58" t="s">
        <v>646</v>
      </c>
      <c r="AV1195" s="386" t="s">
        <v>1967</v>
      </c>
      <c r="AW1195" s="23"/>
      <c r="AX1195" s="50"/>
      <c r="AY1195" s="158"/>
      <c r="AZ1195" s="158"/>
      <c r="BA1195" s="156">
        <v>1</v>
      </c>
      <c r="BB1195" s="158"/>
      <c r="BC1195" s="69"/>
      <c r="BD1195" s="69">
        <v>1</v>
      </c>
      <c r="BE1195" s="69"/>
      <c r="BF1195" s="271">
        <v>2020</v>
      </c>
      <c r="BG1195" s="271">
        <v>2019</v>
      </c>
      <c r="BH1195" s="271">
        <v>2020</v>
      </c>
      <c r="BI1195" s="271" t="s">
        <v>2375</v>
      </c>
    </row>
    <row r="1196" spans="1:61" s="204" customFormat="1" ht="18" customHeight="1">
      <c r="A1196" s="160" t="s">
        <v>1</v>
      </c>
      <c r="B1196" s="58" t="s">
        <v>320</v>
      </c>
      <c r="C1196" s="241" t="s">
        <v>1902</v>
      </c>
      <c r="D1196" s="33" t="s">
        <v>1936</v>
      </c>
      <c r="E1196" s="33"/>
      <c r="F1196" s="33"/>
      <c r="G1196" s="33"/>
      <c r="H1196" s="30" t="s">
        <v>1605</v>
      </c>
      <c r="I1196" s="78">
        <v>1397</v>
      </c>
      <c r="J1196" s="212">
        <v>43691</v>
      </c>
      <c r="K1196" s="158"/>
      <c r="L1196" s="158"/>
      <c r="M1196" s="158">
        <v>1</v>
      </c>
      <c r="N1196" s="158">
        <v>1</v>
      </c>
      <c r="O1196" s="23"/>
      <c r="P1196" s="158">
        <v>76000000</v>
      </c>
      <c r="Q1196" s="158"/>
      <c r="R1196" s="299"/>
      <c r="S1196" s="158"/>
      <c r="T1196" s="158"/>
      <c r="U1196" s="225">
        <v>76000000</v>
      </c>
      <c r="V1196" s="158">
        <v>10</v>
      </c>
      <c r="W1196" s="311">
        <v>43920</v>
      </c>
      <c r="X1196" s="311"/>
      <c r="Y1196" s="311"/>
      <c r="Z1196" s="158"/>
      <c r="AA1196" s="69"/>
      <c r="AB1196" s="276"/>
      <c r="AC1196" s="276"/>
      <c r="AD1196" s="276"/>
      <c r="AE1196" s="158"/>
      <c r="AF1196" s="158">
        <f>P1196</f>
        <v>76000000</v>
      </c>
      <c r="AG1196" s="158"/>
      <c r="AH1196" s="94">
        <v>0</v>
      </c>
      <c r="AI1196" s="94">
        <v>76000000</v>
      </c>
      <c r="AJ1196" s="94"/>
      <c r="AK1196" s="72">
        <f t="shared" si="272"/>
        <v>0</v>
      </c>
      <c r="AL1196" s="158">
        <v>877</v>
      </c>
      <c r="AM1196" s="158">
        <v>10</v>
      </c>
      <c r="AN1196" s="158"/>
      <c r="AO1196" s="158"/>
      <c r="AP1196" s="158">
        <v>1</v>
      </c>
      <c r="AQ1196" s="23"/>
      <c r="AR1196" s="23"/>
      <c r="AS1196" s="23"/>
      <c r="AT1196" s="56">
        <v>1</v>
      </c>
      <c r="AU1196" s="58" t="s">
        <v>646</v>
      </c>
      <c r="AV1196" s="386"/>
      <c r="AW1196" s="23"/>
      <c r="AX1196" s="50"/>
      <c r="AY1196" s="158"/>
      <c r="AZ1196" s="158"/>
      <c r="BA1196" s="156">
        <v>1</v>
      </c>
      <c r="BB1196" s="158"/>
      <c r="BC1196" s="69"/>
      <c r="BD1196" s="69">
        <v>1</v>
      </c>
      <c r="BE1196" s="69"/>
      <c r="BF1196" s="271">
        <v>2020</v>
      </c>
      <c r="BG1196" s="271">
        <v>2019</v>
      </c>
      <c r="BH1196" s="271">
        <v>2020</v>
      </c>
      <c r="BI1196" s="271" t="s">
        <v>2375</v>
      </c>
    </row>
    <row r="1197" spans="1:61" s="204" customFormat="1" ht="18" customHeight="1">
      <c r="A1197" s="160" t="s">
        <v>1</v>
      </c>
      <c r="B1197" s="58" t="s">
        <v>320</v>
      </c>
      <c r="C1197" s="241" t="s">
        <v>1898</v>
      </c>
      <c r="D1197" s="33" t="s">
        <v>1936</v>
      </c>
      <c r="E1197" s="33"/>
      <c r="F1197" s="33"/>
      <c r="G1197" s="33"/>
      <c r="H1197" s="30" t="s">
        <v>1605</v>
      </c>
      <c r="I1197" s="78">
        <v>1414</v>
      </c>
      <c r="J1197" s="212">
        <v>43696</v>
      </c>
      <c r="K1197" s="158"/>
      <c r="L1197" s="158"/>
      <c r="M1197" s="158">
        <v>1</v>
      </c>
      <c r="N1197" s="158">
        <v>1</v>
      </c>
      <c r="O1197" s="23"/>
      <c r="P1197" s="158">
        <v>76000000</v>
      </c>
      <c r="Q1197" s="158"/>
      <c r="R1197" s="298"/>
      <c r="S1197" s="158"/>
      <c r="T1197" s="158"/>
      <c r="U1197" s="225">
        <v>76000000</v>
      </c>
      <c r="V1197" s="158">
        <v>20</v>
      </c>
      <c r="W1197" s="311">
        <v>43800</v>
      </c>
      <c r="X1197" s="311"/>
      <c r="Y1197" s="311"/>
      <c r="Z1197" s="158"/>
      <c r="AA1197" s="69"/>
      <c r="AB1197" s="276"/>
      <c r="AC1197" s="276"/>
      <c r="AD1197" s="276"/>
      <c r="AE1197" s="158"/>
      <c r="AF1197" s="158">
        <f>P1197-U1197-Z1197</f>
        <v>0</v>
      </c>
      <c r="AG1197" s="158"/>
      <c r="AH1197" s="94">
        <v>0</v>
      </c>
      <c r="AI1197" s="94">
        <v>0</v>
      </c>
      <c r="AJ1197" s="94"/>
      <c r="AK1197" s="158">
        <f t="shared" si="272"/>
        <v>0</v>
      </c>
      <c r="AL1197" s="158">
        <v>877</v>
      </c>
      <c r="AM1197" s="158">
        <v>20</v>
      </c>
      <c r="AN1197" s="158"/>
      <c r="AO1197" s="158"/>
      <c r="AP1197" s="158">
        <v>1</v>
      </c>
      <c r="AQ1197" s="23"/>
      <c r="AR1197" s="23"/>
      <c r="AS1197" s="23"/>
      <c r="AT1197" s="56">
        <v>1</v>
      </c>
      <c r="AU1197" s="58" t="s">
        <v>646</v>
      </c>
      <c r="AV1197" s="386" t="s">
        <v>1965</v>
      </c>
      <c r="AW1197" s="23"/>
      <c r="AX1197" s="50"/>
      <c r="AY1197" s="158"/>
      <c r="AZ1197" s="158"/>
      <c r="BA1197" s="156">
        <v>1</v>
      </c>
      <c r="BB1197" s="158"/>
      <c r="BC1197" s="69"/>
      <c r="BD1197" s="69">
        <v>1</v>
      </c>
      <c r="BE1197" s="69"/>
      <c r="BF1197" s="271">
        <v>2020</v>
      </c>
      <c r="BG1197" s="271">
        <v>2019</v>
      </c>
      <c r="BH1197" s="271">
        <v>2020</v>
      </c>
      <c r="BI1197" s="271" t="s">
        <v>2375</v>
      </c>
    </row>
    <row r="1198" spans="1:61" s="204" customFormat="1" ht="18" customHeight="1">
      <c r="A1198" s="160" t="s">
        <v>1</v>
      </c>
      <c r="B1198" s="58" t="s">
        <v>320</v>
      </c>
      <c r="C1198" s="241" t="s">
        <v>1903</v>
      </c>
      <c r="D1198" s="33" t="s">
        <v>1936</v>
      </c>
      <c r="E1198" s="33"/>
      <c r="F1198" s="33"/>
      <c r="G1198" s="33"/>
      <c r="H1198" s="30" t="s">
        <v>1605</v>
      </c>
      <c r="I1198" s="78">
        <v>1420</v>
      </c>
      <c r="J1198" s="212">
        <v>43696</v>
      </c>
      <c r="K1198" s="158"/>
      <c r="L1198" s="158"/>
      <c r="M1198" s="158">
        <v>1</v>
      </c>
      <c r="N1198" s="158">
        <v>1</v>
      </c>
      <c r="O1198" s="23"/>
      <c r="P1198" s="158">
        <v>77562674</v>
      </c>
      <c r="Q1198" s="158"/>
      <c r="R1198" s="299"/>
      <c r="S1198" s="158"/>
      <c r="T1198" s="158"/>
      <c r="U1198" s="225">
        <v>77562674</v>
      </c>
      <c r="V1198" s="158">
        <v>10</v>
      </c>
      <c r="W1198" s="311">
        <v>43888</v>
      </c>
      <c r="X1198" s="311"/>
      <c r="Y1198" s="311"/>
      <c r="Z1198" s="158"/>
      <c r="AA1198" s="69"/>
      <c r="AB1198" s="276"/>
      <c r="AC1198" s="276"/>
      <c r="AD1198" s="276"/>
      <c r="AE1198" s="158"/>
      <c r="AF1198" s="158">
        <f t="shared" ref="AF1198:AF1199" si="273">P1198</f>
        <v>77562674</v>
      </c>
      <c r="AG1198" s="158"/>
      <c r="AH1198" s="94">
        <v>0</v>
      </c>
      <c r="AI1198" s="94">
        <v>77562674</v>
      </c>
      <c r="AJ1198" s="94"/>
      <c r="AK1198" s="72">
        <f t="shared" si="272"/>
        <v>0</v>
      </c>
      <c r="AL1198" s="158">
        <v>877</v>
      </c>
      <c r="AM1198" s="158">
        <v>10</v>
      </c>
      <c r="AN1198" s="158"/>
      <c r="AO1198" s="158"/>
      <c r="AP1198" s="158">
        <v>1</v>
      </c>
      <c r="AQ1198" s="23"/>
      <c r="AR1198" s="23"/>
      <c r="AS1198" s="23"/>
      <c r="AT1198" s="56">
        <v>1</v>
      </c>
      <c r="AU1198" s="58" t="s">
        <v>646</v>
      </c>
      <c r="AV1198" s="386"/>
      <c r="AW1198" s="23"/>
      <c r="AX1198" s="50"/>
      <c r="AY1198" s="158"/>
      <c r="AZ1198" s="158"/>
      <c r="BA1198" s="156">
        <v>1</v>
      </c>
      <c r="BB1198" s="158"/>
      <c r="BC1198" s="69"/>
      <c r="BD1198" s="69">
        <v>1</v>
      </c>
      <c r="BE1198" s="69"/>
      <c r="BF1198" s="271">
        <v>2020</v>
      </c>
      <c r="BG1198" s="271">
        <v>2019</v>
      </c>
      <c r="BH1198" s="430">
        <v>2020</v>
      </c>
      <c r="BI1198" s="271" t="s">
        <v>2375</v>
      </c>
    </row>
    <row r="1199" spans="1:61" s="204" customFormat="1" ht="18" customHeight="1">
      <c r="A1199" s="160" t="s">
        <v>1</v>
      </c>
      <c r="B1199" s="58" t="s">
        <v>320</v>
      </c>
      <c r="C1199" s="241" t="s">
        <v>1904</v>
      </c>
      <c r="D1199" s="33" t="s">
        <v>387</v>
      </c>
      <c r="E1199" s="33"/>
      <c r="F1199" s="33">
        <v>4</v>
      </c>
      <c r="G1199" s="33"/>
      <c r="H1199" s="30" t="s">
        <v>1605</v>
      </c>
      <c r="I1199" s="78">
        <v>1396</v>
      </c>
      <c r="J1199" s="212">
        <v>43691</v>
      </c>
      <c r="K1199" s="158"/>
      <c r="L1199" s="158"/>
      <c r="M1199" s="158">
        <v>1</v>
      </c>
      <c r="N1199" s="158">
        <v>1</v>
      </c>
      <c r="O1199" s="23"/>
      <c r="P1199" s="158">
        <v>63601392</v>
      </c>
      <c r="Q1199" s="158"/>
      <c r="R1199" s="298"/>
      <c r="S1199" s="158"/>
      <c r="T1199" s="158"/>
      <c r="U1199" s="225">
        <v>28620626</v>
      </c>
      <c r="V1199" s="158">
        <v>10</v>
      </c>
      <c r="W1199" s="311">
        <v>43980</v>
      </c>
      <c r="X1199" s="311"/>
      <c r="Y1199" s="311"/>
      <c r="Z1199" s="158"/>
      <c r="AA1199" s="69"/>
      <c r="AB1199" s="276"/>
      <c r="AC1199" s="276"/>
      <c r="AD1199" s="276"/>
      <c r="AE1199" s="158"/>
      <c r="AF1199" s="158">
        <f t="shared" si="273"/>
        <v>63601392</v>
      </c>
      <c r="AG1199" s="158"/>
      <c r="AH1199" s="94">
        <v>0</v>
      </c>
      <c r="AI1199" s="94">
        <v>63601392</v>
      </c>
      <c r="AJ1199" s="94"/>
      <c r="AK1199" s="602">
        <f t="shared" si="272"/>
        <v>34980766</v>
      </c>
      <c r="AL1199" s="72">
        <v>877</v>
      </c>
      <c r="AM1199" s="72">
        <v>10</v>
      </c>
      <c r="AN1199" s="158"/>
      <c r="AO1199" s="158">
        <v>1</v>
      </c>
      <c r="AP1199" s="158"/>
      <c r="AQ1199" s="23"/>
      <c r="AR1199" s="23"/>
      <c r="AS1199" s="23"/>
      <c r="AT1199" s="56">
        <v>0</v>
      </c>
      <c r="AU1199" s="58" t="s">
        <v>38</v>
      </c>
      <c r="AV1199" s="386"/>
      <c r="AW1199" s="23"/>
      <c r="AX1199" s="50"/>
      <c r="AY1199" s="158"/>
      <c r="AZ1199" s="158"/>
      <c r="BA1199" s="158"/>
      <c r="BB1199" s="158"/>
      <c r="BC1199" s="69"/>
      <c r="BD1199" s="69"/>
      <c r="BE1199" s="69"/>
      <c r="BF1199" s="271"/>
      <c r="BG1199" s="271">
        <v>2019</v>
      </c>
      <c r="BH1199" s="271">
        <v>2020</v>
      </c>
      <c r="BI1199" s="271" t="s">
        <v>2375</v>
      </c>
    </row>
    <row r="1200" spans="1:61" s="204" customFormat="1" ht="18" customHeight="1">
      <c r="A1200" s="160" t="s">
        <v>1</v>
      </c>
      <c r="B1200" s="58" t="s">
        <v>320</v>
      </c>
      <c r="C1200" s="241" t="s">
        <v>1905</v>
      </c>
      <c r="D1200" s="33" t="s">
        <v>1936</v>
      </c>
      <c r="E1200" s="33"/>
      <c r="F1200" s="33"/>
      <c r="G1200" s="33"/>
      <c r="H1200" s="30" t="s">
        <v>1605</v>
      </c>
      <c r="I1200" s="78">
        <v>1438</v>
      </c>
      <c r="J1200" s="212">
        <v>43699</v>
      </c>
      <c r="K1200" s="158"/>
      <c r="L1200" s="158"/>
      <c r="M1200" s="158">
        <v>1</v>
      </c>
      <c r="N1200" s="158">
        <v>1</v>
      </c>
      <c r="O1200" s="23"/>
      <c r="P1200" s="158">
        <v>66800000</v>
      </c>
      <c r="Q1200" s="158"/>
      <c r="R1200" s="298"/>
      <c r="S1200" s="158"/>
      <c r="T1200" s="158"/>
      <c r="U1200" s="225"/>
      <c r="V1200" s="158"/>
      <c r="W1200" s="662"/>
      <c r="X1200" s="311"/>
      <c r="Y1200" s="311"/>
      <c r="Z1200" s="158"/>
      <c r="AA1200" s="69"/>
      <c r="AB1200" s="276"/>
      <c r="AC1200" s="276"/>
      <c r="AD1200" s="276"/>
      <c r="AE1200" s="158"/>
      <c r="AF1200" s="158">
        <f t="shared" si="268"/>
        <v>66800000</v>
      </c>
      <c r="AG1200" s="158"/>
      <c r="AH1200" s="94">
        <v>0</v>
      </c>
      <c r="AI1200" s="94">
        <v>66800000</v>
      </c>
      <c r="AJ1200" s="94"/>
      <c r="AK1200" s="602">
        <f t="shared" si="272"/>
        <v>66800000</v>
      </c>
      <c r="AL1200" s="72">
        <v>877</v>
      </c>
      <c r="AM1200" s="72">
        <v>10</v>
      </c>
      <c r="AN1200" s="158">
        <v>1</v>
      </c>
      <c r="AO1200" s="158"/>
      <c r="AP1200" s="158"/>
      <c r="AQ1200" s="23"/>
      <c r="AR1200" s="23"/>
      <c r="AS1200" s="23"/>
      <c r="AT1200" s="56">
        <v>0</v>
      </c>
      <c r="AU1200" s="58" t="s">
        <v>521</v>
      </c>
      <c r="AV1200" s="386"/>
      <c r="AW1200" s="23"/>
      <c r="AX1200" s="50"/>
      <c r="AY1200" s="158"/>
      <c r="AZ1200" s="158"/>
      <c r="BA1200" s="158"/>
      <c r="BB1200" s="158"/>
      <c r="BC1200" s="69"/>
      <c r="BD1200" s="69"/>
      <c r="BE1200" s="69"/>
      <c r="BF1200" s="271"/>
      <c r="BG1200" s="271">
        <v>2019</v>
      </c>
      <c r="BH1200" s="271">
        <v>2020</v>
      </c>
      <c r="BI1200" s="271" t="s">
        <v>2375</v>
      </c>
    </row>
    <row r="1201" spans="1:61" s="204" customFormat="1" ht="18" customHeight="1">
      <c r="A1201" s="160" t="s">
        <v>1</v>
      </c>
      <c r="B1201" s="58" t="s">
        <v>320</v>
      </c>
      <c r="C1201" s="241" t="s">
        <v>1978</v>
      </c>
      <c r="D1201" s="33" t="s">
        <v>1936</v>
      </c>
      <c r="E1201" s="33"/>
      <c r="F1201" s="33"/>
      <c r="G1201" s="33"/>
      <c r="H1201" s="30" t="s">
        <v>1605</v>
      </c>
      <c r="I1201" s="78">
        <v>1418</v>
      </c>
      <c r="J1201" s="212">
        <v>43696</v>
      </c>
      <c r="K1201" s="158"/>
      <c r="L1201" s="158"/>
      <c r="M1201" s="158">
        <v>1</v>
      </c>
      <c r="N1201" s="158">
        <v>1</v>
      </c>
      <c r="O1201" s="23"/>
      <c r="P1201" s="158">
        <v>68581733</v>
      </c>
      <c r="Q1201" s="158"/>
      <c r="R1201" s="298"/>
      <c r="S1201" s="158"/>
      <c r="T1201" s="158"/>
      <c r="U1201" s="225"/>
      <c r="V1201" s="158"/>
      <c r="W1201" s="311"/>
      <c r="X1201" s="311"/>
      <c r="Y1201" s="311"/>
      <c r="Z1201" s="158"/>
      <c r="AA1201" s="69"/>
      <c r="AB1201" s="276"/>
      <c r="AC1201" s="276"/>
      <c r="AD1201" s="276"/>
      <c r="AE1201" s="158"/>
      <c r="AF1201" s="158">
        <f t="shared" si="268"/>
        <v>68581733</v>
      </c>
      <c r="AG1201" s="158"/>
      <c r="AH1201" s="94">
        <v>0</v>
      </c>
      <c r="AI1201" s="94">
        <v>68581733</v>
      </c>
      <c r="AJ1201" s="94"/>
      <c r="AK1201" s="602">
        <f t="shared" si="272"/>
        <v>68581733</v>
      </c>
      <c r="AL1201" s="72">
        <v>877</v>
      </c>
      <c r="AM1201" s="72">
        <v>10</v>
      </c>
      <c r="AN1201" s="158">
        <v>1</v>
      </c>
      <c r="AO1201" s="158"/>
      <c r="AP1201" s="158"/>
      <c r="AQ1201" s="23"/>
      <c r="AR1201" s="23"/>
      <c r="AS1201" s="23"/>
      <c r="AT1201" s="56">
        <v>0</v>
      </c>
      <c r="AU1201" s="58" t="s">
        <v>521</v>
      </c>
      <c r="AV1201" s="386"/>
      <c r="AW1201" s="23"/>
      <c r="AX1201" s="50"/>
      <c r="AY1201" s="158"/>
      <c r="AZ1201" s="158"/>
      <c r="BA1201" s="158"/>
      <c r="BB1201" s="158"/>
      <c r="BC1201" s="69"/>
      <c r="BD1201" s="69"/>
      <c r="BE1201" s="69"/>
      <c r="BF1201" s="271"/>
      <c r="BG1201" s="271">
        <v>2019</v>
      </c>
      <c r="BH1201" s="271">
        <v>2020</v>
      </c>
      <c r="BI1201" s="271" t="s">
        <v>2375</v>
      </c>
    </row>
    <row r="1202" spans="1:61" s="204" customFormat="1" ht="18" customHeight="1">
      <c r="A1202" s="160" t="s">
        <v>1</v>
      </c>
      <c r="B1202" s="58" t="s">
        <v>320</v>
      </c>
      <c r="C1202" s="241" t="s">
        <v>1906</v>
      </c>
      <c r="D1202" s="33" t="s">
        <v>1936</v>
      </c>
      <c r="E1202" s="33"/>
      <c r="F1202" s="33"/>
      <c r="G1202" s="33"/>
      <c r="H1202" s="30" t="s">
        <v>1605</v>
      </c>
      <c r="I1202" s="78">
        <v>1408</v>
      </c>
      <c r="J1202" s="212">
        <v>43693</v>
      </c>
      <c r="K1202" s="158"/>
      <c r="L1202" s="158"/>
      <c r="M1202" s="158">
        <v>1</v>
      </c>
      <c r="N1202" s="158">
        <v>1</v>
      </c>
      <c r="O1202" s="23"/>
      <c r="P1202" s="158">
        <v>80750000</v>
      </c>
      <c r="Q1202" s="158"/>
      <c r="R1202" s="298"/>
      <c r="S1202" s="158"/>
      <c r="T1202" s="158"/>
      <c r="U1202" s="225"/>
      <c r="V1202" s="158"/>
      <c r="W1202" s="311"/>
      <c r="X1202" s="311"/>
      <c r="Y1202" s="311"/>
      <c r="Z1202" s="158"/>
      <c r="AA1202" s="69"/>
      <c r="AB1202" s="276"/>
      <c r="AC1202" s="276"/>
      <c r="AD1202" s="276"/>
      <c r="AE1202" s="158"/>
      <c r="AF1202" s="158">
        <f t="shared" si="268"/>
        <v>80750000</v>
      </c>
      <c r="AG1202" s="158"/>
      <c r="AH1202" s="94">
        <v>0</v>
      </c>
      <c r="AI1202" s="94">
        <v>80750000</v>
      </c>
      <c r="AJ1202" s="94"/>
      <c r="AK1202" s="602">
        <f t="shared" si="272"/>
        <v>80750000</v>
      </c>
      <c r="AL1202" s="72">
        <v>877</v>
      </c>
      <c r="AM1202" s="72">
        <v>10</v>
      </c>
      <c r="AN1202" s="158">
        <v>1</v>
      </c>
      <c r="AO1202" s="158"/>
      <c r="AP1202" s="158"/>
      <c r="AQ1202" s="23"/>
      <c r="AR1202" s="23"/>
      <c r="AS1202" s="23"/>
      <c r="AT1202" s="56">
        <v>0</v>
      </c>
      <c r="AU1202" s="58" t="s">
        <v>521</v>
      </c>
      <c r="AV1202" s="386"/>
      <c r="AW1202" s="23"/>
      <c r="AX1202" s="50"/>
      <c r="AY1202" s="158"/>
      <c r="AZ1202" s="158"/>
      <c r="BA1202" s="158"/>
      <c r="BB1202" s="158"/>
      <c r="BC1202" s="69"/>
      <c r="BD1202" s="69"/>
      <c r="BE1202" s="69"/>
      <c r="BF1202" s="271"/>
      <c r="BG1202" s="271">
        <v>2019</v>
      </c>
      <c r="BH1202" s="271">
        <v>2020</v>
      </c>
      <c r="BI1202" s="271" t="s">
        <v>2375</v>
      </c>
    </row>
    <row r="1203" spans="1:61" s="204" customFormat="1" ht="18" customHeight="1">
      <c r="A1203" s="160" t="s">
        <v>1</v>
      </c>
      <c r="B1203" s="58" t="s">
        <v>320</v>
      </c>
      <c r="C1203" s="241" t="s">
        <v>1907</v>
      </c>
      <c r="D1203" s="33" t="s">
        <v>1936</v>
      </c>
      <c r="E1203" s="33"/>
      <c r="F1203" s="33"/>
      <c r="G1203" s="33"/>
      <c r="H1203" s="30" t="s">
        <v>1605</v>
      </c>
      <c r="I1203" s="78">
        <v>1470</v>
      </c>
      <c r="J1203" s="212">
        <v>43704</v>
      </c>
      <c r="K1203" s="158"/>
      <c r="L1203" s="158"/>
      <c r="M1203" s="158">
        <v>1</v>
      </c>
      <c r="N1203" s="158">
        <v>1</v>
      </c>
      <c r="O1203" s="23"/>
      <c r="P1203" s="158">
        <v>76000000</v>
      </c>
      <c r="Q1203" s="158"/>
      <c r="R1203" s="299"/>
      <c r="S1203" s="158"/>
      <c r="T1203" s="158"/>
      <c r="U1203" s="225">
        <v>76000000</v>
      </c>
      <c r="V1203" s="158">
        <v>10</v>
      </c>
      <c r="W1203" s="311">
        <v>43917</v>
      </c>
      <c r="X1203" s="311"/>
      <c r="Y1203" s="311"/>
      <c r="Z1203" s="158"/>
      <c r="AA1203" s="69"/>
      <c r="AB1203" s="276"/>
      <c r="AC1203" s="276"/>
      <c r="AD1203" s="276"/>
      <c r="AE1203" s="158"/>
      <c r="AF1203" s="158">
        <f t="shared" ref="AF1203:AF1205" si="274">P1203</f>
        <v>76000000</v>
      </c>
      <c r="AG1203" s="158"/>
      <c r="AH1203" s="94">
        <v>0</v>
      </c>
      <c r="AI1203" s="94">
        <v>76000000</v>
      </c>
      <c r="AJ1203" s="94"/>
      <c r="AK1203" s="72">
        <f t="shared" si="272"/>
        <v>0</v>
      </c>
      <c r="AL1203" s="158">
        <v>877</v>
      </c>
      <c r="AM1203" s="158">
        <v>10</v>
      </c>
      <c r="AN1203" s="158"/>
      <c r="AO1203" s="158"/>
      <c r="AP1203" s="158">
        <v>1</v>
      </c>
      <c r="AQ1203" s="23"/>
      <c r="AR1203" s="23"/>
      <c r="AS1203" s="23"/>
      <c r="AT1203" s="56">
        <v>1</v>
      </c>
      <c r="AU1203" s="58" t="s">
        <v>646</v>
      </c>
      <c r="AV1203" s="386"/>
      <c r="AW1203" s="23"/>
      <c r="AX1203" s="50"/>
      <c r="AY1203" s="158"/>
      <c r="AZ1203" s="158"/>
      <c r="BA1203" s="156">
        <v>1</v>
      </c>
      <c r="BB1203" s="158"/>
      <c r="BC1203" s="69"/>
      <c r="BD1203" s="69">
        <v>1</v>
      </c>
      <c r="BE1203" s="69"/>
      <c r="BF1203" s="271">
        <v>2020</v>
      </c>
      <c r="BG1203" s="271">
        <v>2019</v>
      </c>
      <c r="BH1203" s="271">
        <v>2020</v>
      </c>
      <c r="BI1203" s="271" t="s">
        <v>2375</v>
      </c>
    </row>
    <row r="1204" spans="1:61" s="204" customFormat="1" ht="18" customHeight="1">
      <c r="A1204" s="160" t="s">
        <v>1</v>
      </c>
      <c r="B1204" s="58" t="s">
        <v>320</v>
      </c>
      <c r="C1204" s="241" t="s">
        <v>1908</v>
      </c>
      <c r="D1204" s="33" t="s">
        <v>1936</v>
      </c>
      <c r="E1204" s="33"/>
      <c r="F1204" s="33"/>
      <c r="G1204" s="33"/>
      <c r="H1204" s="30" t="s">
        <v>1605</v>
      </c>
      <c r="I1204" s="78">
        <v>1394</v>
      </c>
      <c r="J1204" s="212">
        <v>43691</v>
      </c>
      <c r="K1204" s="158"/>
      <c r="L1204" s="158"/>
      <c r="M1204" s="158">
        <v>1</v>
      </c>
      <c r="N1204" s="158">
        <v>1</v>
      </c>
      <c r="O1204" s="23"/>
      <c r="P1204" s="158">
        <v>77562674</v>
      </c>
      <c r="Q1204" s="158"/>
      <c r="R1204" s="299"/>
      <c r="S1204" s="158"/>
      <c r="T1204" s="158"/>
      <c r="U1204" s="225">
        <v>77562674</v>
      </c>
      <c r="V1204" s="158">
        <v>10</v>
      </c>
      <c r="W1204" s="311">
        <v>43888</v>
      </c>
      <c r="X1204" s="311"/>
      <c r="Y1204" s="311"/>
      <c r="Z1204" s="158"/>
      <c r="AA1204" s="69"/>
      <c r="AB1204" s="276"/>
      <c r="AC1204" s="276"/>
      <c r="AD1204" s="276"/>
      <c r="AE1204" s="158"/>
      <c r="AF1204" s="158">
        <f t="shared" si="274"/>
        <v>77562674</v>
      </c>
      <c r="AG1204" s="158"/>
      <c r="AH1204" s="94">
        <v>0</v>
      </c>
      <c r="AI1204" s="94">
        <v>77562674</v>
      </c>
      <c r="AJ1204" s="94"/>
      <c r="AK1204" s="72">
        <f t="shared" si="272"/>
        <v>0</v>
      </c>
      <c r="AL1204" s="158">
        <v>877</v>
      </c>
      <c r="AM1204" s="158">
        <v>10</v>
      </c>
      <c r="AN1204" s="158"/>
      <c r="AO1204" s="158"/>
      <c r="AP1204" s="158">
        <v>1</v>
      </c>
      <c r="AQ1204" s="23"/>
      <c r="AR1204" s="23"/>
      <c r="AS1204" s="23"/>
      <c r="AT1204" s="56">
        <v>1</v>
      </c>
      <c r="AU1204" s="58" t="s">
        <v>646</v>
      </c>
      <c r="AV1204" s="386"/>
      <c r="AW1204" s="23"/>
      <c r="AX1204" s="50"/>
      <c r="AY1204" s="158"/>
      <c r="AZ1204" s="158"/>
      <c r="BA1204" s="156">
        <v>1</v>
      </c>
      <c r="BB1204" s="158"/>
      <c r="BC1204" s="69"/>
      <c r="BD1204" s="69">
        <v>1</v>
      </c>
      <c r="BE1204" s="69"/>
      <c r="BF1204" s="271">
        <v>2020</v>
      </c>
      <c r="BG1204" s="271">
        <v>2019</v>
      </c>
      <c r="BH1204" s="430">
        <v>2020</v>
      </c>
      <c r="BI1204" s="271" t="s">
        <v>2375</v>
      </c>
    </row>
    <row r="1205" spans="1:61" s="204" customFormat="1" ht="18" customHeight="1">
      <c r="A1205" s="160" t="s">
        <v>1</v>
      </c>
      <c r="B1205" s="58" t="s">
        <v>320</v>
      </c>
      <c r="C1205" s="66" t="s">
        <v>2232</v>
      </c>
      <c r="D1205" s="33" t="s">
        <v>1936</v>
      </c>
      <c r="E1205" s="33"/>
      <c r="F1205" s="33"/>
      <c r="G1205" s="33"/>
      <c r="H1205" s="30" t="s">
        <v>1605</v>
      </c>
      <c r="I1205" s="78">
        <v>1443</v>
      </c>
      <c r="J1205" s="212">
        <v>43700</v>
      </c>
      <c r="K1205" s="158"/>
      <c r="L1205" s="158"/>
      <c r="M1205" s="158">
        <v>1</v>
      </c>
      <c r="N1205" s="158">
        <v>1</v>
      </c>
      <c r="O1205" s="23"/>
      <c r="P1205" s="158">
        <v>66500000</v>
      </c>
      <c r="Q1205" s="158"/>
      <c r="R1205" s="298"/>
      <c r="S1205" s="158"/>
      <c r="T1205" s="158"/>
      <c r="U1205" s="225">
        <v>66500000</v>
      </c>
      <c r="V1205" s="158">
        <v>10</v>
      </c>
      <c r="W1205" s="311">
        <v>43917</v>
      </c>
      <c r="X1205" s="311"/>
      <c r="Y1205" s="311"/>
      <c r="Z1205" s="158"/>
      <c r="AA1205" s="69"/>
      <c r="AB1205" s="158"/>
      <c r="AC1205" s="158"/>
      <c r="AD1205" s="158"/>
      <c r="AE1205" s="158"/>
      <c r="AF1205" s="158">
        <f t="shared" si="274"/>
        <v>66500000</v>
      </c>
      <c r="AG1205" s="158"/>
      <c r="AH1205" s="94">
        <v>0</v>
      </c>
      <c r="AI1205" s="94">
        <v>66500000</v>
      </c>
      <c r="AJ1205" s="94"/>
      <c r="AK1205" s="72">
        <f t="shared" si="272"/>
        <v>0</v>
      </c>
      <c r="AL1205" s="158">
        <v>877</v>
      </c>
      <c r="AM1205" s="158">
        <v>10</v>
      </c>
      <c r="AN1205" s="158"/>
      <c r="AO1205" s="158"/>
      <c r="AP1205" s="158">
        <v>1</v>
      </c>
      <c r="AQ1205" s="23"/>
      <c r="AR1205" s="23"/>
      <c r="AS1205" s="23"/>
      <c r="AT1205" s="56">
        <v>1</v>
      </c>
      <c r="AU1205" s="58" t="s">
        <v>646</v>
      </c>
      <c r="AV1205" s="386"/>
      <c r="AW1205" s="23"/>
      <c r="AX1205" s="50"/>
      <c r="AY1205" s="158"/>
      <c r="AZ1205" s="158"/>
      <c r="BA1205" s="156">
        <v>1</v>
      </c>
      <c r="BB1205" s="158"/>
      <c r="BC1205" s="69"/>
      <c r="BD1205" s="69">
        <v>1</v>
      </c>
      <c r="BE1205" s="69"/>
      <c r="BF1205" s="271">
        <v>2020</v>
      </c>
      <c r="BG1205" s="271">
        <v>2019</v>
      </c>
      <c r="BH1205" s="271">
        <v>2020</v>
      </c>
      <c r="BI1205" s="271" t="s">
        <v>2375</v>
      </c>
    </row>
    <row r="1206" spans="1:61" s="204" customFormat="1" ht="18" customHeight="1">
      <c r="A1206" s="230" t="s">
        <v>1</v>
      </c>
      <c r="B1206" s="58" t="s">
        <v>320</v>
      </c>
      <c r="C1206" s="241" t="s">
        <v>1597</v>
      </c>
      <c r="D1206" s="33" t="s">
        <v>387</v>
      </c>
      <c r="E1206" s="33"/>
      <c r="F1206" s="33"/>
      <c r="G1206" s="33"/>
      <c r="H1206" s="30" t="s">
        <v>1553</v>
      </c>
      <c r="I1206" s="30">
        <v>1717</v>
      </c>
      <c r="J1206" s="212">
        <v>43738</v>
      </c>
      <c r="K1206" s="158"/>
      <c r="L1206" s="158"/>
      <c r="M1206" s="158">
        <v>1</v>
      </c>
      <c r="N1206" s="158">
        <v>1</v>
      </c>
      <c r="O1206" s="23"/>
      <c r="P1206" s="158">
        <v>65827432</v>
      </c>
      <c r="Q1206" s="158"/>
      <c r="R1206" s="158"/>
      <c r="S1206" s="158"/>
      <c r="T1206" s="158"/>
      <c r="U1206" s="225"/>
      <c r="V1206" s="158"/>
      <c r="W1206" s="311"/>
      <c r="X1206" s="311"/>
      <c r="Y1206" s="311"/>
      <c r="Z1206" s="158"/>
      <c r="AA1206" s="69"/>
      <c r="AB1206" s="276"/>
      <c r="AC1206" s="276"/>
      <c r="AD1206" s="276"/>
      <c r="AE1206" s="158"/>
      <c r="AF1206" s="158">
        <f>P1206-U1206-Z1206-36205088</f>
        <v>29622344</v>
      </c>
      <c r="AG1206" s="158"/>
      <c r="AH1206" s="158">
        <v>36205088</v>
      </c>
      <c r="AI1206" s="158">
        <v>65827432</v>
      </c>
      <c r="AJ1206" s="158"/>
      <c r="AK1206" s="602">
        <f t="shared" si="272"/>
        <v>65827432</v>
      </c>
      <c r="AL1206" s="72">
        <v>877</v>
      </c>
      <c r="AM1206" s="72">
        <v>10</v>
      </c>
      <c r="AN1206" s="158">
        <v>1</v>
      </c>
      <c r="AO1206" s="158"/>
      <c r="AP1206" s="158"/>
      <c r="AQ1206" s="23"/>
      <c r="AR1206" s="23"/>
      <c r="AS1206" s="23"/>
      <c r="AT1206" s="2">
        <v>0</v>
      </c>
      <c r="AU1206" s="58" t="s">
        <v>521</v>
      </c>
      <c r="AV1206" s="386"/>
      <c r="AW1206" s="23"/>
      <c r="AX1206" s="50"/>
      <c r="AY1206" s="158"/>
      <c r="AZ1206" s="158"/>
      <c r="BA1206" s="158"/>
      <c r="BB1206" s="158"/>
      <c r="BC1206" s="69"/>
      <c r="BD1206" s="69"/>
      <c r="BE1206" s="69"/>
      <c r="BF1206" s="271"/>
      <c r="BG1206" s="271">
        <v>2019</v>
      </c>
      <c r="BH1206" s="271">
        <v>2020</v>
      </c>
      <c r="BI1206" s="271" t="s">
        <v>2375</v>
      </c>
    </row>
    <row r="1207" spans="1:61" s="204" customFormat="1" ht="18" customHeight="1">
      <c r="A1207" s="230" t="s">
        <v>1</v>
      </c>
      <c r="B1207" s="58" t="s">
        <v>320</v>
      </c>
      <c r="C1207" s="66" t="s">
        <v>1598</v>
      </c>
      <c r="D1207" s="33" t="s">
        <v>387</v>
      </c>
      <c r="E1207" s="33"/>
      <c r="F1207" s="33">
        <v>4</v>
      </c>
      <c r="G1207" s="33"/>
      <c r="H1207" s="30" t="s">
        <v>1553</v>
      </c>
      <c r="I1207" s="30">
        <v>1718</v>
      </c>
      <c r="J1207" s="212">
        <v>43738</v>
      </c>
      <c r="K1207" s="158"/>
      <c r="L1207" s="158"/>
      <c r="M1207" s="158">
        <v>1</v>
      </c>
      <c r="N1207" s="158">
        <v>1</v>
      </c>
      <c r="O1207" s="23"/>
      <c r="P1207" s="158">
        <v>65827432</v>
      </c>
      <c r="Q1207" s="158"/>
      <c r="R1207" s="158"/>
      <c r="S1207" s="158"/>
      <c r="T1207" s="158"/>
      <c r="U1207" s="225">
        <v>29622344</v>
      </c>
      <c r="V1207" s="158">
        <v>10</v>
      </c>
      <c r="W1207" s="311">
        <v>43980</v>
      </c>
      <c r="X1207" s="311"/>
      <c r="Y1207" s="311"/>
      <c r="Z1207" s="158"/>
      <c r="AA1207" s="69"/>
      <c r="AB1207" s="276"/>
      <c r="AC1207" s="276"/>
      <c r="AD1207" s="276"/>
      <c r="AE1207" s="158"/>
      <c r="AF1207" s="158">
        <f t="shared" ref="AF1207:AF1208" si="275">P1207</f>
        <v>65827432</v>
      </c>
      <c r="AG1207" s="158"/>
      <c r="AH1207" s="158"/>
      <c r="AI1207" s="158">
        <v>65827432</v>
      </c>
      <c r="AJ1207" s="158"/>
      <c r="AK1207" s="602">
        <f t="shared" si="272"/>
        <v>36205088</v>
      </c>
      <c r="AL1207" s="72">
        <v>877</v>
      </c>
      <c r="AM1207" s="72">
        <v>10</v>
      </c>
      <c r="AN1207" s="158"/>
      <c r="AO1207" s="158">
        <v>1</v>
      </c>
      <c r="AP1207" s="158"/>
      <c r="AQ1207" s="23"/>
      <c r="AR1207" s="23"/>
      <c r="AS1207" s="23"/>
      <c r="AT1207" s="2">
        <v>0</v>
      </c>
      <c r="AU1207" s="58" t="s">
        <v>38</v>
      </c>
      <c r="AV1207" s="386"/>
      <c r="AW1207" s="23"/>
      <c r="AX1207" s="50"/>
      <c r="AY1207" s="158"/>
      <c r="AZ1207" s="158"/>
      <c r="BA1207" s="158"/>
      <c r="BB1207" s="158"/>
      <c r="BC1207" s="69"/>
      <c r="BD1207" s="69"/>
      <c r="BE1207" s="69"/>
      <c r="BF1207" s="271"/>
      <c r="BG1207" s="271">
        <v>2019</v>
      </c>
      <c r="BH1207" s="271">
        <v>2020</v>
      </c>
      <c r="BI1207" s="271" t="s">
        <v>2375</v>
      </c>
    </row>
    <row r="1208" spans="1:61" s="204" customFormat="1" ht="18" customHeight="1">
      <c r="A1208" s="230" t="s">
        <v>1</v>
      </c>
      <c r="B1208" s="58" t="s">
        <v>320</v>
      </c>
      <c r="C1208" s="241" t="s">
        <v>2231</v>
      </c>
      <c r="D1208" s="33" t="s">
        <v>1936</v>
      </c>
      <c r="E1208" s="33"/>
      <c r="F1208" s="33"/>
      <c r="G1208" s="33"/>
      <c r="H1208" s="30" t="s">
        <v>1553</v>
      </c>
      <c r="I1208" s="30">
        <v>1703</v>
      </c>
      <c r="J1208" s="212">
        <v>43735</v>
      </c>
      <c r="K1208" s="158"/>
      <c r="L1208" s="158"/>
      <c r="M1208" s="158">
        <v>1</v>
      </c>
      <c r="N1208" s="158">
        <v>1</v>
      </c>
      <c r="O1208" s="23"/>
      <c r="P1208" s="158">
        <v>76000000</v>
      </c>
      <c r="Q1208" s="158"/>
      <c r="R1208" s="158"/>
      <c r="S1208" s="158"/>
      <c r="T1208" s="158"/>
      <c r="U1208" s="225">
        <v>76000000</v>
      </c>
      <c r="V1208" s="158">
        <v>10</v>
      </c>
      <c r="W1208" s="311">
        <v>43917</v>
      </c>
      <c r="X1208" s="311"/>
      <c r="Y1208" s="311"/>
      <c r="Z1208" s="158"/>
      <c r="AA1208" s="69"/>
      <c r="AB1208" s="276"/>
      <c r="AC1208" s="276"/>
      <c r="AD1208" s="276"/>
      <c r="AE1208" s="158"/>
      <c r="AF1208" s="158">
        <f t="shared" si="275"/>
        <v>76000000</v>
      </c>
      <c r="AG1208" s="158"/>
      <c r="AH1208" s="94">
        <v>0</v>
      </c>
      <c r="AI1208" s="94">
        <v>76000000</v>
      </c>
      <c r="AJ1208" s="94"/>
      <c r="AK1208" s="72">
        <f t="shared" si="272"/>
        <v>0</v>
      </c>
      <c r="AL1208" s="158">
        <v>877</v>
      </c>
      <c r="AM1208" s="158">
        <v>10</v>
      </c>
      <c r="AN1208" s="158"/>
      <c r="AO1208" s="158"/>
      <c r="AP1208" s="158">
        <v>1</v>
      </c>
      <c r="AQ1208" s="23"/>
      <c r="AR1208" s="23"/>
      <c r="AS1208" s="23"/>
      <c r="AT1208" s="2">
        <v>1</v>
      </c>
      <c r="AU1208" s="58" t="s">
        <v>646</v>
      </c>
      <c r="AV1208" s="386"/>
      <c r="AW1208" s="23"/>
      <c r="AX1208" s="50"/>
      <c r="AY1208" s="158"/>
      <c r="AZ1208" s="158"/>
      <c r="BA1208" s="156">
        <v>1</v>
      </c>
      <c r="BB1208" s="158"/>
      <c r="BC1208" s="69"/>
      <c r="BD1208" s="69">
        <v>1</v>
      </c>
      <c r="BE1208" s="69"/>
      <c r="BF1208" s="271">
        <v>2020</v>
      </c>
      <c r="BG1208" s="271">
        <v>2019</v>
      </c>
      <c r="BH1208" s="271">
        <v>2020</v>
      </c>
      <c r="BI1208" s="271" t="s">
        <v>2375</v>
      </c>
    </row>
    <row r="1209" spans="1:61" s="204" customFormat="1" ht="18" customHeight="1">
      <c r="A1209" s="230" t="s">
        <v>1</v>
      </c>
      <c r="B1209" s="58" t="s">
        <v>320</v>
      </c>
      <c r="C1209" s="241" t="s">
        <v>2347</v>
      </c>
      <c r="D1209" s="33" t="s">
        <v>1936</v>
      </c>
      <c r="E1209" s="33"/>
      <c r="F1209" s="33"/>
      <c r="G1209" s="33"/>
      <c r="H1209" s="30" t="s">
        <v>1553</v>
      </c>
      <c r="I1209" s="30">
        <v>1710</v>
      </c>
      <c r="J1209" s="212">
        <v>43738</v>
      </c>
      <c r="K1209" s="158"/>
      <c r="L1209" s="158"/>
      <c r="M1209" s="158">
        <v>1</v>
      </c>
      <c r="N1209" s="158">
        <v>1</v>
      </c>
      <c r="O1209" s="23"/>
      <c r="P1209" s="158">
        <v>68581733</v>
      </c>
      <c r="Q1209" s="158"/>
      <c r="R1209" s="158"/>
      <c r="S1209" s="158"/>
      <c r="T1209" s="158"/>
      <c r="U1209" s="225"/>
      <c r="V1209" s="158"/>
      <c r="W1209" s="311"/>
      <c r="X1209" s="311"/>
      <c r="Y1209" s="311"/>
      <c r="Z1209" s="158"/>
      <c r="AA1209" s="69"/>
      <c r="AB1209" s="276"/>
      <c r="AC1209" s="276"/>
      <c r="AD1209" s="276"/>
      <c r="AE1209" s="158"/>
      <c r="AF1209" s="158">
        <f t="shared" ref="AF1209:AF1217" si="276">P1209-U1209-Z1209</f>
        <v>68581733</v>
      </c>
      <c r="AG1209" s="158"/>
      <c r="AH1209" s="94">
        <v>0</v>
      </c>
      <c r="AI1209" s="94">
        <v>68581733</v>
      </c>
      <c r="AJ1209" s="94"/>
      <c r="AK1209" s="602">
        <f t="shared" si="272"/>
        <v>68581733</v>
      </c>
      <c r="AL1209" s="72">
        <v>877</v>
      </c>
      <c r="AM1209" s="72">
        <v>10</v>
      </c>
      <c r="AN1209" s="158">
        <v>1</v>
      </c>
      <c r="AO1209" s="158"/>
      <c r="AP1209" s="158"/>
      <c r="AQ1209" s="23"/>
      <c r="AR1209" s="23"/>
      <c r="AS1209" s="23"/>
      <c r="AT1209" s="2">
        <v>0</v>
      </c>
      <c r="AU1209" s="58" t="s">
        <v>521</v>
      </c>
      <c r="AV1209" s="386"/>
      <c r="AW1209" s="23"/>
      <c r="AX1209" s="50"/>
      <c r="AY1209" s="158"/>
      <c r="AZ1209" s="158"/>
      <c r="BA1209" s="158"/>
      <c r="BB1209" s="158"/>
      <c r="BC1209" s="69"/>
      <c r="BD1209" s="69"/>
      <c r="BE1209" s="69"/>
      <c r="BF1209" s="271"/>
      <c r="BG1209" s="271">
        <v>2019</v>
      </c>
      <c r="BH1209" s="271">
        <v>2020</v>
      </c>
      <c r="BI1209" s="271" t="s">
        <v>2375</v>
      </c>
    </row>
    <row r="1210" spans="1:61" s="204" customFormat="1" ht="18" customHeight="1">
      <c r="A1210" s="230" t="s">
        <v>1</v>
      </c>
      <c r="B1210" s="58" t="s">
        <v>320</v>
      </c>
      <c r="C1210" s="241" t="s">
        <v>1600</v>
      </c>
      <c r="D1210" s="33" t="s">
        <v>1936</v>
      </c>
      <c r="E1210" s="33"/>
      <c r="F1210" s="33"/>
      <c r="G1210" s="33"/>
      <c r="H1210" s="30" t="s">
        <v>1553</v>
      </c>
      <c r="I1210" s="30">
        <v>1712</v>
      </c>
      <c r="J1210" s="212">
        <v>43738</v>
      </c>
      <c r="K1210" s="158"/>
      <c r="L1210" s="158"/>
      <c r="M1210" s="158">
        <v>1</v>
      </c>
      <c r="N1210" s="158">
        <v>1</v>
      </c>
      <c r="O1210" s="23"/>
      <c r="P1210" s="158">
        <v>76000000</v>
      </c>
      <c r="Q1210" s="158"/>
      <c r="R1210" s="158"/>
      <c r="S1210" s="158"/>
      <c r="T1210" s="158"/>
      <c r="U1210" s="225">
        <v>76000000</v>
      </c>
      <c r="V1210" s="158">
        <v>10</v>
      </c>
      <c r="W1210" s="311">
        <v>43888</v>
      </c>
      <c r="X1210" s="311"/>
      <c r="Y1210" s="311"/>
      <c r="Z1210" s="158"/>
      <c r="AA1210" s="69"/>
      <c r="AB1210" s="276"/>
      <c r="AC1210" s="276"/>
      <c r="AD1210" s="276"/>
      <c r="AE1210" s="158"/>
      <c r="AF1210" s="158">
        <f>P1210</f>
        <v>76000000</v>
      </c>
      <c r="AG1210" s="158"/>
      <c r="AH1210" s="94">
        <v>0</v>
      </c>
      <c r="AI1210" s="94">
        <v>76000000</v>
      </c>
      <c r="AJ1210" s="94"/>
      <c r="AK1210" s="72">
        <f t="shared" si="272"/>
        <v>0</v>
      </c>
      <c r="AL1210" s="158">
        <v>877</v>
      </c>
      <c r="AM1210" s="158">
        <v>10</v>
      </c>
      <c r="AN1210" s="158"/>
      <c r="AO1210" s="158"/>
      <c r="AP1210" s="158">
        <v>1</v>
      </c>
      <c r="AQ1210" s="23"/>
      <c r="AR1210" s="23"/>
      <c r="AS1210" s="23"/>
      <c r="AT1210" s="2">
        <v>1</v>
      </c>
      <c r="AU1210" s="58" t="s">
        <v>646</v>
      </c>
      <c r="AV1210" s="386"/>
      <c r="AW1210" s="23"/>
      <c r="AX1210" s="50"/>
      <c r="AY1210" s="158"/>
      <c r="AZ1210" s="158"/>
      <c r="BA1210" s="156">
        <v>1</v>
      </c>
      <c r="BB1210" s="158"/>
      <c r="BC1210" s="69"/>
      <c r="BD1210" s="69">
        <v>1</v>
      </c>
      <c r="BE1210" s="69"/>
      <c r="BF1210" s="271">
        <v>2020</v>
      </c>
      <c r="BG1210" s="271">
        <v>2019</v>
      </c>
      <c r="BH1210" s="430">
        <v>2020</v>
      </c>
      <c r="BI1210" s="271" t="s">
        <v>2375</v>
      </c>
    </row>
    <row r="1211" spans="1:61" s="204" customFormat="1" ht="18" customHeight="1">
      <c r="A1211" s="230" t="s">
        <v>1</v>
      </c>
      <c r="B1211" s="58" t="s">
        <v>320</v>
      </c>
      <c r="C1211" s="66" t="s">
        <v>1601</v>
      </c>
      <c r="D1211" s="33" t="s">
        <v>1936</v>
      </c>
      <c r="E1211" s="33"/>
      <c r="F1211" s="33"/>
      <c r="G1211" s="33"/>
      <c r="H1211" s="30" t="s">
        <v>1553</v>
      </c>
      <c r="I1211" s="30">
        <v>1702</v>
      </c>
      <c r="J1211" s="212">
        <v>43735</v>
      </c>
      <c r="K1211" s="158"/>
      <c r="L1211" s="158"/>
      <c r="M1211" s="158">
        <v>1</v>
      </c>
      <c r="N1211" s="158">
        <v>1</v>
      </c>
      <c r="O1211" s="23"/>
      <c r="P1211" s="158">
        <v>68581733</v>
      </c>
      <c r="Q1211" s="158"/>
      <c r="R1211" s="158"/>
      <c r="S1211" s="158"/>
      <c r="T1211" s="158"/>
      <c r="U1211" s="225"/>
      <c r="V1211" s="158"/>
      <c r="W1211" s="311"/>
      <c r="X1211" s="311"/>
      <c r="Y1211" s="311"/>
      <c r="Z1211" s="158"/>
      <c r="AA1211" s="69"/>
      <c r="AB1211" s="276"/>
      <c r="AC1211" s="276"/>
      <c r="AD1211" s="276"/>
      <c r="AE1211" s="158"/>
      <c r="AF1211" s="158">
        <f t="shared" si="276"/>
        <v>68581733</v>
      </c>
      <c r="AG1211" s="158"/>
      <c r="AH1211" s="94">
        <v>0</v>
      </c>
      <c r="AI1211" s="94">
        <v>68581733</v>
      </c>
      <c r="AJ1211" s="94"/>
      <c r="AK1211" s="602">
        <f t="shared" si="272"/>
        <v>68581733</v>
      </c>
      <c r="AL1211" s="72">
        <v>877</v>
      </c>
      <c r="AM1211" s="72">
        <v>10</v>
      </c>
      <c r="AN1211" s="158">
        <v>1</v>
      </c>
      <c r="AO1211" s="158"/>
      <c r="AP1211" s="158"/>
      <c r="AQ1211" s="23"/>
      <c r="AR1211" s="23"/>
      <c r="AS1211" s="23"/>
      <c r="AT1211" s="2">
        <v>0</v>
      </c>
      <c r="AU1211" s="58" t="s">
        <v>521</v>
      </c>
      <c r="AV1211" s="386"/>
      <c r="AW1211" s="23"/>
      <c r="AX1211" s="50"/>
      <c r="AY1211" s="158"/>
      <c r="AZ1211" s="158"/>
      <c r="BA1211" s="158"/>
      <c r="BB1211" s="158"/>
      <c r="BC1211" s="69"/>
      <c r="BD1211" s="69"/>
      <c r="BE1211" s="69"/>
      <c r="BF1211" s="271"/>
      <c r="BG1211" s="271">
        <v>2019</v>
      </c>
      <c r="BH1211" s="271">
        <v>2020</v>
      </c>
      <c r="BI1211" s="271" t="s">
        <v>2375</v>
      </c>
    </row>
    <row r="1212" spans="1:61" s="204" customFormat="1" ht="18" customHeight="1">
      <c r="A1212" s="230" t="s">
        <v>1</v>
      </c>
      <c r="B1212" s="58" t="s">
        <v>320</v>
      </c>
      <c r="C1212" s="241" t="s">
        <v>2224</v>
      </c>
      <c r="D1212" s="33" t="s">
        <v>1936</v>
      </c>
      <c r="E1212" s="33"/>
      <c r="F1212" s="33"/>
      <c r="G1212" s="33"/>
      <c r="H1212" s="30" t="s">
        <v>1553</v>
      </c>
      <c r="I1212" s="30">
        <v>1709</v>
      </c>
      <c r="J1212" s="212">
        <v>43738</v>
      </c>
      <c r="K1212" s="158"/>
      <c r="L1212" s="158"/>
      <c r="M1212" s="158">
        <v>1</v>
      </c>
      <c r="N1212" s="158">
        <v>1</v>
      </c>
      <c r="O1212" s="23"/>
      <c r="P1212" s="158">
        <v>77562674</v>
      </c>
      <c r="Q1212" s="158"/>
      <c r="R1212" s="158"/>
      <c r="S1212" s="158"/>
      <c r="T1212" s="158"/>
      <c r="U1212" s="225">
        <v>77562674</v>
      </c>
      <c r="V1212" s="158">
        <v>10</v>
      </c>
      <c r="W1212" s="311">
        <v>43888</v>
      </c>
      <c r="X1212" s="311"/>
      <c r="Y1212" s="311"/>
      <c r="Z1212" s="158"/>
      <c r="AA1212" s="69"/>
      <c r="AB1212" s="276"/>
      <c r="AC1212" s="276"/>
      <c r="AD1212" s="276"/>
      <c r="AE1212" s="158"/>
      <c r="AF1212" s="158">
        <f t="shared" ref="AF1212:AF1213" si="277">P1212</f>
        <v>77562674</v>
      </c>
      <c r="AG1212" s="158"/>
      <c r="AH1212" s="94">
        <v>0</v>
      </c>
      <c r="AI1212" s="94">
        <v>77562674</v>
      </c>
      <c r="AJ1212" s="94"/>
      <c r="AK1212" s="72">
        <f t="shared" si="272"/>
        <v>0</v>
      </c>
      <c r="AL1212" s="158">
        <v>877</v>
      </c>
      <c r="AM1212" s="158">
        <v>10</v>
      </c>
      <c r="AN1212" s="158"/>
      <c r="AO1212" s="158"/>
      <c r="AP1212" s="158">
        <v>1</v>
      </c>
      <c r="AQ1212" s="23"/>
      <c r="AR1212" s="23"/>
      <c r="AS1212" s="23"/>
      <c r="AT1212" s="2">
        <v>1</v>
      </c>
      <c r="AU1212" s="58" t="s">
        <v>646</v>
      </c>
      <c r="AV1212" s="386"/>
      <c r="AW1212" s="23"/>
      <c r="AX1212" s="50"/>
      <c r="AY1212" s="158"/>
      <c r="AZ1212" s="158"/>
      <c r="BA1212" s="156">
        <v>1</v>
      </c>
      <c r="BB1212" s="158"/>
      <c r="BC1212" s="69"/>
      <c r="BD1212" s="69">
        <v>1</v>
      </c>
      <c r="BE1212" s="69"/>
      <c r="BF1212" s="271">
        <v>2020</v>
      </c>
      <c r="BG1212" s="271">
        <v>2019</v>
      </c>
      <c r="BH1212" s="271">
        <v>2020</v>
      </c>
      <c r="BI1212" s="271" t="s">
        <v>2375</v>
      </c>
    </row>
    <row r="1213" spans="1:61" s="204" customFormat="1" ht="18" customHeight="1">
      <c r="A1213" s="230" t="s">
        <v>1</v>
      </c>
      <c r="B1213" s="58" t="s">
        <v>320</v>
      </c>
      <c r="C1213" s="241" t="s">
        <v>1602</v>
      </c>
      <c r="D1213" s="33" t="s">
        <v>1936</v>
      </c>
      <c r="E1213" s="33"/>
      <c r="F1213" s="33"/>
      <c r="G1213" s="33"/>
      <c r="H1213" s="30" t="s">
        <v>1553</v>
      </c>
      <c r="I1213" s="30">
        <v>1724</v>
      </c>
      <c r="J1213" s="212">
        <v>43738</v>
      </c>
      <c r="K1213" s="158"/>
      <c r="L1213" s="158"/>
      <c r="M1213" s="158">
        <v>1</v>
      </c>
      <c r="N1213" s="158">
        <v>1</v>
      </c>
      <c r="O1213" s="23"/>
      <c r="P1213" s="158">
        <v>76000000</v>
      </c>
      <c r="Q1213" s="158"/>
      <c r="R1213" s="158"/>
      <c r="S1213" s="158"/>
      <c r="T1213" s="158"/>
      <c r="U1213" s="225">
        <v>76000000</v>
      </c>
      <c r="V1213" s="158">
        <v>10</v>
      </c>
      <c r="W1213" s="311">
        <v>43885</v>
      </c>
      <c r="X1213" s="311"/>
      <c r="Y1213" s="311"/>
      <c r="Z1213" s="158"/>
      <c r="AA1213" s="69"/>
      <c r="AB1213" s="276"/>
      <c r="AC1213" s="276"/>
      <c r="AD1213" s="276"/>
      <c r="AE1213" s="158"/>
      <c r="AF1213" s="158">
        <f t="shared" si="277"/>
        <v>76000000</v>
      </c>
      <c r="AG1213" s="158"/>
      <c r="AH1213" s="94">
        <v>0</v>
      </c>
      <c r="AI1213" s="94">
        <v>76000000</v>
      </c>
      <c r="AJ1213" s="94"/>
      <c r="AK1213" s="72">
        <f t="shared" si="272"/>
        <v>0</v>
      </c>
      <c r="AL1213" s="158">
        <v>877</v>
      </c>
      <c r="AM1213" s="158">
        <v>10</v>
      </c>
      <c r="AN1213" s="158"/>
      <c r="AO1213" s="158"/>
      <c r="AP1213" s="158">
        <v>1</v>
      </c>
      <c r="AQ1213" s="23"/>
      <c r="AR1213" s="23"/>
      <c r="AS1213" s="23"/>
      <c r="AT1213" s="2">
        <v>1</v>
      </c>
      <c r="AU1213" s="58" t="s">
        <v>646</v>
      </c>
      <c r="AV1213" s="386"/>
      <c r="AW1213" s="23"/>
      <c r="AX1213" s="50"/>
      <c r="AY1213" s="158"/>
      <c r="AZ1213" s="158"/>
      <c r="BA1213" s="156">
        <v>1</v>
      </c>
      <c r="BB1213" s="158"/>
      <c r="BC1213" s="69"/>
      <c r="BD1213" s="69">
        <v>1</v>
      </c>
      <c r="BE1213" s="69"/>
      <c r="BF1213" s="271">
        <v>2020</v>
      </c>
      <c r="BG1213" s="271">
        <v>2019</v>
      </c>
      <c r="BH1213" s="271">
        <v>2020</v>
      </c>
      <c r="BI1213" s="271" t="s">
        <v>2375</v>
      </c>
    </row>
    <row r="1214" spans="1:61" s="204" customFormat="1" ht="18" customHeight="1">
      <c r="A1214" s="160" t="s">
        <v>1</v>
      </c>
      <c r="B1214" s="58" t="s">
        <v>320</v>
      </c>
      <c r="C1214" s="66" t="s">
        <v>1603</v>
      </c>
      <c r="D1214" s="33" t="s">
        <v>1936</v>
      </c>
      <c r="E1214" s="33"/>
      <c r="F1214" s="33"/>
      <c r="G1214" s="33"/>
      <c r="H1214" s="30" t="s">
        <v>1553</v>
      </c>
      <c r="I1214" s="30">
        <v>1723</v>
      </c>
      <c r="J1214" s="212">
        <v>43738</v>
      </c>
      <c r="K1214" s="158"/>
      <c r="L1214" s="158"/>
      <c r="M1214" s="158">
        <v>1</v>
      </c>
      <c r="N1214" s="158">
        <v>1</v>
      </c>
      <c r="O1214" s="23"/>
      <c r="P1214" s="158">
        <v>80275000</v>
      </c>
      <c r="Q1214" s="158"/>
      <c r="R1214" s="158"/>
      <c r="S1214" s="158"/>
      <c r="T1214" s="158"/>
      <c r="U1214" s="225"/>
      <c r="V1214" s="158"/>
      <c r="W1214" s="311"/>
      <c r="X1214" s="311"/>
      <c r="Y1214" s="311"/>
      <c r="Z1214" s="158"/>
      <c r="AA1214" s="69"/>
      <c r="AB1214" s="69"/>
      <c r="AC1214" s="69"/>
      <c r="AD1214" s="158"/>
      <c r="AE1214" s="158"/>
      <c r="AF1214" s="158">
        <f t="shared" si="276"/>
        <v>80275000</v>
      </c>
      <c r="AG1214" s="158"/>
      <c r="AH1214" s="94">
        <v>0</v>
      </c>
      <c r="AI1214" s="94">
        <v>80275000</v>
      </c>
      <c r="AJ1214" s="94"/>
      <c r="AK1214" s="602">
        <f t="shared" si="272"/>
        <v>80275000</v>
      </c>
      <c r="AL1214" s="72">
        <v>877</v>
      </c>
      <c r="AM1214" s="72">
        <v>10</v>
      </c>
      <c r="AN1214" s="158">
        <v>1</v>
      </c>
      <c r="AO1214" s="158"/>
      <c r="AP1214" s="158"/>
      <c r="AQ1214" s="23"/>
      <c r="AR1214" s="23"/>
      <c r="AS1214" s="23"/>
      <c r="AT1214" s="2">
        <v>0</v>
      </c>
      <c r="AU1214" s="58" t="s">
        <v>521</v>
      </c>
      <c r="AV1214" s="386"/>
      <c r="AW1214" s="23"/>
      <c r="AX1214" s="50"/>
      <c r="AY1214" s="158"/>
      <c r="AZ1214" s="158"/>
      <c r="BA1214" s="158"/>
      <c r="BB1214" s="158"/>
      <c r="BC1214" s="69"/>
      <c r="BD1214" s="69"/>
      <c r="BE1214" s="69"/>
      <c r="BF1214" s="271"/>
      <c r="BG1214" s="271">
        <v>2019</v>
      </c>
      <c r="BH1214" s="271">
        <v>2020</v>
      </c>
      <c r="BI1214" s="271" t="s">
        <v>2375</v>
      </c>
    </row>
    <row r="1215" spans="1:61" ht="18" customHeight="1">
      <c r="A1215" s="230" t="s">
        <v>1</v>
      </c>
      <c r="B1215" s="58" t="s">
        <v>320</v>
      </c>
      <c r="C1215" s="241" t="s">
        <v>1615</v>
      </c>
      <c r="D1215" s="33" t="s">
        <v>1936</v>
      </c>
      <c r="E1215" s="33"/>
      <c r="F1215" s="33"/>
      <c r="G1215" s="33"/>
      <c r="H1215" s="30" t="s">
        <v>647</v>
      </c>
      <c r="I1215" s="30">
        <v>1484</v>
      </c>
      <c r="J1215" s="212">
        <v>43738</v>
      </c>
      <c r="K1215" s="158"/>
      <c r="L1215" s="158">
        <v>1</v>
      </c>
      <c r="M1215" s="158"/>
      <c r="N1215" s="158"/>
      <c r="O1215" s="158"/>
      <c r="P1215" s="158">
        <v>60043458</v>
      </c>
      <c r="Q1215" s="158"/>
      <c r="R1215" s="158"/>
      <c r="S1215" s="158"/>
      <c r="T1215" s="158"/>
      <c r="U1215" s="225">
        <v>60043458</v>
      </c>
      <c r="V1215" s="158">
        <v>20</v>
      </c>
      <c r="W1215" s="311">
        <v>43709</v>
      </c>
      <c r="X1215" s="311"/>
      <c r="Y1215" s="311"/>
      <c r="Z1215" s="158"/>
      <c r="AA1215" s="69"/>
      <c r="AB1215" s="276"/>
      <c r="AC1215" s="276"/>
      <c r="AD1215" s="276"/>
      <c r="AE1215" s="158"/>
      <c r="AF1215" s="158">
        <f t="shared" si="276"/>
        <v>0</v>
      </c>
      <c r="AG1215" s="158"/>
      <c r="AH1215" s="158">
        <f t="shared" ref="AH1215" si="278">P1215-U1215-Z1215</f>
        <v>0</v>
      </c>
      <c r="AI1215" s="158">
        <v>0</v>
      </c>
      <c r="AJ1215" s="158"/>
      <c r="AK1215" s="158">
        <f t="shared" si="269"/>
        <v>0</v>
      </c>
      <c r="AL1215" s="158">
        <v>877</v>
      </c>
      <c r="AM1215" s="158">
        <v>20</v>
      </c>
      <c r="AN1215" s="158"/>
      <c r="AO1215" s="158"/>
      <c r="AP1215" s="158"/>
      <c r="AQ1215" s="23"/>
      <c r="AR1215" s="23"/>
      <c r="AS1215" s="23"/>
      <c r="AT1215" s="2">
        <v>1</v>
      </c>
      <c r="AU1215" s="58" t="s">
        <v>646</v>
      </c>
      <c r="AV1215" s="386" t="s">
        <v>1824</v>
      </c>
      <c r="AW1215" s="23"/>
      <c r="AX1215" s="50"/>
      <c r="AY1215" s="158"/>
      <c r="AZ1215" s="158">
        <v>1</v>
      </c>
      <c r="BA1215" s="158"/>
      <c r="BB1215" s="158"/>
      <c r="BC1215" s="69"/>
      <c r="BD1215" s="69">
        <v>1</v>
      </c>
      <c r="BE1215" s="69"/>
      <c r="BF1215" s="270">
        <v>2019</v>
      </c>
      <c r="BG1215" s="270">
        <v>2019</v>
      </c>
      <c r="BH1215" s="271"/>
      <c r="BI1215" s="271" t="s">
        <v>2375</v>
      </c>
    </row>
    <row r="1216" spans="1:61" s="204" customFormat="1" ht="18" customHeight="1">
      <c r="A1216" s="230" t="s">
        <v>1</v>
      </c>
      <c r="B1216" s="58" t="s">
        <v>320</v>
      </c>
      <c r="C1216" s="66" t="s">
        <v>1884</v>
      </c>
      <c r="D1216" s="33" t="s">
        <v>1936</v>
      </c>
      <c r="E1216" s="33"/>
      <c r="F1216" s="33"/>
      <c r="G1216" s="33"/>
      <c r="H1216" s="30" t="s">
        <v>663</v>
      </c>
      <c r="I1216" s="78">
        <v>767</v>
      </c>
      <c r="J1216" s="212">
        <v>41367</v>
      </c>
      <c r="K1216" s="158"/>
      <c r="L1216" s="158"/>
      <c r="M1216" s="158">
        <v>1</v>
      </c>
      <c r="N1216" s="158">
        <v>1</v>
      </c>
      <c r="O1216" s="23"/>
      <c r="P1216" s="158">
        <v>49000000</v>
      </c>
      <c r="Q1216" s="328"/>
      <c r="R1216" s="328"/>
      <c r="S1216" s="158"/>
      <c r="T1216" s="225"/>
      <c r="U1216" s="225">
        <v>49000000</v>
      </c>
      <c r="V1216" s="158">
        <v>10</v>
      </c>
      <c r="W1216" s="311">
        <v>43770</v>
      </c>
      <c r="X1216" s="311"/>
      <c r="Y1216" s="311"/>
      <c r="Z1216" s="158"/>
      <c r="AA1216" s="69"/>
      <c r="AB1216" s="276"/>
      <c r="AC1216" s="276"/>
      <c r="AD1216" s="276"/>
      <c r="AE1216" s="158"/>
      <c r="AF1216" s="158">
        <f t="shared" si="276"/>
        <v>0</v>
      </c>
      <c r="AG1216" s="158"/>
      <c r="AH1216" s="94">
        <v>0</v>
      </c>
      <c r="AI1216" s="94">
        <v>0</v>
      </c>
      <c r="AJ1216" s="94"/>
      <c r="AK1216" s="158">
        <f t="shared" ref="AK1216:AK1219" si="279">P1216-R1216-U1216-Z1216</f>
        <v>0</v>
      </c>
      <c r="AL1216" s="158">
        <v>980</v>
      </c>
      <c r="AM1216" s="158">
        <v>10</v>
      </c>
      <c r="AN1216" s="158"/>
      <c r="AO1216" s="158"/>
      <c r="AP1216" s="158">
        <v>1</v>
      </c>
      <c r="AQ1216" s="23"/>
      <c r="AR1216" s="23"/>
      <c r="AS1216" s="23"/>
      <c r="AT1216" s="2">
        <v>1</v>
      </c>
      <c r="AU1216" s="58" t="s">
        <v>646</v>
      </c>
      <c r="AV1216" s="386" t="s">
        <v>1885</v>
      </c>
      <c r="AW1216" s="23"/>
      <c r="AX1216" s="50"/>
      <c r="AY1216" s="158"/>
      <c r="AZ1216" s="158"/>
      <c r="BA1216" s="156">
        <v>1</v>
      </c>
      <c r="BB1216" s="158"/>
      <c r="BC1216" s="69"/>
      <c r="BD1216" s="69">
        <v>1</v>
      </c>
      <c r="BE1216" s="69"/>
      <c r="BF1216" s="271">
        <v>2020</v>
      </c>
      <c r="BG1216" s="271">
        <v>2019</v>
      </c>
      <c r="BH1216" s="271">
        <v>2020</v>
      </c>
      <c r="BI1216" s="271" t="s">
        <v>2375</v>
      </c>
    </row>
    <row r="1217" spans="1:61" s="204" customFormat="1" ht="18" customHeight="1">
      <c r="A1217" s="160" t="s">
        <v>1</v>
      </c>
      <c r="B1217" s="58" t="s">
        <v>320</v>
      </c>
      <c r="C1217" s="66" t="s">
        <v>1882</v>
      </c>
      <c r="D1217" s="33" t="s">
        <v>1936</v>
      </c>
      <c r="E1217" s="33"/>
      <c r="F1217" s="33"/>
      <c r="G1217" s="33"/>
      <c r="H1217" s="30" t="s">
        <v>647</v>
      </c>
      <c r="I1217" s="78">
        <v>2008</v>
      </c>
      <c r="J1217" s="212">
        <v>43794</v>
      </c>
      <c r="K1217" s="158"/>
      <c r="L1217" s="158"/>
      <c r="M1217" s="158">
        <v>1</v>
      </c>
      <c r="N1217" s="92">
        <v>1</v>
      </c>
      <c r="O1217" s="23"/>
      <c r="P1217" s="92">
        <f>63012816+6301084</f>
        <v>69313900</v>
      </c>
      <c r="Q1217" s="48"/>
      <c r="R1217" s="315"/>
      <c r="S1217" s="158"/>
      <c r="T1217" s="225"/>
      <c r="U1217" s="225">
        <f>63012816+6301084</f>
        <v>69313900</v>
      </c>
      <c r="V1217" s="158">
        <v>20</v>
      </c>
      <c r="W1217" s="311">
        <v>43770</v>
      </c>
      <c r="X1217" s="311"/>
      <c r="Y1217" s="311"/>
      <c r="Z1217" s="158"/>
      <c r="AA1217" s="69"/>
      <c r="AB1217" s="276"/>
      <c r="AC1217" s="276"/>
      <c r="AD1217" s="158"/>
      <c r="AE1217" s="158"/>
      <c r="AF1217" s="158">
        <f t="shared" si="276"/>
        <v>0</v>
      </c>
      <c r="AG1217" s="158"/>
      <c r="AH1217" s="94">
        <v>0</v>
      </c>
      <c r="AI1217" s="94">
        <v>0</v>
      </c>
      <c r="AJ1217" s="94"/>
      <c r="AK1217" s="158">
        <f t="shared" si="279"/>
        <v>0</v>
      </c>
      <c r="AL1217" s="158" t="s">
        <v>2384</v>
      </c>
      <c r="AM1217" s="158" t="s">
        <v>1822</v>
      </c>
      <c r="AN1217" s="158"/>
      <c r="AO1217" s="158"/>
      <c r="AP1217" s="158">
        <v>1</v>
      </c>
      <c r="AQ1217" s="23"/>
      <c r="AR1217" s="23"/>
      <c r="AS1217" s="23"/>
      <c r="AT1217" s="2">
        <v>1</v>
      </c>
      <c r="AU1217" s="58" t="s">
        <v>646</v>
      </c>
      <c r="AV1217" s="386" t="s">
        <v>1883</v>
      </c>
      <c r="AW1217" s="23"/>
      <c r="AX1217" s="50"/>
      <c r="AY1217" s="158"/>
      <c r="AZ1217" s="158"/>
      <c r="BA1217" s="156">
        <v>1</v>
      </c>
      <c r="BB1217" s="158"/>
      <c r="BC1217" s="69"/>
      <c r="BD1217" s="69">
        <v>1</v>
      </c>
      <c r="BE1217" s="69"/>
      <c r="BF1217" s="271">
        <v>2020</v>
      </c>
      <c r="BG1217" s="271">
        <v>2019</v>
      </c>
      <c r="BH1217" s="271">
        <v>2020</v>
      </c>
      <c r="BI1217" s="271" t="s">
        <v>2375</v>
      </c>
    </row>
    <row r="1218" spans="1:61" s="204" customFormat="1" ht="18" customHeight="1">
      <c r="A1218" s="160" t="s">
        <v>1</v>
      </c>
      <c r="B1218" s="58" t="s">
        <v>320</v>
      </c>
      <c r="C1218" s="66" t="s">
        <v>1801</v>
      </c>
      <c r="D1218" s="33" t="s">
        <v>387</v>
      </c>
      <c r="E1218" s="33"/>
      <c r="F1218" s="33"/>
      <c r="G1218" s="33"/>
      <c r="H1218" s="30" t="s">
        <v>647</v>
      </c>
      <c r="I1218" s="228" t="s">
        <v>1802</v>
      </c>
      <c r="J1218" s="215" t="s">
        <v>1803</v>
      </c>
      <c r="K1218" s="158"/>
      <c r="L1218" s="158"/>
      <c r="M1218" s="158">
        <v>1</v>
      </c>
      <c r="N1218" s="158">
        <v>1</v>
      </c>
      <c r="O1218" s="23"/>
      <c r="P1218" s="158">
        <v>60837116</v>
      </c>
      <c r="Q1218" s="158"/>
      <c r="R1218" s="158"/>
      <c r="S1218" s="158"/>
      <c r="T1218" s="158"/>
      <c r="U1218" s="225">
        <v>27376702</v>
      </c>
      <c r="V1218" s="158">
        <v>20</v>
      </c>
      <c r="W1218" s="311">
        <v>43678</v>
      </c>
      <c r="X1218" s="311"/>
      <c r="Y1218" s="311"/>
      <c r="Z1218" s="158">
        <v>33460414</v>
      </c>
      <c r="AA1218" s="158">
        <v>20</v>
      </c>
      <c r="AB1218" s="311">
        <v>43800</v>
      </c>
      <c r="AC1218" s="577"/>
      <c r="AD1218" s="69"/>
      <c r="AE1218" s="158"/>
      <c r="AF1218" s="158">
        <f t="shared" si="268"/>
        <v>0</v>
      </c>
      <c r="AG1218" s="158"/>
      <c r="AH1218" s="94">
        <v>0</v>
      </c>
      <c r="AI1218" s="94">
        <v>0</v>
      </c>
      <c r="AJ1218" s="94"/>
      <c r="AK1218" s="158">
        <f t="shared" si="279"/>
        <v>0</v>
      </c>
      <c r="AL1218" s="158">
        <v>877</v>
      </c>
      <c r="AM1218" s="158">
        <v>20</v>
      </c>
      <c r="AN1218" s="158"/>
      <c r="AO1218" s="158">
        <v>1</v>
      </c>
      <c r="AP1218" s="158"/>
      <c r="AQ1218" s="23"/>
      <c r="AR1218" s="23"/>
      <c r="AS1218" s="23"/>
      <c r="AT1218" s="2">
        <v>0</v>
      </c>
      <c r="AU1218" s="58" t="s">
        <v>38</v>
      </c>
      <c r="AV1218" s="386" t="s">
        <v>1874</v>
      </c>
      <c r="AW1218" s="23"/>
      <c r="AX1218" s="50"/>
      <c r="AY1218" s="158"/>
      <c r="AZ1218" s="158"/>
      <c r="BA1218" s="158"/>
      <c r="BB1218" s="158"/>
      <c r="BC1218" s="69"/>
      <c r="BD1218" s="69"/>
      <c r="BE1218" s="69"/>
      <c r="BF1218" s="271"/>
      <c r="BG1218" s="271">
        <v>2019</v>
      </c>
      <c r="BH1218" s="430">
        <v>2020</v>
      </c>
      <c r="BI1218" s="271" t="s">
        <v>2375</v>
      </c>
    </row>
    <row r="1219" spans="1:61" s="204" customFormat="1" ht="36.75" customHeight="1">
      <c r="A1219" s="160" t="s">
        <v>1</v>
      </c>
      <c r="B1219" s="58" t="s">
        <v>320</v>
      </c>
      <c r="C1219" s="66" t="s">
        <v>1804</v>
      </c>
      <c r="D1219" s="33" t="s">
        <v>387</v>
      </c>
      <c r="E1219" s="33"/>
      <c r="F1219" s="33"/>
      <c r="G1219" s="33"/>
      <c r="H1219" s="30" t="s">
        <v>647</v>
      </c>
      <c r="I1219" s="228" t="s">
        <v>2226</v>
      </c>
      <c r="J1219" s="228" t="s">
        <v>2227</v>
      </c>
      <c r="K1219" s="158"/>
      <c r="L1219" s="158"/>
      <c r="M1219" s="158">
        <v>1</v>
      </c>
      <c r="N1219" s="158">
        <v>1</v>
      </c>
      <c r="O1219" s="23"/>
      <c r="P1219" s="158">
        <v>60837116</v>
      </c>
      <c r="Q1219" s="158"/>
      <c r="R1219" s="158"/>
      <c r="S1219" s="158"/>
      <c r="T1219" s="158"/>
      <c r="U1219" s="225">
        <v>27376702</v>
      </c>
      <c r="V1219" s="158">
        <v>20</v>
      </c>
      <c r="W1219" s="311">
        <v>43678</v>
      </c>
      <c r="X1219" s="311"/>
      <c r="Y1219" s="311"/>
      <c r="Z1219" s="158">
        <v>33460414</v>
      </c>
      <c r="AA1219" s="69">
        <v>20</v>
      </c>
      <c r="AB1219" s="311">
        <v>43889</v>
      </c>
      <c r="AC1219" s="577"/>
      <c r="AD1219" s="69"/>
      <c r="AE1219" s="158"/>
      <c r="AF1219" s="158">
        <f t="shared" ref="AF1219" si="280">P1219-R1219-U1219</f>
        <v>33460414</v>
      </c>
      <c r="AG1219" s="158"/>
      <c r="AH1219" s="94">
        <v>0</v>
      </c>
      <c r="AI1219" s="94">
        <v>33460414</v>
      </c>
      <c r="AJ1219" s="94"/>
      <c r="AK1219" s="666">
        <f t="shared" si="279"/>
        <v>0</v>
      </c>
      <c r="AL1219" s="666">
        <v>877</v>
      </c>
      <c r="AM1219" s="666">
        <v>20</v>
      </c>
      <c r="AN1219" s="158"/>
      <c r="AO1219" s="158">
        <v>1</v>
      </c>
      <c r="AP1219" s="158"/>
      <c r="AQ1219" s="23"/>
      <c r="AR1219" s="23"/>
      <c r="AS1219" s="23"/>
      <c r="AT1219" s="2">
        <v>0.45</v>
      </c>
      <c r="AU1219" s="58" t="s">
        <v>38</v>
      </c>
      <c r="AV1219" s="386" t="s">
        <v>1874</v>
      </c>
      <c r="AW1219" s="23"/>
      <c r="AX1219" s="23"/>
      <c r="AY1219" s="158"/>
      <c r="AZ1219" s="158"/>
      <c r="BA1219" s="158"/>
      <c r="BB1219" s="158"/>
      <c r="BC1219" s="69"/>
      <c r="BD1219" s="69"/>
      <c r="BE1219" s="69"/>
      <c r="BF1219" s="271"/>
      <c r="BG1219" s="271">
        <v>2019</v>
      </c>
      <c r="BH1219" s="430">
        <v>2020</v>
      </c>
      <c r="BI1219" s="271" t="s">
        <v>2375</v>
      </c>
    </row>
    <row r="1220" spans="1:61" ht="18" customHeight="1">
      <c r="A1220" s="160" t="s">
        <v>1</v>
      </c>
      <c r="B1220" s="58" t="s">
        <v>320</v>
      </c>
      <c r="C1220" s="66" t="s">
        <v>1821</v>
      </c>
      <c r="D1220" s="33" t="s">
        <v>1936</v>
      </c>
      <c r="E1220" s="33"/>
      <c r="F1220" s="33"/>
      <c r="G1220" s="33"/>
      <c r="H1220" s="30" t="s">
        <v>657</v>
      </c>
      <c r="I1220" s="228">
        <v>1326</v>
      </c>
      <c r="J1220" s="212">
        <v>43684</v>
      </c>
      <c r="K1220" s="158"/>
      <c r="L1220" s="158"/>
      <c r="M1220" s="158">
        <v>1</v>
      </c>
      <c r="N1220" s="158"/>
      <c r="O1220" s="158"/>
      <c r="P1220" s="158">
        <f>63012816+13692170</f>
        <v>76704986</v>
      </c>
      <c r="Q1220" s="158"/>
      <c r="R1220" s="158"/>
      <c r="S1220" s="158"/>
      <c r="T1220" s="225"/>
      <c r="U1220" s="225">
        <f>63012816+13692170</f>
        <v>76704986</v>
      </c>
      <c r="V1220" s="254" t="s">
        <v>1822</v>
      </c>
      <c r="W1220" s="311">
        <v>43739</v>
      </c>
      <c r="X1220" s="311"/>
      <c r="Y1220" s="311"/>
      <c r="Z1220" s="158"/>
      <c r="AA1220" s="69"/>
      <c r="AB1220" s="284"/>
      <c r="AC1220" s="284"/>
      <c r="AD1220" s="284"/>
      <c r="AE1220" s="158"/>
      <c r="AF1220" s="158">
        <f t="shared" si="268"/>
        <v>0</v>
      </c>
      <c r="AG1220" s="158"/>
      <c r="AH1220" s="94">
        <v>0</v>
      </c>
      <c r="AI1220" s="94">
        <v>0</v>
      </c>
      <c r="AJ1220" s="94"/>
      <c r="AK1220" s="158">
        <f t="shared" si="269"/>
        <v>0</v>
      </c>
      <c r="AL1220" s="158" t="s">
        <v>2384</v>
      </c>
      <c r="AM1220" s="158" t="s">
        <v>1822</v>
      </c>
      <c r="AN1220" s="158"/>
      <c r="AO1220" s="158"/>
      <c r="AP1220" s="158"/>
      <c r="AQ1220" s="23"/>
      <c r="AR1220" s="23"/>
      <c r="AS1220" s="23"/>
      <c r="AT1220" s="2">
        <v>1</v>
      </c>
      <c r="AU1220" s="58" t="s">
        <v>646</v>
      </c>
      <c r="AV1220" s="386" t="s">
        <v>1823</v>
      </c>
      <c r="AW1220" s="23"/>
      <c r="AX1220" s="50"/>
      <c r="AY1220" s="158"/>
      <c r="AZ1220" s="158">
        <v>1</v>
      </c>
      <c r="BA1220" s="158"/>
      <c r="BB1220" s="158"/>
      <c r="BC1220" s="69"/>
      <c r="BD1220" s="69">
        <v>1</v>
      </c>
      <c r="BE1220" s="69"/>
      <c r="BF1220" s="270">
        <v>2019</v>
      </c>
      <c r="BG1220" s="270">
        <v>2019</v>
      </c>
      <c r="BH1220" s="271"/>
      <c r="BI1220" s="271" t="s">
        <v>2375</v>
      </c>
    </row>
    <row r="1221" spans="1:61" s="204" customFormat="1" ht="18" customHeight="1">
      <c r="A1221" s="160" t="s">
        <v>1</v>
      </c>
      <c r="B1221" s="58" t="s">
        <v>320</v>
      </c>
      <c r="C1221" s="66" t="s">
        <v>1831</v>
      </c>
      <c r="D1221" s="33" t="s">
        <v>387</v>
      </c>
      <c r="E1221" s="33"/>
      <c r="F1221" s="33"/>
      <c r="G1221" s="33"/>
      <c r="H1221" s="30" t="s">
        <v>647</v>
      </c>
      <c r="I1221" s="78">
        <v>1488</v>
      </c>
      <c r="J1221" s="212">
        <v>43710</v>
      </c>
      <c r="K1221" s="158"/>
      <c r="L1221" s="158"/>
      <c r="M1221" s="158">
        <v>1</v>
      </c>
      <c r="N1221" s="158">
        <v>1</v>
      </c>
      <c r="O1221" s="23"/>
      <c r="P1221" s="158">
        <v>65756127</v>
      </c>
      <c r="Q1221" s="158"/>
      <c r="R1221" s="158"/>
      <c r="S1221" s="158"/>
      <c r="T1221" s="158"/>
      <c r="U1221" s="225">
        <v>29590257</v>
      </c>
      <c r="V1221" s="158">
        <v>20</v>
      </c>
      <c r="W1221" s="311">
        <v>43739</v>
      </c>
      <c r="X1221" s="311"/>
      <c r="Y1221" s="311"/>
      <c r="Z1221" s="158"/>
      <c r="AA1221" s="69"/>
      <c r="AB1221" s="284"/>
      <c r="AC1221" s="284"/>
      <c r="AD1221" s="284"/>
      <c r="AE1221" s="158"/>
      <c r="AF1221" s="158">
        <f t="shared" si="268"/>
        <v>36165870</v>
      </c>
      <c r="AG1221" s="158"/>
      <c r="AH1221" s="94">
        <v>0</v>
      </c>
      <c r="AI1221" s="94">
        <v>36165870</v>
      </c>
      <c r="AJ1221" s="94"/>
      <c r="AK1221" s="666">
        <f>P1221-R1221-U1221-Z1221</f>
        <v>36165870</v>
      </c>
      <c r="AL1221" s="666">
        <v>877</v>
      </c>
      <c r="AM1221" s="666">
        <v>20</v>
      </c>
      <c r="AN1221" s="158"/>
      <c r="AO1221" s="158">
        <v>1</v>
      </c>
      <c r="AP1221" s="158"/>
      <c r="AQ1221" s="23"/>
      <c r="AR1221" s="23"/>
      <c r="AS1221" s="23"/>
      <c r="AT1221" s="2">
        <v>0</v>
      </c>
      <c r="AU1221" s="58" t="s">
        <v>38</v>
      </c>
      <c r="AV1221" s="386" t="s">
        <v>1875</v>
      </c>
      <c r="AW1221" s="23"/>
      <c r="AX1221" s="23"/>
      <c r="AY1221" s="158"/>
      <c r="AZ1221" s="158"/>
      <c r="BA1221" s="158"/>
      <c r="BB1221" s="158"/>
      <c r="BC1221" s="69"/>
      <c r="BD1221" s="69"/>
      <c r="BE1221" s="69"/>
      <c r="BF1221" s="271"/>
      <c r="BG1221" s="271">
        <v>2019</v>
      </c>
      <c r="BH1221" s="430">
        <v>2020</v>
      </c>
      <c r="BI1221" s="271" t="s">
        <v>2375</v>
      </c>
    </row>
    <row r="1222" spans="1:61" ht="18" customHeight="1">
      <c r="A1222" s="160" t="s">
        <v>1</v>
      </c>
      <c r="B1222" s="58" t="s">
        <v>320</v>
      </c>
      <c r="C1222" s="66" t="s">
        <v>1833</v>
      </c>
      <c r="D1222" s="33" t="s">
        <v>1936</v>
      </c>
      <c r="E1222" s="33"/>
      <c r="F1222" s="33"/>
      <c r="G1222" s="33"/>
      <c r="H1222" s="30" t="s">
        <v>647</v>
      </c>
      <c r="I1222" s="78">
        <v>1695</v>
      </c>
      <c r="J1222" s="212">
        <v>43733</v>
      </c>
      <c r="K1222" s="158"/>
      <c r="L1222" s="158"/>
      <c r="M1222" s="158">
        <v>1</v>
      </c>
      <c r="N1222" s="158"/>
      <c r="O1222" s="158"/>
      <c r="P1222" s="158">
        <f>62700000+5239250</f>
        <v>67939250</v>
      </c>
      <c r="Q1222" s="158"/>
      <c r="R1222" s="158"/>
      <c r="S1222" s="158"/>
      <c r="T1222" s="225"/>
      <c r="U1222" s="225">
        <f>62700000+5239250</f>
        <v>67939250</v>
      </c>
      <c r="V1222" s="254" t="s">
        <v>1822</v>
      </c>
      <c r="W1222" s="311">
        <v>43739</v>
      </c>
      <c r="X1222" s="311"/>
      <c r="Y1222" s="311"/>
      <c r="Z1222" s="158"/>
      <c r="AA1222" s="69"/>
      <c r="AB1222" s="284"/>
      <c r="AC1222" s="284"/>
      <c r="AD1222" s="284"/>
      <c r="AE1222" s="158"/>
      <c r="AF1222" s="158">
        <f t="shared" si="268"/>
        <v>0</v>
      </c>
      <c r="AG1222" s="158"/>
      <c r="AH1222" s="94">
        <v>0</v>
      </c>
      <c r="AI1222" s="94">
        <v>0</v>
      </c>
      <c r="AJ1222" s="94"/>
      <c r="AK1222" s="158">
        <f t="shared" si="269"/>
        <v>0</v>
      </c>
      <c r="AL1222" s="158" t="s">
        <v>2384</v>
      </c>
      <c r="AM1222" s="158" t="s">
        <v>1822</v>
      </c>
      <c r="AN1222" s="158"/>
      <c r="AO1222" s="158"/>
      <c r="AP1222" s="158"/>
      <c r="AQ1222" s="23"/>
      <c r="AR1222" s="23"/>
      <c r="AS1222" s="23"/>
      <c r="AT1222" s="2">
        <v>1</v>
      </c>
      <c r="AU1222" s="58" t="s">
        <v>646</v>
      </c>
      <c r="AV1222" s="388" t="s">
        <v>1962</v>
      </c>
      <c r="AW1222" s="23"/>
      <c r="AX1222" s="50"/>
      <c r="AY1222" s="158"/>
      <c r="AZ1222" s="158">
        <v>1</v>
      </c>
      <c r="BA1222" s="158"/>
      <c r="BB1222" s="158"/>
      <c r="BC1222" s="69"/>
      <c r="BD1222" s="69">
        <v>1</v>
      </c>
      <c r="BE1222" s="69"/>
      <c r="BF1222" s="270">
        <v>2019</v>
      </c>
      <c r="BG1222" s="270">
        <v>2019</v>
      </c>
      <c r="BH1222" s="271"/>
      <c r="BI1222" s="271" t="s">
        <v>2375</v>
      </c>
    </row>
    <row r="1223" spans="1:61" ht="18" customHeight="1">
      <c r="A1223" s="160" t="s">
        <v>1</v>
      </c>
      <c r="B1223" s="58" t="s">
        <v>320</v>
      </c>
      <c r="C1223" s="264" t="s">
        <v>1832</v>
      </c>
      <c r="D1223" s="33" t="s">
        <v>1936</v>
      </c>
      <c r="E1223" s="33"/>
      <c r="F1223" s="33"/>
      <c r="G1223" s="33"/>
      <c r="H1223" s="30" t="s">
        <v>647</v>
      </c>
      <c r="I1223" s="78">
        <v>1596</v>
      </c>
      <c r="J1223" s="212">
        <v>43725</v>
      </c>
      <c r="K1223" s="158"/>
      <c r="L1223" s="158"/>
      <c r="M1223" s="158">
        <v>1</v>
      </c>
      <c r="N1223" s="158"/>
      <c r="O1223" s="158"/>
      <c r="P1223" s="158">
        <v>56000000</v>
      </c>
      <c r="Q1223" s="158"/>
      <c r="R1223" s="158"/>
      <c r="S1223" s="158"/>
      <c r="T1223" s="158"/>
      <c r="U1223" s="225">
        <v>56000000</v>
      </c>
      <c r="V1223" s="158">
        <v>20</v>
      </c>
      <c r="W1223" s="311">
        <v>43739</v>
      </c>
      <c r="X1223" s="311"/>
      <c r="Y1223" s="311"/>
      <c r="Z1223" s="158"/>
      <c r="AA1223" s="69"/>
      <c r="AB1223" s="284"/>
      <c r="AC1223" s="284"/>
      <c r="AD1223" s="284"/>
      <c r="AE1223" s="158"/>
      <c r="AF1223" s="158">
        <f t="shared" si="268"/>
        <v>0</v>
      </c>
      <c r="AG1223" s="158"/>
      <c r="AH1223" s="94">
        <v>0</v>
      </c>
      <c r="AI1223" s="94">
        <v>0</v>
      </c>
      <c r="AJ1223" s="94"/>
      <c r="AK1223" s="158">
        <f t="shared" si="269"/>
        <v>0</v>
      </c>
      <c r="AL1223" s="158">
        <v>877</v>
      </c>
      <c r="AM1223" s="158">
        <v>20</v>
      </c>
      <c r="AN1223" s="158"/>
      <c r="AO1223" s="158"/>
      <c r="AP1223" s="158"/>
      <c r="AQ1223" s="23"/>
      <c r="AR1223" s="23"/>
      <c r="AS1223" s="23"/>
      <c r="AT1223" s="2">
        <v>1</v>
      </c>
      <c r="AU1223" s="58" t="s">
        <v>646</v>
      </c>
      <c r="AV1223" s="388" t="s">
        <v>1963</v>
      </c>
      <c r="AW1223" s="23"/>
      <c r="AX1223" s="50"/>
      <c r="AY1223" s="158"/>
      <c r="AZ1223" s="158">
        <v>1</v>
      </c>
      <c r="BA1223" s="158"/>
      <c r="BB1223" s="158"/>
      <c r="BC1223" s="69"/>
      <c r="BD1223" s="69">
        <v>1</v>
      </c>
      <c r="BE1223" s="69"/>
      <c r="BF1223" s="270">
        <v>2019</v>
      </c>
      <c r="BG1223" s="270">
        <v>2019</v>
      </c>
      <c r="BH1223" s="271"/>
      <c r="BI1223" s="271" t="s">
        <v>2375</v>
      </c>
    </row>
    <row r="1224" spans="1:61" ht="18" customHeight="1">
      <c r="A1224" s="160" t="s">
        <v>1</v>
      </c>
      <c r="B1224" s="58" t="s">
        <v>320</v>
      </c>
      <c r="C1224" s="264" t="s">
        <v>1951</v>
      </c>
      <c r="D1224" s="33" t="s">
        <v>319</v>
      </c>
      <c r="E1224" s="33"/>
      <c r="F1224" s="33"/>
      <c r="G1224" s="33"/>
      <c r="H1224" s="30" t="s">
        <v>647</v>
      </c>
      <c r="I1224" s="78">
        <v>746</v>
      </c>
      <c r="J1224" s="212">
        <v>41782</v>
      </c>
      <c r="K1224" s="158"/>
      <c r="L1224" s="158"/>
      <c r="M1224" s="158">
        <v>1</v>
      </c>
      <c r="N1224" s="158"/>
      <c r="O1224" s="158"/>
      <c r="P1224" s="158">
        <v>77520000</v>
      </c>
      <c r="Q1224" s="158"/>
      <c r="R1224" s="158"/>
      <c r="S1224" s="158"/>
      <c r="T1224" s="158"/>
      <c r="U1224" s="225">
        <v>77520000</v>
      </c>
      <c r="V1224" s="158">
        <v>20</v>
      </c>
      <c r="W1224" s="311">
        <v>43826</v>
      </c>
      <c r="X1224" s="311"/>
      <c r="Y1224" s="311"/>
      <c r="Z1224" s="158"/>
      <c r="AA1224" s="69"/>
      <c r="AB1224" s="284"/>
      <c r="AC1224" s="284"/>
      <c r="AD1224" s="284"/>
      <c r="AE1224" s="158"/>
      <c r="AF1224" s="158">
        <f t="shared" si="268"/>
        <v>0</v>
      </c>
      <c r="AG1224" s="158"/>
      <c r="AH1224" s="94">
        <v>0</v>
      </c>
      <c r="AI1224" s="94">
        <v>0</v>
      </c>
      <c r="AJ1224" s="94"/>
      <c r="AK1224" s="158">
        <f t="shared" si="269"/>
        <v>0</v>
      </c>
      <c r="AL1224" s="158">
        <v>877</v>
      </c>
      <c r="AM1224" s="158">
        <v>20</v>
      </c>
      <c r="AN1224" s="158"/>
      <c r="AO1224" s="158"/>
      <c r="AP1224" s="158"/>
      <c r="AQ1224" s="23"/>
      <c r="AR1224" s="23"/>
      <c r="AS1224" s="23"/>
      <c r="AT1224" s="2">
        <v>1</v>
      </c>
      <c r="AU1224" s="58" t="s">
        <v>646</v>
      </c>
      <c r="AV1224" s="386" t="s">
        <v>1961</v>
      </c>
      <c r="AW1224" s="23"/>
      <c r="AX1224" s="50"/>
      <c r="AY1224" s="158"/>
      <c r="AZ1224" s="158">
        <v>1</v>
      </c>
      <c r="BA1224" s="158"/>
      <c r="BB1224" s="158"/>
      <c r="BC1224" s="69"/>
      <c r="BD1224" s="69">
        <v>1</v>
      </c>
      <c r="BE1224" s="69"/>
      <c r="BF1224" s="270">
        <v>2019</v>
      </c>
      <c r="BG1224" s="270">
        <v>2019</v>
      </c>
      <c r="BH1224" s="271"/>
      <c r="BI1224" s="271" t="s">
        <v>2375</v>
      </c>
    </row>
    <row r="1225" spans="1:61" s="204" customFormat="1" ht="18" customHeight="1">
      <c r="A1225" s="160" t="s">
        <v>1</v>
      </c>
      <c r="B1225" s="58" t="s">
        <v>320</v>
      </c>
      <c r="C1225" s="264" t="s">
        <v>2372</v>
      </c>
      <c r="D1225" s="33" t="s">
        <v>387</v>
      </c>
      <c r="E1225" s="33"/>
      <c r="F1225" s="33"/>
      <c r="G1225" s="33"/>
      <c r="H1225" s="30" t="s">
        <v>663</v>
      </c>
      <c r="I1225" s="78">
        <v>743</v>
      </c>
      <c r="J1225" s="212">
        <v>41365</v>
      </c>
      <c r="K1225" s="158"/>
      <c r="L1225" s="158"/>
      <c r="M1225" s="158">
        <v>1</v>
      </c>
      <c r="N1225" s="158">
        <v>1</v>
      </c>
      <c r="O1225" s="23"/>
      <c r="P1225" s="158">
        <v>47359106</v>
      </c>
      <c r="Q1225" s="158"/>
      <c r="R1225" s="158"/>
      <c r="S1225" s="158"/>
      <c r="T1225" s="158"/>
      <c r="U1225" s="225"/>
      <c r="V1225" s="158"/>
      <c r="W1225" s="311"/>
      <c r="X1225" s="311"/>
      <c r="Y1225" s="311"/>
      <c r="Z1225" s="158"/>
      <c r="AA1225" s="69"/>
      <c r="AB1225" s="284"/>
      <c r="AC1225" s="284"/>
      <c r="AD1225" s="284"/>
      <c r="AE1225" s="158"/>
      <c r="AF1225" s="158">
        <f t="shared" si="268"/>
        <v>47359106</v>
      </c>
      <c r="AG1225" s="158"/>
      <c r="AH1225" s="94">
        <v>0</v>
      </c>
      <c r="AI1225" s="94">
        <v>47359106</v>
      </c>
      <c r="AJ1225" s="94"/>
      <c r="AK1225" s="176">
        <f>P1225-R1225-U1225-Z1225</f>
        <v>47359106</v>
      </c>
      <c r="AL1225" s="158">
        <v>980</v>
      </c>
      <c r="AM1225" s="158"/>
      <c r="AN1225" s="158">
        <v>1</v>
      </c>
      <c r="AO1225" s="158"/>
      <c r="AP1225" s="158"/>
      <c r="AQ1225" s="23"/>
      <c r="AR1225" s="23"/>
      <c r="AS1225" s="23"/>
      <c r="AT1225" s="2">
        <v>0</v>
      </c>
      <c r="AU1225" s="58" t="s">
        <v>521</v>
      </c>
      <c r="AV1225" s="386" t="s">
        <v>2373</v>
      </c>
      <c r="AW1225" s="23"/>
      <c r="AX1225" s="50"/>
      <c r="AY1225" s="158"/>
      <c r="AZ1225" s="158"/>
      <c r="BA1225" s="158"/>
      <c r="BB1225" s="158"/>
      <c r="BC1225" s="69"/>
      <c r="BD1225" s="69"/>
      <c r="BE1225" s="69"/>
      <c r="BF1225" s="271"/>
      <c r="BG1225" s="271">
        <v>2019</v>
      </c>
      <c r="BH1225" s="271">
        <v>2020</v>
      </c>
      <c r="BI1225" s="271" t="s">
        <v>2375</v>
      </c>
    </row>
    <row r="1226" spans="1:61" ht="18" customHeight="1">
      <c r="A1226" s="160" t="s">
        <v>1</v>
      </c>
      <c r="B1226" s="58" t="s">
        <v>320</v>
      </c>
      <c r="C1226" s="264" t="s">
        <v>1878</v>
      </c>
      <c r="D1226" s="33" t="s">
        <v>1936</v>
      </c>
      <c r="E1226" s="33"/>
      <c r="F1226" s="33"/>
      <c r="G1226" s="33"/>
      <c r="H1226" s="30" t="s">
        <v>663</v>
      </c>
      <c r="I1226" s="78">
        <v>1594</v>
      </c>
      <c r="J1226" s="212"/>
      <c r="K1226" s="158"/>
      <c r="L1226" s="158"/>
      <c r="M1226" s="158">
        <v>1</v>
      </c>
      <c r="N1226" s="158"/>
      <c r="O1226" s="158"/>
      <c r="P1226" s="158">
        <v>55650000</v>
      </c>
      <c r="Q1226" s="158"/>
      <c r="R1226" s="158"/>
      <c r="S1226" s="158"/>
      <c r="T1226" s="225"/>
      <c r="U1226" s="225">
        <v>55650000</v>
      </c>
      <c r="V1226" s="158">
        <v>10</v>
      </c>
      <c r="W1226" s="311">
        <v>43709</v>
      </c>
      <c r="X1226" s="311"/>
      <c r="Y1226" s="311"/>
      <c r="Z1226" s="158"/>
      <c r="AA1226" s="69"/>
      <c r="AB1226" s="284"/>
      <c r="AC1226" s="284"/>
      <c r="AD1226" s="284"/>
      <c r="AE1226" s="158"/>
      <c r="AF1226" s="158">
        <f t="shared" si="268"/>
        <v>0</v>
      </c>
      <c r="AG1226" s="158"/>
      <c r="AH1226" s="94">
        <v>0</v>
      </c>
      <c r="AI1226" s="94">
        <v>0</v>
      </c>
      <c r="AJ1226" s="94"/>
      <c r="AK1226" s="158">
        <f t="shared" si="269"/>
        <v>0</v>
      </c>
      <c r="AL1226" s="158">
        <v>980</v>
      </c>
      <c r="AM1226" s="158">
        <v>10</v>
      </c>
      <c r="AN1226" s="158"/>
      <c r="AO1226" s="158"/>
      <c r="AP1226" s="158"/>
      <c r="AQ1226" s="23"/>
      <c r="AR1226" s="23"/>
      <c r="AS1226" s="23"/>
      <c r="AT1226" s="2">
        <v>1</v>
      </c>
      <c r="AU1226" s="58" t="s">
        <v>646</v>
      </c>
      <c r="AV1226" s="388" t="s">
        <v>1964</v>
      </c>
      <c r="AW1226" s="23"/>
      <c r="AX1226" s="50"/>
      <c r="AY1226" s="158"/>
      <c r="AZ1226" s="158">
        <v>1</v>
      </c>
      <c r="BA1226" s="158"/>
      <c r="BB1226" s="158"/>
      <c r="BC1226" s="69"/>
      <c r="BD1226" s="69">
        <v>1</v>
      </c>
      <c r="BE1226" s="69"/>
      <c r="BF1226" s="270">
        <v>2019</v>
      </c>
      <c r="BG1226" s="270">
        <v>2019</v>
      </c>
      <c r="BH1226" s="271"/>
      <c r="BI1226" s="271" t="s">
        <v>2375</v>
      </c>
    </row>
    <row r="1227" spans="1:61" s="204" customFormat="1" ht="18" customHeight="1">
      <c r="A1227" s="160" t="s">
        <v>1</v>
      </c>
      <c r="B1227" s="58" t="s">
        <v>320</v>
      </c>
      <c r="C1227" s="264" t="s">
        <v>1880</v>
      </c>
      <c r="D1227" s="33" t="s">
        <v>1936</v>
      </c>
      <c r="E1227" s="33"/>
      <c r="F1227" s="33"/>
      <c r="G1227" s="33"/>
      <c r="H1227" s="30" t="s">
        <v>661</v>
      </c>
      <c r="I1227" s="78">
        <v>2015</v>
      </c>
      <c r="J1227" s="212"/>
      <c r="K1227" s="158"/>
      <c r="L1227" s="158"/>
      <c r="M1227" s="158">
        <v>1</v>
      </c>
      <c r="N1227" s="158">
        <v>1</v>
      </c>
      <c r="O1227" s="23"/>
      <c r="P1227" s="158">
        <v>54902295</v>
      </c>
      <c r="Q1227" s="158"/>
      <c r="R1227" s="158"/>
      <c r="S1227" s="158"/>
      <c r="T1227" s="225"/>
      <c r="U1227" s="225">
        <v>54902295</v>
      </c>
      <c r="V1227" s="158">
        <v>10</v>
      </c>
      <c r="W1227" s="311">
        <v>43770</v>
      </c>
      <c r="X1227" s="311"/>
      <c r="Y1227" s="311"/>
      <c r="Z1227" s="158"/>
      <c r="AA1227" s="69"/>
      <c r="AB1227" s="284"/>
      <c r="AC1227" s="284"/>
      <c r="AD1227" s="284"/>
      <c r="AE1227" s="158"/>
      <c r="AF1227" s="158">
        <f t="shared" si="268"/>
        <v>0</v>
      </c>
      <c r="AG1227" s="158"/>
      <c r="AH1227" s="94">
        <v>0</v>
      </c>
      <c r="AI1227" s="94">
        <v>0</v>
      </c>
      <c r="AJ1227" s="94"/>
      <c r="AK1227" s="158">
        <f t="shared" ref="AK1227:AK1246" si="281">P1227-R1227-U1227-Z1227</f>
        <v>0</v>
      </c>
      <c r="AL1227" s="158">
        <v>980</v>
      </c>
      <c r="AM1227" s="158">
        <v>10</v>
      </c>
      <c r="AN1227" s="158"/>
      <c r="AO1227" s="158"/>
      <c r="AP1227" s="158">
        <v>1</v>
      </c>
      <c r="AQ1227" s="23"/>
      <c r="AR1227" s="23"/>
      <c r="AS1227" s="23"/>
      <c r="AT1227" s="2">
        <v>1</v>
      </c>
      <c r="AU1227" s="58" t="s">
        <v>646</v>
      </c>
      <c r="AV1227" s="386" t="s">
        <v>1881</v>
      </c>
      <c r="AW1227" s="23"/>
      <c r="AX1227" s="50"/>
      <c r="AY1227" s="158"/>
      <c r="AZ1227" s="158"/>
      <c r="BA1227" s="156">
        <v>1</v>
      </c>
      <c r="BB1227" s="158"/>
      <c r="BC1227" s="69"/>
      <c r="BD1227" s="69">
        <v>1</v>
      </c>
      <c r="BE1227" s="69"/>
      <c r="BF1227" s="271">
        <v>2020</v>
      </c>
      <c r="BG1227" s="271">
        <v>2019</v>
      </c>
      <c r="BH1227" s="271">
        <v>2020</v>
      </c>
      <c r="BI1227" s="271" t="s">
        <v>2375</v>
      </c>
    </row>
    <row r="1228" spans="1:61" s="204" customFormat="1" ht="18" customHeight="1">
      <c r="A1228" s="160" t="s">
        <v>1</v>
      </c>
      <c r="B1228" s="58" t="s">
        <v>320</v>
      </c>
      <c r="C1228" s="264" t="s">
        <v>1890</v>
      </c>
      <c r="D1228" s="33" t="s">
        <v>387</v>
      </c>
      <c r="E1228" s="33"/>
      <c r="F1228" s="33"/>
      <c r="G1228" s="33"/>
      <c r="H1228" s="30" t="s">
        <v>1763</v>
      </c>
      <c r="I1228" s="82">
        <v>1833</v>
      </c>
      <c r="J1228" s="212">
        <v>43762</v>
      </c>
      <c r="K1228" s="158"/>
      <c r="L1228" s="158"/>
      <c r="M1228" s="158">
        <v>1</v>
      </c>
      <c r="N1228" s="158">
        <v>1</v>
      </c>
      <c r="O1228" s="23"/>
      <c r="P1228" s="158">
        <v>65787362</v>
      </c>
      <c r="Q1228" s="158"/>
      <c r="R1228" s="158"/>
      <c r="S1228" s="158"/>
      <c r="T1228" s="158"/>
      <c r="U1228" s="225">
        <v>29604313</v>
      </c>
      <c r="V1228" s="158">
        <v>10</v>
      </c>
      <c r="W1228" s="311">
        <v>43917</v>
      </c>
      <c r="X1228" s="311"/>
      <c r="Y1228" s="311"/>
      <c r="Z1228" s="158"/>
      <c r="AA1228" s="158"/>
      <c r="AB1228" s="158"/>
      <c r="AC1228" s="158"/>
      <c r="AD1228" s="158"/>
      <c r="AE1228" s="158"/>
      <c r="AF1228" s="158">
        <f>P1228</f>
        <v>65787362</v>
      </c>
      <c r="AG1228" s="158"/>
      <c r="AH1228" s="158"/>
      <c r="AI1228" s="158">
        <v>65787362</v>
      </c>
      <c r="AJ1228" s="158"/>
      <c r="AK1228" s="602">
        <f t="shared" si="281"/>
        <v>36183049</v>
      </c>
      <c r="AL1228" s="72">
        <v>877</v>
      </c>
      <c r="AM1228" s="72">
        <v>10</v>
      </c>
      <c r="AN1228" s="158"/>
      <c r="AO1228" s="158">
        <v>1</v>
      </c>
      <c r="AP1228" s="158"/>
      <c r="AQ1228" s="23"/>
      <c r="AR1228" s="23"/>
      <c r="AS1228" s="23"/>
      <c r="AT1228" s="2">
        <v>0</v>
      </c>
      <c r="AU1228" s="58" t="s">
        <v>38</v>
      </c>
      <c r="AV1228" s="386"/>
      <c r="AW1228" s="23"/>
      <c r="AX1228" s="50"/>
      <c r="AY1228" s="158"/>
      <c r="AZ1228" s="158"/>
      <c r="BA1228" s="158"/>
      <c r="BB1228" s="158"/>
      <c r="BC1228" s="69"/>
      <c r="BD1228" s="69"/>
      <c r="BE1228" s="69"/>
      <c r="BF1228" s="271"/>
      <c r="BG1228" s="271">
        <v>2019</v>
      </c>
      <c r="BH1228" s="271">
        <v>2020</v>
      </c>
      <c r="BI1228" s="271" t="s">
        <v>2375</v>
      </c>
    </row>
    <row r="1229" spans="1:61" s="204" customFormat="1" ht="18" customHeight="1">
      <c r="A1229" s="160" t="s">
        <v>1</v>
      </c>
      <c r="B1229" s="58" t="s">
        <v>320</v>
      </c>
      <c r="C1229" s="264" t="s">
        <v>1891</v>
      </c>
      <c r="D1229" s="33" t="s">
        <v>1936</v>
      </c>
      <c r="E1229" s="33"/>
      <c r="F1229" s="33"/>
      <c r="G1229" s="33"/>
      <c r="H1229" s="30" t="s">
        <v>1763</v>
      </c>
      <c r="I1229" s="82">
        <v>1842</v>
      </c>
      <c r="J1229" s="212">
        <v>43763</v>
      </c>
      <c r="K1229" s="158"/>
      <c r="L1229" s="158"/>
      <c r="M1229" s="158">
        <v>1</v>
      </c>
      <c r="N1229" s="158">
        <v>1</v>
      </c>
      <c r="O1229" s="23"/>
      <c r="P1229" s="158">
        <v>80275000</v>
      </c>
      <c r="Q1229" s="158"/>
      <c r="R1229" s="158"/>
      <c r="S1229" s="158"/>
      <c r="T1229" s="158"/>
      <c r="U1229" s="225"/>
      <c r="V1229" s="158"/>
      <c r="W1229" s="311"/>
      <c r="X1229" s="311"/>
      <c r="Y1229" s="311"/>
      <c r="Z1229" s="158"/>
      <c r="AA1229" s="69"/>
      <c r="AB1229" s="284"/>
      <c r="AC1229" s="284"/>
      <c r="AD1229" s="284"/>
      <c r="AE1229" s="158"/>
      <c r="AF1229" s="158">
        <f t="shared" ref="AF1229:AF1231" si="282">P1229-U1229-Z1229-AH1229</f>
        <v>80275000</v>
      </c>
      <c r="AG1229" s="158"/>
      <c r="AH1229" s="94">
        <v>0</v>
      </c>
      <c r="AI1229" s="94">
        <v>80275000</v>
      </c>
      <c r="AJ1229" s="94"/>
      <c r="AK1229" s="602">
        <f t="shared" si="281"/>
        <v>80275000</v>
      </c>
      <c r="AL1229" s="72">
        <v>877</v>
      </c>
      <c r="AM1229" s="72">
        <v>10</v>
      </c>
      <c r="AN1229" s="158">
        <v>1</v>
      </c>
      <c r="AO1229" s="158"/>
      <c r="AP1229" s="158"/>
      <c r="AQ1229" s="23"/>
      <c r="AR1229" s="23"/>
      <c r="AS1229" s="23"/>
      <c r="AT1229" s="2">
        <v>0</v>
      </c>
      <c r="AU1229" s="58" t="s">
        <v>521</v>
      </c>
      <c r="AV1229" s="386"/>
      <c r="AW1229" s="23"/>
      <c r="AX1229" s="50"/>
      <c r="AY1229" s="158"/>
      <c r="AZ1229" s="158"/>
      <c r="BA1229" s="158"/>
      <c r="BB1229" s="158"/>
      <c r="BC1229" s="69"/>
      <c r="BD1229" s="69"/>
      <c r="BE1229" s="69"/>
      <c r="BF1229" s="271"/>
      <c r="BG1229" s="271">
        <v>2019</v>
      </c>
      <c r="BH1229" s="271">
        <v>2020</v>
      </c>
      <c r="BI1229" s="271" t="s">
        <v>2375</v>
      </c>
    </row>
    <row r="1230" spans="1:61" s="204" customFormat="1" ht="18" customHeight="1">
      <c r="A1230" s="160" t="s">
        <v>1</v>
      </c>
      <c r="B1230" s="58" t="s">
        <v>320</v>
      </c>
      <c r="C1230" s="264" t="s">
        <v>1892</v>
      </c>
      <c r="D1230" s="33" t="s">
        <v>387</v>
      </c>
      <c r="E1230" s="33"/>
      <c r="F1230" s="33"/>
      <c r="G1230" s="33"/>
      <c r="H1230" s="30" t="s">
        <v>1763</v>
      </c>
      <c r="I1230" s="82">
        <v>1835</v>
      </c>
      <c r="J1230" s="212">
        <v>43763</v>
      </c>
      <c r="K1230" s="158"/>
      <c r="L1230" s="158"/>
      <c r="M1230" s="158">
        <v>1</v>
      </c>
      <c r="N1230" s="158">
        <v>1</v>
      </c>
      <c r="O1230" s="23"/>
      <c r="P1230" s="158">
        <v>65787362</v>
      </c>
      <c r="Q1230" s="158"/>
      <c r="R1230" s="158"/>
      <c r="S1230" s="158"/>
      <c r="T1230" s="158"/>
      <c r="U1230" s="225">
        <v>29604313</v>
      </c>
      <c r="V1230" s="158">
        <v>10</v>
      </c>
      <c r="W1230" s="311">
        <v>43917</v>
      </c>
      <c r="X1230" s="311"/>
      <c r="Y1230" s="311"/>
      <c r="Z1230" s="158"/>
      <c r="AA1230" s="158"/>
      <c r="AB1230" s="158"/>
      <c r="AC1230" s="158"/>
      <c r="AD1230" s="284"/>
      <c r="AE1230" s="158"/>
      <c r="AF1230" s="158">
        <f>P1230</f>
        <v>65787362</v>
      </c>
      <c r="AG1230" s="158"/>
      <c r="AH1230" s="158"/>
      <c r="AI1230" s="158">
        <v>65787362</v>
      </c>
      <c r="AJ1230" s="158"/>
      <c r="AK1230" s="602">
        <f t="shared" si="281"/>
        <v>36183049</v>
      </c>
      <c r="AL1230" s="72">
        <v>877</v>
      </c>
      <c r="AM1230" s="72">
        <v>10</v>
      </c>
      <c r="AN1230" s="158"/>
      <c r="AO1230" s="158">
        <v>1</v>
      </c>
      <c r="AP1230" s="158"/>
      <c r="AQ1230" s="23"/>
      <c r="AR1230" s="23"/>
      <c r="AS1230" s="23"/>
      <c r="AT1230" s="2">
        <v>0</v>
      </c>
      <c r="AU1230" s="58" t="s">
        <v>38</v>
      </c>
      <c r="AV1230" s="386"/>
      <c r="AW1230" s="23"/>
      <c r="AX1230" s="50"/>
      <c r="AY1230" s="158"/>
      <c r="AZ1230" s="158"/>
      <c r="BA1230" s="158"/>
      <c r="BB1230" s="158"/>
      <c r="BC1230" s="69"/>
      <c r="BD1230" s="69"/>
      <c r="BE1230" s="69"/>
      <c r="BF1230" s="271"/>
      <c r="BG1230" s="271">
        <v>2019</v>
      </c>
      <c r="BH1230" s="271">
        <v>2020</v>
      </c>
      <c r="BI1230" s="271" t="s">
        <v>2375</v>
      </c>
    </row>
    <row r="1231" spans="1:61" s="204" customFormat="1" ht="18" customHeight="1">
      <c r="A1231" s="160" t="s">
        <v>1</v>
      </c>
      <c r="B1231" s="58" t="s">
        <v>320</v>
      </c>
      <c r="C1231" s="264" t="s">
        <v>1893</v>
      </c>
      <c r="D1231" s="33" t="s">
        <v>438</v>
      </c>
      <c r="E1231" s="33"/>
      <c r="F1231" s="33"/>
      <c r="G1231" s="33"/>
      <c r="H1231" s="30" t="s">
        <v>1763</v>
      </c>
      <c r="I1231" s="82">
        <v>1873</v>
      </c>
      <c r="J1231" s="212">
        <v>43768</v>
      </c>
      <c r="K1231" s="158"/>
      <c r="L1231" s="158"/>
      <c r="M1231" s="158">
        <v>1</v>
      </c>
      <c r="N1231" s="158">
        <v>1</v>
      </c>
      <c r="O1231" s="23"/>
      <c r="P1231" s="158">
        <v>79800000</v>
      </c>
      <c r="Q1231" s="158"/>
      <c r="R1231" s="158"/>
      <c r="S1231" s="158"/>
      <c r="T1231" s="158"/>
      <c r="U1231" s="225"/>
      <c r="V1231" s="158"/>
      <c r="W1231" s="311"/>
      <c r="X1231" s="311"/>
      <c r="Y1231" s="311"/>
      <c r="Z1231" s="158"/>
      <c r="AA1231" s="69"/>
      <c r="AB1231" s="284"/>
      <c r="AC1231" s="284"/>
      <c r="AD1231" s="284"/>
      <c r="AE1231" s="158"/>
      <c r="AF1231" s="158">
        <f t="shared" si="282"/>
        <v>79800000</v>
      </c>
      <c r="AG1231" s="158"/>
      <c r="AH1231" s="94">
        <v>0</v>
      </c>
      <c r="AI1231" s="94">
        <v>79800000</v>
      </c>
      <c r="AJ1231" s="94"/>
      <c r="AK1231" s="602">
        <f t="shared" si="281"/>
        <v>79800000</v>
      </c>
      <c r="AL1231" s="72">
        <v>877</v>
      </c>
      <c r="AM1231" s="72">
        <v>10</v>
      </c>
      <c r="AN1231" s="158">
        <v>1</v>
      </c>
      <c r="AO1231" s="158"/>
      <c r="AP1231" s="158"/>
      <c r="AQ1231" s="23"/>
      <c r="AR1231" s="23"/>
      <c r="AS1231" s="23"/>
      <c r="AT1231" s="2">
        <v>0</v>
      </c>
      <c r="AU1231" s="58" t="s">
        <v>521</v>
      </c>
      <c r="AV1231" s="386"/>
      <c r="AW1231" s="23"/>
      <c r="AX1231" s="50"/>
      <c r="AY1231" s="158"/>
      <c r="AZ1231" s="158"/>
      <c r="BA1231" s="158"/>
      <c r="BB1231" s="158"/>
      <c r="BC1231" s="69"/>
      <c r="BD1231" s="69"/>
      <c r="BE1231" s="69"/>
      <c r="BF1231" s="271"/>
      <c r="BG1231" s="271">
        <v>2019</v>
      </c>
      <c r="BH1231" s="271">
        <v>2020</v>
      </c>
      <c r="BI1231" s="271" t="s">
        <v>2375</v>
      </c>
    </row>
    <row r="1232" spans="1:61" s="204" customFormat="1" ht="18" customHeight="1">
      <c r="A1232" s="160" t="s">
        <v>1</v>
      </c>
      <c r="B1232" s="58" t="s">
        <v>320</v>
      </c>
      <c r="C1232" s="264" t="s">
        <v>1894</v>
      </c>
      <c r="D1232" s="33" t="s">
        <v>387</v>
      </c>
      <c r="E1232" s="33"/>
      <c r="F1232" s="33"/>
      <c r="G1232" s="33"/>
      <c r="H1232" s="30" t="s">
        <v>1763</v>
      </c>
      <c r="I1232" s="82">
        <v>1875</v>
      </c>
      <c r="J1232" s="212">
        <v>43768</v>
      </c>
      <c r="K1232" s="158"/>
      <c r="L1232" s="158"/>
      <c r="M1232" s="158">
        <v>1</v>
      </c>
      <c r="N1232" s="158">
        <v>1</v>
      </c>
      <c r="O1232" s="23"/>
      <c r="P1232" s="158">
        <v>65827432</v>
      </c>
      <c r="Q1232" s="158"/>
      <c r="R1232" s="158"/>
      <c r="S1232" s="158"/>
      <c r="T1232" s="158"/>
      <c r="U1232" s="225">
        <v>29622344</v>
      </c>
      <c r="V1232" s="158">
        <v>10</v>
      </c>
      <c r="W1232" s="311">
        <v>43980</v>
      </c>
      <c r="X1232" s="311"/>
      <c r="Y1232" s="311"/>
      <c r="Z1232" s="158"/>
      <c r="AA1232" s="69"/>
      <c r="AB1232" s="284"/>
      <c r="AC1232" s="284"/>
      <c r="AD1232" s="284"/>
      <c r="AE1232" s="158"/>
      <c r="AF1232" s="158">
        <f>P1232</f>
        <v>65827432</v>
      </c>
      <c r="AG1232" s="158"/>
      <c r="AH1232" s="158"/>
      <c r="AI1232" s="158">
        <v>65827432</v>
      </c>
      <c r="AJ1232" s="158"/>
      <c r="AK1232" s="602">
        <f t="shared" si="281"/>
        <v>36205088</v>
      </c>
      <c r="AL1232" s="72">
        <v>877</v>
      </c>
      <c r="AM1232" s="72">
        <v>10</v>
      </c>
      <c r="AN1232" s="158"/>
      <c r="AO1232" s="158">
        <v>1</v>
      </c>
      <c r="AP1232" s="158"/>
      <c r="AQ1232" s="23"/>
      <c r="AR1232" s="23"/>
      <c r="AS1232" s="23"/>
      <c r="AT1232" s="2">
        <v>0</v>
      </c>
      <c r="AU1232" s="58" t="s">
        <v>38</v>
      </c>
      <c r="AV1232" s="386"/>
      <c r="AW1232" s="23"/>
      <c r="AX1232" s="50"/>
      <c r="AY1232" s="158"/>
      <c r="AZ1232" s="158"/>
      <c r="BA1232" s="158"/>
      <c r="BB1232" s="158"/>
      <c r="BC1232" s="69"/>
      <c r="BD1232" s="69"/>
      <c r="BE1232" s="69"/>
      <c r="BF1232" s="271"/>
      <c r="BG1232" s="271">
        <v>2019</v>
      </c>
      <c r="BH1232" s="271">
        <v>2020</v>
      </c>
      <c r="BI1232" s="271" t="s">
        <v>2375</v>
      </c>
    </row>
    <row r="1233" spans="1:61" s="204" customFormat="1" ht="18" customHeight="1">
      <c r="A1233" s="160" t="s">
        <v>1</v>
      </c>
      <c r="B1233" s="58" t="s">
        <v>320</v>
      </c>
      <c r="C1233" s="264" t="s">
        <v>1915</v>
      </c>
      <c r="D1233" s="33" t="s">
        <v>1936</v>
      </c>
      <c r="E1233" s="33"/>
      <c r="F1233" s="33"/>
      <c r="G1233" s="33"/>
      <c r="H1233" s="30" t="s">
        <v>661</v>
      </c>
      <c r="I1233" s="82">
        <v>2153</v>
      </c>
      <c r="J1233" s="212">
        <v>43809</v>
      </c>
      <c r="K1233" s="158"/>
      <c r="L1233" s="158"/>
      <c r="M1233" s="158">
        <v>1</v>
      </c>
      <c r="N1233" s="158">
        <v>1</v>
      </c>
      <c r="O1233" s="23"/>
      <c r="P1233" s="158">
        <v>70982083</v>
      </c>
      <c r="Q1233" s="158"/>
      <c r="R1233" s="158"/>
      <c r="S1233" s="158"/>
      <c r="T1233" s="158"/>
      <c r="U1233" s="158">
        <v>70982083</v>
      </c>
      <c r="V1233" s="158">
        <v>20</v>
      </c>
      <c r="W1233" s="311">
        <v>43826</v>
      </c>
      <c r="X1233" s="311"/>
      <c r="Y1233" s="311"/>
      <c r="Z1233" s="158"/>
      <c r="AA1233" s="69"/>
      <c r="AB1233" s="284"/>
      <c r="AC1233" s="284"/>
      <c r="AD1233" s="284"/>
      <c r="AE1233" s="158"/>
      <c r="AF1233" s="158">
        <f>P1233-U1233-Z1233-AH1233</f>
        <v>0</v>
      </c>
      <c r="AG1233" s="158"/>
      <c r="AH1233" s="94">
        <v>0</v>
      </c>
      <c r="AI1233" s="94">
        <v>0</v>
      </c>
      <c r="AJ1233" s="94"/>
      <c r="AK1233" s="158">
        <f t="shared" si="281"/>
        <v>0</v>
      </c>
      <c r="AL1233" s="158">
        <v>877</v>
      </c>
      <c r="AM1233" s="158">
        <v>20</v>
      </c>
      <c r="AN1233" s="158"/>
      <c r="AO1233" s="158"/>
      <c r="AP1233" s="158">
        <v>1</v>
      </c>
      <c r="AQ1233" s="23"/>
      <c r="AR1233" s="23"/>
      <c r="AS1233" s="23"/>
      <c r="AT1233" s="2">
        <v>1</v>
      </c>
      <c r="AU1233" s="58" t="s">
        <v>646</v>
      </c>
      <c r="AV1233" s="386" t="s">
        <v>1968</v>
      </c>
      <c r="AW1233" s="23"/>
      <c r="AX1233" s="50"/>
      <c r="AY1233" s="158"/>
      <c r="AZ1233" s="158"/>
      <c r="BA1233" s="156">
        <v>1</v>
      </c>
      <c r="BB1233" s="158"/>
      <c r="BC1233" s="69"/>
      <c r="BD1233" s="69">
        <v>1</v>
      </c>
      <c r="BE1233" s="69"/>
      <c r="BF1233" s="271">
        <v>2020</v>
      </c>
      <c r="BG1233" s="271">
        <v>2019</v>
      </c>
      <c r="BH1233" s="271">
        <v>2020</v>
      </c>
      <c r="BI1233" s="271" t="s">
        <v>2375</v>
      </c>
    </row>
    <row r="1234" spans="1:61" s="204" customFormat="1" ht="18" customHeight="1">
      <c r="A1234" s="160" t="s">
        <v>1</v>
      </c>
      <c r="B1234" s="58" t="s">
        <v>320</v>
      </c>
      <c r="C1234" s="264" t="s">
        <v>1935</v>
      </c>
      <c r="D1234" s="33" t="s">
        <v>984</v>
      </c>
      <c r="E1234" s="33"/>
      <c r="F1234" s="33"/>
      <c r="G1234" s="33"/>
      <c r="H1234" s="30" t="s">
        <v>1934</v>
      </c>
      <c r="I1234" s="82">
        <v>2274</v>
      </c>
      <c r="J1234" s="212">
        <v>43826</v>
      </c>
      <c r="K1234" s="158"/>
      <c r="L1234" s="158"/>
      <c r="M1234" s="158">
        <v>1</v>
      </c>
      <c r="N1234" s="158">
        <v>1</v>
      </c>
      <c r="O1234" s="23"/>
      <c r="P1234" s="158">
        <v>72084442</v>
      </c>
      <c r="Q1234" s="158"/>
      <c r="R1234" s="158"/>
      <c r="S1234" s="158"/>
      <c r="T1234" s="158"/>
      <c r="U1234" s="158"/>
      <c r="V1234" s="158"/>
      <c r="W1234" s="311"/>
      <c r="X1234" s="311"/>
      <c r="Y1234" s="311"/>
      <c r="Z1234" s="158"/>
      <c r="AA1234" s="69"/>
      <c r="AB1234" s="284"/>
      <c r="AC1234" s="284"/>
      <c r="AD1234" s="284"/>
      <c r="AE1234" s="158"/>
      <c r="AF1234" s="158">
        <f t="shared" ref="AF1234:AF1237" si="283">P1234-U1234-Z1234-AH1234</f>
        <v>35879354</v>
      </c>
      <c r="AG1234" s="158"/>
      <c r="AH1234" s="158">
        <v>36205088</v>
      </c>
      <c r="AI1234" s="158">
        <v>72084442</v>
      </c>
      <c r="AJ1234" s="158"/>
      <c r="AK1234" s="602">
        <f t="shared" si="281"/>
        <v>72084442</v>
      </c>
      <c r="AL1234" s="72">
        <v>877</v>
      </c>
      <c r="AM1234" s="72">
        <v>10</v>
      </c>
      <c r="AN1234" s="158">
        <v>1</v>
      </c>
      <c r="AO1234" s="158"/>
      <c r="AP1234" s="158"/>
      <c r="AQ1234" s="23"/>
      <c r="AR1234" s="23"/>
      <c r="AS1234" s="23"/>
      <c r="AT1234" s="2">
        <v>0</v>
      </c>
      <c r="AU1234" s="58" t="s">
        <v>521</v>
      </c>
      <c r="AV1234" s="104"/>
      <c r="AW1234" s="23"/>
      <c r="AX1234" s="50"/>
      <c r="AY1234" s="158"/>
      <c r="AZ1234" s="158"/>
      <c r="BA1234" s="158"/>
      <c r="BB1234" s="158"/>
      <c r="BC1234" s="158"/>
      <c r="BD1234" s="158"/>
      <c r="BE1234" s="158"/>
      <c r="BF1234" s="271"/>
      <c r="BG1234" s="271">
        <v>2019</v>
      </c>
      <c r="BH1234" s="271">
        <v>2020</v>
      </c>
      <c r="BI1234" s="271" t="s">
        <v>2375</v>
      </c>
    </row>
    <row r="1235" spans="1:61" s="204" customFormat="1" ht="18" customHeight="1">
      <c r="A1235" s="160" t="s">
        <v>1</v>
      </c>
      <c r="B1235" s="58" t="s">
        <v>320</v>
      </c>
      <c r="C1235" s="264" t="s">
        <v>1933</v>
      </c>
      <c r="D1235" s="33" t="s">
        <v>438</v>
      </c>
      <c r="E1235" s="33"/>
      <c r="F1235" s="33"/>
      <c r="G1235" s="33"/>
      <c r="H1235" s="30" t="s">
        <v>1934</v>
      </c>
      <c r="I1235" s="82">
        <v>2274</v>
      </c>
      <c r="J1235" s="212">
        <v>43826</v>
      </c>
      <c r="K1235" s="158"/>
      <c r="L1235" s="158"/>
      <c r="M1235" s="158">
        <v>1</v>
      </c>
      <c r="N1235" s="158">
        <v>1</v>
      </c>
      <c r="O1235" s="23"/>
      <c r="P1235" s="158">
        <v>76000000</v>
      </c>
      <c r="Q1235" s="158"/>
      <c r="R1235" s="158"/>
      <c r="S1235" s="158"/>
      <c r="T1235" s="158"/>
      <c r="U1235" s="225">
        <v>76000000</v>
      </c>
      <c r="V1235" s="158">
        <v>10</v>
      </c>
      <c r="W1235" s="311">
        <v>43921</v>
      </c>
      <c r="X1235" s="311"/>
      <c r="Y1235" s="311"/>
      <c r="Z1235" s="158"/>
      <c r="AA1235" s="69"/>
      <c r="AB1235" s="284"/>
      <c r="AC1235" s="284"/>
      <c r="AD1235" s="284"/>
      <c r="AE1235" s="158"/>
      <c r="AF1235" s="158">
        <f>P1235</f>
        <v>76000000</v>
      </c>
      <c r="AG1235" s="158"/>
      <c r="AH1235" s="158"/>
      <c r="AI1235" s="158">
        <v>76000000</v>
      </c>
      <c r="AJ1235" s="158"/>
      <c r="AK1235" s="72">
        <f t="shared" si="281"/>
        <v>0</v>
      </c>
      <c r="AL1235" s="158">
        <v>877</v>
      </c>
      <c r="AM1235" s="158">
        <v>10</v>
      </c>
      <c r="AO1235" s="158"/>
      <c r="AP1235" s="158">
        <v>1</v>
      </c>
      <c r="AQ1235" s="23"/>
      <c r="AR1235" s="23"/>
      <c r="AS1235" s="23"/>
      <c r="AT1235" s="2">
        <v>1</v>
      </c>
      <c r="AU1235" s="58" t="s">
        <v>646</v>
      </c>
      <c r="AV1235" s="104"/>
      <c r="AW1235" s="23"/>
      <c r="AX1235" s="50"/>
      <c r="AY1235" s="158"/>
      <c r="AZ1235" s="158"/>
      <c r="BA1235" s="156">
        <v>1</v>
      </c>
      <c r="BB1235" s="158"/>
      <c r="BC1235" s="158"/>
      <c r="BD1235" s="158">
        <v>1</v>
      </c>
      <c r="BE1235" s="158"/>
      <c r="BF1235" s="271">
        <v>2020</v>
      </c>
      <c r="BG1235" s="271">
        <v>2019</v>
      </c>
      <c r="BH1235" s="271">
        <v>2020</v>
      </c>
      <c r="BI1235" s="271" t="s">
        <v>2375</v>
      </c>
    </row>
    <row r="1236" spans="1:61" s="204" customFormat="1" ht="18" customHeight="1">
      <c r="A1236" s="160" t="s">
        <v>1</v>
      </c>
      <c r="B1236" s="58" t="s">
        <v>320</v>
      </c>
      <c r="C1236" s="457" t="s">
        <v>2218</v>
      </c>
      <c r="D1236" s="33" t="s">
        <v>387</v>
      </c>
      <c r="E1236" s="33"/>
      <c r="F1236" s="33"/>
      <c r="G1236" s="33"/>
      <c r="H1236" s="30" t="s">
        <v>659</v>
      </c>
      <c r="I1236" s="226">
        <v>835</v>
      </c>
      <c r="J1236" s="212">
        <v>43601</v>
      </c>
      <c r="K1236" s="61"/>
      <c r="L1236" s="61"/>
      <c r="M1236" s="61"/>
      <c r="N1236" s="61">
        <v>1</v>
      </c>
      <c r="O1236" s="23"/>
      <c r="P1236" s="61">
        <v>63601392</v>
      </c>
      <c r="Q1236" s="61"/>
      <c r="R1236" s="61"/>
      <c r="S1236" s="61"/>
      <c r="T1236" s="61"/>
      <c r="U1236" s="61"/>
      <c r="V1236" s="61"/>
      <c r="W1236" s="460"/>
      <c r="X1236" s="460"/>
      <c r="Y1236" s="460"/>
      <c r="Z1236" s="61"/>
      <c r="AA1236" s="461"/>
      <c r="AB1236" s="158"/>
      <c r="AC1236" s="158"/>
      <c r="AD1236" s="158"/>
      <c r="AE1236" s="61"/>
      <c r="AF1236" s="158">
        <f t="shared" si="283"/>
        <v>63601392</v>
      </c>
      <c r="AG1236" s="61"/>
      <c r="AH1236" s="61">
        <v>0</v>
      </c>
      <c r="AI1236" s="61">
        <v>63601392</v>
      </c>
      <c r="AJ1236" s="61"/>
      <c r="AK1236" s="666">
        <f t="shared" si="281"/>
        <v>63601392</v>
      </c>
      <c r="AL1236" s="667">
        <v>877</v>
      </c>
      <c r="AM1236" s="667">
        <v>20</v>
      </c>
      <c r="AN1236" s="61">
        <v>1</v>
      </c>
      <c r="AO1236" s="61"/>
      <c r="AP1236" s="61"/>
      <c r="AQ1236" s="229"/>
      <c r="AR1236" s="229"/>
      <c r="AS1236" s="229"/>
      <c r="AT1236" s="2">
        <v>0</v>
      </c>
      <c r="AU1236" s="58" t="s">
        <v>521</v>
      </c>
      <c r="AV1236" s="462"/>
      <c r="AW1236" s="229"/>
      <c r="AX1236" s="229"/>
      <c r="AY1236" s="61"/>
      <c r="AZ1236" s="61"/>
      <c r="BA1236" s="61"/>
      <c r="BB1236" s="61"/>
      <c r="BC1236" s="61"/>
      <c r="BD1236" s="61"/>
      <c r="BE1236" s="61"/>
      <c r="BF1236" s="464"/>
      <c r="BG1236" s="464"/>
      <c r="BH1236" s="464">
        <v>2020</v>
      </c>
      <c r="BI1236" s="464" t="s">
        <v>2375</v>
      </c>
    </row>
    <row r="1237" spans="1:61" s="204" customFormat="1" ht="18" customHeight="1">
      <c r="A1237" s="160" t="s">
        <v>1</v>
      </c>
      <c r="B1237" s="58" t="s">
        <v>320</v>
      </c>
      <c r="C1237" s="457" t="s">
        <v>2219</v>
      </c>
      <c r="D1237" s="33" t="s">
        <v>387</v>
      </c>
      <c r="E1237" s="33"/>
      <c r="F1237" s="33"/>
      <c r="G1237" s="33"/>
      <c r="H1237" s="30" t="s">
        <v>647</v>
      </c>
      <c r="I1237" s="226">
        <v>841</v>
      </c>
      <c r="J1237" s="212">
        <v>43601</v>
      </c>
      <c r="K1237" s="61"/>
      <c r="L1237" s="61"/>
      <c r="M1237" s="61"/>
      <c r="N1237" s="61">
        <v>1</v>
      </c>
      <c r="O1237" s="23"/>
      <c r="P1237" s="61">
        <v>63601392</v>
      </c>
      <c r="Q1237" s="61"/>
      <c r="R1237" s="61"/>
      <c r="S1237" s="61"/>
      <c r="T1237" s="61"/>
      <c r="U1237" s="61"/>
      <c r="V1237" s="61"/>
      <c r="W1237" s="460"/>
      <c r="X1237" s="460"/>
      <c r="Y1237" s="460"/>
      <c r="Z1237" s="61"/>
      <c r="AA1237" s="461"/>
      <c r="AB1237" s="158"/>
      <c r="AC1237" s="158"/>
      <c r="AD1237" s="158"/>
      <c r="AE1237" s="61"/>
      <c r="AF1237" s="158">
        <f t="shared" si="283"/>
        <v>63601392</v>
      </c>
      <c r="AG1237" s="61"/>
      <c r="AH1237" s="61">
        <v>0</v>
      </c>
      <c r="AI1237" s="61">
        <v>63601392</v>
      </c>
      <c r="AJ1237" s="61"/>
      <c r="AK1237" s="666">
        <f t="shared" si="281"/>
        <v>63601392</v>
      </c>
      <c r="AL1237" s="667">
        <v>877</v>
      </c>
      <c r="AM1237" s="667">
        <v>20</v>
      </c>
      <c r="AN1237" s="61">
        <v>1</v>
      </c>
      <c r="AO1237" s="61"/>
      <c r="AP1237" s="61"/>
      <c r="AQ1237" s="229"/>
      <c r="AR1237" s="229"/>
      <c r="AS1237" s="229"/>
      <c r="AT1237" s="2">
        <v>0</v>
      </c>
      <c r="AU1237" s="58" t="s">
        <v>521</v>
      </c>
      <c r="AV1237" s="462"/>
      <c r="AW1237" s="229"/>
      <c r="AX1237" s="229"/>
      <c r="AY1237" s="61"/>
      <c r="AZ1237" s="61"/>
      <c r="BA1237" s="61"/>
      <c r="BB1237" s="61"/>
      <c r="BC1237" s="61"/>
      <c r="BD1237" s="61"/>
      <c r="BE1237" s="61"/>
      <c r="BF1237" s="464"/>
      <c r="BG1237" s="464"/>
      <c r="BH1237" s="464">
        <v>2020</v>
      </c>
      <c r="BI1237" s="464" t="s">
        <v>2375</v>
      </c>
    </row>
    <row r="1238" spans="1:61" s="204" customFormat="1" ht="18" customHeight="1">
      <c r="A1238" s="160" t="s">
        <v>1</v>
      </c>
      <c r="B1238" s="58" t="s">
        <v>320</v>
      </c>
      <c r="C1238" s="457" t="s">
        <v>2296</v>
      </c>
      <c r="D1238" s="33" t="s">
        <v>387</v>
      </c>
      <c r="E1238" s="88"/>
      <c r="F1238" s="88">
        <v>4</v>
      </c>
      <c r="G1238" s="88"/>
      <c r="H1238" s="30" t="s">
        <v>647</v>
      </c>
      <c r="I1238" s="82">
        <v>603</v>
      </c>
      <c r="J1238" s="459">
        <v>43980</v>
      </c>
      <c r="K1238" s="61"/>
      <c r="L1238" s="61"/>
      <c r="M1238" s="61"/>
      <c r="N1238" s="61">
        <v>1</v>
      </c>
      <c r="O1238" s="23"/>
      <c r="P1238" s="61">
        <f>26232513+32061960</f>
        <v>58294473</v>
      </c>
      <c r="Q1238" s="61"/>
      <c r="R1238" s="61"/>
      <c r="S1238" s="61"/>
      <c r="T1238" s="61"/>
      <c r="U1238" s="225">
        <v>26232513</v>
      </c>
      <c r="V1238" s="61">
        <v>20</v>
      </c>
      <c r="W1238" s="460">
        <v>43980</v>
      </c>
      <c r="X1238" s="460"/>
      <c r="Y1238" s="460"/>
      <c r="Z1238" s="61"/>
      <c r="AA1238" s="461"/>
      <c r="AB1238" s="158"/>
      <c r="AC1238" s="158"/>
      <c r="AD1238" s="158"/>
      <c r="AE1238" s="61"/>
      <c r="AF1238" s="158">
        <f>P1238</f>
        <v>58294473</v>
      </c>
      <c r="AG1238" s="61"/>
      <c r="AH1238" s="61"/>
      <c r="AI1238" s="61">
        <v>32061960</v>
      </c>
      <c r="AJ1238" s="61"/>
      <c r="AK1238" s="666">
        <f t="shared" si="281"/>
        <v>32061960</v>
      </c>
      <c r="AL1238" s="667">
        <v>877</v>
      </c>
      <c r="AM1238" s="667">
        <v>20</v>
      </c>
      <c r="AN1238" s="61"/>
      <c r="AO1238" s="61">
        <v>1</v>
      </c>
      <c r="AP1238" s="61"/>
      <c r="AQ1238" s="229"/>
      <c r="AR1238" s="229"/>
      <c r="AS1238" s="229"/>
      <c r="AT1238" s="2">
        <v>0</v>
      </c>
      <c r="AU1238" s="58" t="s">
        <v>38</v>
      </c>
      <c r="AV1238" s="462"/>
      <c r="AW1238" s="229"/>
      <c r="AX1238" s="229"/>
      <c r="AY1238" s="61"/>
      <c r="AZ1238" s="61"/>
      <c r="BA1238" s="61"/>
      <c r="BB1238" s="61"/>
      <c r="BC1238" s="61"/>
      <c r="BD1238" s="61"/>
      <c r="BE1238" s="61"/>
      <c r="BF1238" s="464"/>
      <c r="BG1238" s="464"/>
      <c r="BH1238" s="712">
        <v>2020</v>
      </c>
      <c r="BI1238" s="571" t="s">
        <v>2375</v>
      </c>
    </row>
    <row r="1239" spans="1:61" s="204" customFormat="1" ht="34.5" customHeight="1">
      <c r="A1239" s="160" t="s">
        <v>1</v>
      </c>
      <c r="B1239" s="58" t="s">
        <v>320</v>
      </c>
      <c r="C1239" s="457" t="s">
        <v>2336</v>
      </c>
      <c r="D1239" s="33" t="s">
        <v>438</v>
      </c>
      <c r="E1239" s="88"/>
      <c r="F1239" s="88"/>
      <c r="G1239" s="88"/>
      <c r="H1239" s="30" t="s">
        <v>2331</v>
      </c>
      <c r="I1239" s="82">
        <v>451</v>
      </c>
      <c r="J1239" s="459"/>
      <c r="K1239" s="61"/>
      <c r="L1239" s="61"/>
      <c r="M1239" s="61"/>
      <c r="N1239" s="61">
        <v>1</v>
      </c>
      <c r="O1239" s="23"/>
      <c r="P1239" s="61">
        <v>76000000</v>
      </c>
      <c r="Q1239" s="61"/>
      <c r="R1239" s="61"/>
      <c r="S1239" s="61"/>
      <c r="T1239" s="61"/>
      <c r="U1239" s="649"/>
      <c r="V1239" s="61"/>
      <c r="W1239" s="460"/>
      <c r="X1239" s="460"/>
      <c r="Y1239" s="460"/>
      <c r="Z1239" s="61"/>
      <c r="AA1239" s="461"/>
      <c r="AB1239" s="158"/>
      <c r="AC1239" s="158"/>
      <c r="AD1239" s="158"/>
      <c r="AE1239" s="158"/>
      <c r="AF1239" s="158"/>
      <c r="AG1239" s="61"/>
      <c r="AH1239" s="61"/>
      <c r="AI1239" s="61">
        <v>76000000</v>
      </c>
      <c r="AJ1239" s="61"/>
      <c r="AK1239" s="666">
        <f t="shared" si="281"/>
        <v>76000000</v>
      </c>
      <c r="AL1239" s="667">
        <v>877</v>
      </c>
      <c r="AM1239" s="667">
        <v>20</v>
      </c>
      <c r="AN1239" s="61">
        <v>1</v>
      </c>
      <c r="AO1239" s="61"/>
      <c r="AP1239" s="61"/>
      <c r="AQ1239" s="229"/>
      <c r="AR1239" s="229"/>
      <c r="AS1239" s="229"/>
      <c r="AT1239" s="2">
        <v>0</v>
      </c>
      <c r="AU1239" s="58" t="s">
        <v>521</v>
      </c>
      <c r="AV1239" s="462"/>
      <c r="AW1239" s="229"/>
      <c r="AX1239" s="229"/>
      <c r="AY1239" s="61"/>
      <c r="AZ1239" s="61"/>
      <c r="BA1239" s="61"/>
      <c r="BB1239" s="61"/>
      <c r="BC1239" s="61"/>
      <c r="BD1239" s="61"/>
      <c r="BE1239" s="61"/>
      <c r="BF1239" s="464"/>
      <c r="BG1239" s="464"/>
      <c r="BH1239" s="464">
        <v>2020</v>
      </c>
      <c r="BI1239" s="571" t="s">
        <v>2375</v>
      </c>
    </row>
    <row r="1240" spans="1:61" s="204" customFormat="1" ht="18" customHeight="1">
      <c r="A1240" s="160" t="s">
        <v>1</v>
      </c>
      <c r="B1240" s="58" t="s">
        <v>320</v>
      </c>
      <c r="C1240" s="457" t="s">
        <v>2337</v>
      </c>
      <c r="D1240" s="33" t="s">
        <v>438</v>
      </c>
      <c r="E1240" s="88"/>
      <c r="F1240" s="88"/>
      <c r="G1240" s="88"/>
      <c r="H1240" s="30" t="s">
        <v>2331</v>
      </c>
      <c r="I1240" s="82">
        <v>402</v>
      </c>
      <c r="J1240" s="459"/>
      <c r="K1240" s="61"/>
      <c r="L1240" s="61"/>
      <c r="M1240" s="61"/>
      <c r="N1240" s="61">
        <v>1</v>
      </c>
      <c r="O1240" s="23"/>
      <c r="P1240" s="61">
        <v>70000000</v>
      </c>
      <c r="Q1240" s="61"/>
      <c r="R1240" s="61"/>
      <c r="S1240" s="61"/>
      <c r="T1240" s="61"/>
      <c r="U1240" s="649"/>
      <c r="V1240" s="61"/>
      <c r="W1240" s="460"/>
      <c r="X1240" s="460"/>
      <c r="Y1240" s="460"/>
      <c r="Z1240" s="61"/>
      <c r="AA1240" s="461"/>
      <c r="AB1240" s="158"/>
      <c r="AC1240" s="158"/>
      <c r="AD1240" s="158"/>
      <c r="AE1240" s="158"/>
      <c r="AF1240" s="158"/>
      <c r="AG1240" s="61"/>
      <c r="AH1240" s="61"/>
      <c r="AI1240" s="61">
        <v>70000000</v>
      </c>
      <c r="AJ1240" s="61"/>
      <c r="AK1240" s="666">
        <f t="shared" si="281"/>
        <v>70000000</v>
      </c>
      <c r="AL1240" s="667">
        <v>877</v>
      </c>
      <c r="AM1240" s="667">
        <v>20</v>
      </c>
      <c r="AN1240" s="61">
        <v>1</v>
      </c>
      <c r="AO1240" s="61"/>
      <c r="AP1240" s="61"/>
      <c r="AQ1240" s="229"/>
      <c r="AR1240" s="229"/>
      <c r="AS1240" s="229"/>
      <c r="AT1240" s="2">
        <v>0</v>
      </c>
      <c r="AU1240" s="58" t="s">
        <v>521</v>
      </c>
      <c r="AV1240" s="462"/>
      <c r="AW1240" s="229"/>
      <c r="AX1240" s="229"/>
      <c r="AY1240" s="61"/>
      <c r="AZ1240" s="61"/>
      <c r="BA1240" s="61"/>
      <c r="BB1240" s="61"/>
      <c r="BC1240" s="61"/>
      <c r="BD1240" s="61"/>
      <c r="BE1240" s="61"/>
      <c r="BF1240" s="464"/>
      <c r="BG1240" s="464"/>
      <c r="BH1240" s="464">
        <v>2020</v>
      </c>
      <c r="BI1240" s="571" t="s">
        <v>2375</v>
      </c>
    </row>
    <row r="1241" spans="1:61" s="204" customFormat="1" ht="18" customHeight="1">
      <c r="A1241" s="160" t="s">
        <v>1</v>
      </c>
      <c r="B1241" s="58" t="s">
        <v>320</v>
      </c>
      <c r="C1241" s="457" t="s">
        <v>2338</v>
      </c>
      <c r="D1241" s="33" t="s">
        <v>984</v>
      </c>
      <c r="E1241" s="88"/>
      <c r="F1241" s="88"/>
      <c r="G1241" s="88"/>
      <c r="H1241" s="30" t="s">
        <v>2331</v>
      </c>
      <c r="I1241" s="82">
        <v>266</v>
      </c>
      <c r="J1241" s="459"/>
      <c r="K1241" s="61"/>
      <c r="L1241" s="61"/>
      <c r="M1241" s="61"/>
      <c r="N1241" s="61">
        <v>1</v>
      </c>
      <c r="O1241" s="23"/>
      <c r="P1241" s="61">
        <v>82650000</v>
      </c>
      <c r="Q1241" s="61"/>
      <c r="R1241" s="298"/>
      <c r="S1241" s="61"/>
      <c r="T1241" s="61"/>
      <c r="U1241" s="649"/>
      <c r="V1241" s="61"/>
      <c r="W1241" s="460"/>
      <c r="X1241" s="460"/>
      <c r="Y1241" s="460"/>
      <c r="Z1241" s="61"/>
      <c r="AA1241" s="461"/>
      <c r="AB1241" s="158"/>
      <c r="AC1241" s="158"/>
      <c r="AD1241" s="158"/>
      <c r="AE1241" s="158"/>
      <c r="AF1241" s="158"/>
      <c r="AG1241" s="61"/>
      <c r="AH1241" s="61"/>
      <c r="AI1241" s="569">
        <v>82650000</v>
      </c>
      <c r="AJ1241" s="61"/>
      <c r="AK1241" s="602">
        <f t="shared" si="281"/>
        <v>82650000</v>
      </c>
      <c r="AL1241" s="524">
        <v>877</v>
      </c>
      <c r="AM1241" s="524">
        <v>10</v>
      </c>
      <c r="AN1241" s="61">
        <v>1</v>
      </c>
      <c r="AO1241" s="61"/>
      <c r="AP1241" s="61"/>
      <c r="AQ1241" s="229"/>
      <c r="AR1241" s="229"/>
      <c r="AS1241" s="229"/>
      <c r="AT1241" s="2">
        <v>0</v>
      </c>
      <c r="AU1241" s="58" t="s">
        <v>521</v>
      </c>
      <c r="AV1241" s="462"/>
      <c r="AW1241" s="229"/>
      <c r="AX1241" s="463"/>
      <c r="AY1241" s="61"/>
      <c r="AZ1241" s="61"/>
      <c r="BA1241" s="61"/>
      <c r="BB1241" s="61"/>
      <c r="BC1241" s="61"/>
      <c r="BD1241" s="61"/>
      <c r="BE1241" s="61"/>
      <c r="BF1241" s="464"/>
      <c r="BG1241" s="464"/>
      <c r="BH1241" s="464">
        <v>2020</v>
      </c>
      <c r="BI1241" s="571" t="s">
        <v>2375</v>
      </c>
    </row>
    <row r="1242" spans="1:61" s="204" customFormat="1" ht="18" customHeight="1">
      <c r="A1242" s="160" t="s">
        <v>1</v>
      </c>
      <c r="B1242" s="58" t="s">
        <v>320</v>
      </c>
      <c r="C1242" s="457" t="s">
        <v>2339</v>
      </c>
      <c r="D1242" s="33" t="s">
        <v>984</v>
      </c>
      <c r="E1242" s="88"/>
      <c r="F1242" s="88"/>
      <c r="G1242" s="88"/>
      <c r="H1242" s="30" t="s">
        <v>2331</v>
      </c>
      <c r="I1242" s="82">
        <v>279</v>
      </c>
      <c r="J1242" s="459"/>
      <c r="K1242" s="61"/>
      <c r="L1242" s="61"/>
      <c r="M1242" s="61"/>
      <c r="N1242" s="61">
        <v>1</v>
      </c>
      <c r="O1242" s="23"/>
      <c r="P1242" s="61">
        <v>76950000</v>
      </c>
      <c r="Q1242" s="61"/>
      <c r="R1242" s="61"/>
      <c r="S1242" s="61"/>
      <c r="T1242" s="61"/>
      <c r="U1242" s="649"/>
      <c r="V1242" s="61"/>
      <c r="W1242" s="460"/>
      <c r="X1242" s="460"/>
      <c r="Y1242" s="460"/>
      <c r="Z1242" s="61"/>
      <c r="AA1242" s="461"/>
      <c r="AB1242" s="158"/>
      <c r="AC1242" s="158"/>
      <c r="AD1242" s="158"/>
      <c r="AE1242" s="158"/>
      <c r="AF1242" s="158"/>
      <c r="AG1242" s="61"/>
      <c r="AH1242" s="61"/>
      <c r="AI1242" s="569">
        <v>76950000</v>
      </c>
      <c r="AJ1242" s="61"/>
      <c r="AK1242" s="602">
        <f t="shared" si="281"/>
        <v>76950000</v>
      </c>
      <c r="AL1242" s="524">
        <v>877</v>
      </c>
      <c r="AM1242" s="524">
        <v>10</v>
      </c>
      <c r="AN1242" s="61">
        <v>1</v>
      </c>
      <c r="AO1242" s="61"/>
      <c r="AP1242" s="61"/>
      <c r="AQ1242" s="229"/>
      <c r="AR1242" s="229"/>
      <c r="AS1242" s="229"/>
      <c r="AT1242" s="2">
        <v>0</v>
      </c>
      <c r="AU1242" s="58" t="s">
        <v>521</v>
      </c>
      <c r="AV1242" s="462"/>
      <c r="AW1242" s="229"/>
      <c r="AX1242" s="463"/>
      <c r="AY1242" s="61"/>
      <c r="AZ1242" s="61"/>
      <c r="BA1242" s="61"/>
      <c r="BB1242" s="61"/>
      <c r="BC1242" s="61"/>
      <c r="BD1242" s="61"/>
      <c r="BE1242" s="61"/>
      <c r="BF1242" s="464"/>
      <c r="BG1242" s="464"/>
      <c r="BH1242" s="464">
        <v>2020</v>
      </c>
      <c r="BI1242" s="571" t="s">
        <v>2375</v>
      </c>
    </row>
    <row r="1243" spans="1:61" s="204" customFormat="1" ht="26.25" customHeight="1">
      <c r="A1243" s="160" t="s">
        <v>1</v>
      </c>
      <c r="B1243" s="58" t="s">
        <v>320</v>
      </c>
      <c r="C1243" s="457" t="s">
        <v>2340</v>
      </c>
      <c r="D1243" s="33" t="s">
        <v>387</v>
      </c>
      <c r="E1243" s="88"/>
      <c r="F1243" s="88"/>
      <c r="G1243" s="88"/>
      <c r="H1243" s="30" t="s">
        <v>647</v>
      </c>
      <c r="I1243" s="628" t="s">
        <v>2341</v>
      </c>
      <c r="J1243" s="549" t="s">
        <v>2342</v>
      </c>
      <c r="K1243" s="61"/>
      <c r="L1243" s="61"/>
      <c r="M1243" s="61"/>
      <c r="N1243" s="61">
        <v>1</v>
      </c>
      <c r="O1243" s="23"/>
      <c r="P1243" s="61">
        <v>52094735</v>
      </c>
      <c r="Q1243" s="61"/>
      <c r="R1243" s="61"/>
      <c r="S1243" s="61"/>
      <c r="T1243" s="61"/>
      <c r="U1243" s="709">
        <v>23442631</v>
      </c>
      <c r="V1243" s="158">
        <v>10</v>
      </c>
      <c r="W1243" s="311">
        <v>44011</v>
      </c>
      <c r="X1243" s="460"/>
      <c r="Y1243" s="460"/>
      <c r="Z1243" s="61"/>
      <c r="AA1243" s="461"/>
      <c r="AB1243" s="158"/>
      <c r="AC1243" s="158"/>
      <c r="AD1243" s="158"/>
      <c r="AE1243" s="61"/>
      <c r="AF1243" s="158">
        <f>P1243</f>
        <v>52094735</v>
      </c>
      <c r="AG1243" s="61"/>
      <c r="AH1243" s="61"/>
      <c r="AI1243" s="61">
        <v>52094735</v>
      </c>
      <c r="AJ1243" s="61"/>
      <c r="AK1243" s="602">
        <f t="shared" si="281"/>
        <v>28652104</v>
      </c>
      <c r="AL1243" s="524">
        <v>877</v>
      </c>
      <c r="AM1243" s="524">
        <v>10</v>
      </c>
      <c r="AN1243" s="61">
        <v>1</v>
      </c>
      <c r="AO1243" s="61"/>
      <c r="AP1243" s="61"/>
      <c r="AQ1243" s="229"/>
      <c r="AR1243" s="229"/>
      <c r="AS1243" s="229"/>
      <c r="AT1243" s="2">
        <v>0</v>
      </c>
      <c r="AU1243" s="58" t="s">
        <v>521</v>
      </c>
      <c r="AV1243" s="462"/>
      <c r="AW1243" s="229"/>
      <c r="AX1243" s="463"/>
      <c r="AY1243" s="61"/>
      <c r="AZ1243" s="61"/>
      <c r="BA1243" s="61"/>
      <c r="BB1243" s="61"/>
      <c r="BC1243" s="61"/>
      <c r="BD1243" s="61"/>
      <c r="BE1243" s="61"/>
      <c r="BF1243" s="464"/>
      <c r="BG1243" s="464"/>
      <c r="BH1243" s="464">
        <v>2020</v>
      </c>
      <c r="BI1243" s="571" t="s">
        <v>2375</v>
      </c>
    </row>
    <row r="1244" spans="1:61" s="204" customFormat="1" ht="26.25" customHeight="1">
      <c r="A1244" s="160" t="s">
        <v>1</v>
      </c>
      <c r="B1244" s="58" t="s">
        <v>320</v>
      </c>
      <c r="C1244" s="457" t="s">
        <v>2388</v>
      </c>
      <c r="D1244" s="33" t="s">
        <v>984</v>
      </c>
      <c r="E1244" s="88"/>
      <c r="F1244" s="88"/>
      <c r="G1244" s="88"/>
      <c r="H1244" s="30" t="s">
        <v>647</v>
      </c>
      <c r="I1244" s="628">
        <v>555</v>
      </c>
      <c r="J1244" s="549">
        <v>43434</v>
      </c>
      <c r="K1244" s="61"/>
      <c r="L1244" s="61"/>
      <c r="M1244" s="61"/>
      <c r="N1244" s="693">
        <v>1</v>
      </c>
      <c r="O1244" s="23"/>
      <c r="P1244" s="61">
        <v>67714100</v>
      </c>
      <c r="Q1244" s="61"/>
      <c r="R1244" s="61"/>
      <c r="S1244" s="61"/>
      <c r="T1244" s="61"/>
      <c r="U1244" s="709">
        <v>67714100</v>
      </c>
      <c r="V1244" s="158">
        <v>10</v>
      </c>
      <c r="W1244" s="311">
        <v>43463</v>
      </c>
      <c r="X1244" s="460"/>
      <c r="Y1244" s="460"/>
      <c r="Z1244" s="61"/>
      <c r="AA1244" s="461"/>
      <c r="AB1244" s="158"/>
      <c r="AC1244" s="158"/>
      <c r="AD1244" s="158"/>
      <c r="AE1244" s="61"/>
      <c r="AF1244" s="61"/>
      <c r="AG1244" s="61"/>
      <c r="AH1244" s="61"/>
      <c r="AI1244" s="61">
        <v>0</v>
      </c>
      <c r="AJ1244" s="61"/>
      <c r="AK1244" s="158">
        <f>P1244-R1244-U1244-Z1244</f>
        <v>0</v>
      </c>
      <c r="AL1244" s="524">
        <v>877</v>
      </c>
      <c r="AM1244" s="524">
        <v>10</v>
      </c>
      <c r="AN1244" s="61"/>
      <c r="AO1244" s="61"/>
      <c r="AP1244" s="61">
        <v>1</v>
      </c>
      <c r="AQ1244" s="229"/>
      <c r="AR1244" s="229"/>
      <c r="AS1244" s="229"/>
      <c r="AT1244" s="2">
        <v>1</v>
      </c>
      <c r="AU1244" s="58" t="s">
        <v>646</v>
      </c>
      <c r="AV1244" s="462"/>
      <c r="AW1244" s="229"/>
      <c r="AX1244" s="463"/>
      <c r="AY1244" s="61"/>
      <c r="AZ1244" s="61"/>
      <c r="BA1244" s="725">
        <v>1</v>
      </c>
      <c r="BB1244" s="61"/>
      <c r="BC1244" s="61"/>
      <c r="BD1244" s="61">
        <v>1</v>
      </c>
      <c r="BE1244" s="61"/>
      <c r="BF1244" s="464">
        <v>2020</v>
      </c>
      <c r="BG1244" s="464"/>
      <c r="BH1244" s="464">
        <v>2020</v>
      </c>
      <c r="BI1244" s="571" t="s">
        <v>2375</v>
      </c>
    </row>
    <row r="1245" spans="1:61" s="204" customFormat="1" ht="26.25" customHeight="1">
      <c r="A1245" s="160" t="s">
        <v>1</v>
      </c>
      <c r="B1245" s="58" t="s">
        <v>320</v>
      </c>
      <c r="C1245" s="457" t="s">
        <v>2407</v>
      </c>
      <c r="D1245" s="33" t="s">
        <v>984</v>
      </c>
      <c r="E1245" s="88"/>
      <c r="F1245" s="88"/>
      <c r="G1245" s="88"/>
      <c r="H1245" s="30" t="s">
        <v>657</v>
      </c>
      <c r="I1245" s="628">
        <v>1802</v>
      </c>
      <c r="J1245" s="549">
        <v>43312</v>
      </c>
      <c r="K1245" s="61"/>
      <c r="L1245" s="61"/>
      <c r="M1245" s="61"/>
      <c r="N1245" s="693">
        <v>1</v>
      </c>
      <c r="O1245" s="23"/>
      <c r="P1245" s="61">
        <v>54703479</v>
      </c>
      <c r="Q1245" s="61"/>
      <c r="R1245" s="61"/>
      <c r="S1245" s="61"/>
      <c r="T1245" s="61"/>
      <c r="U1245" s="709">
        <f>55716595-55716595+54703479</f>
        <v>54703479</v>
      </c>
      <c r="V1245" s="61">
        <v>10</v>
      </c>
      <c r="W1245" s="311" t="s">
        <v>2409</v>
      </c>
      <c r="X1245" s="460"/>
      <c r="Y1245" s="460"/>
      <c r="Z1245" s="61"/>
      <c r="AA1245" s="461"/>
      <c r="AB1245" s="158"/>
      <c r="AC1245" s="158"/>
      <c r="AD1245" s="158"/>
      <c r="AE1245" s="61"/>
      <c r="AF1245" s="61"/>
      <c r="AG1245" s="61"/>
      <c r="AH1245" s="61"/>
      <c r="AI1245" s="61"/>
      <c r="AJ1245" s="61"/>
      <c r="AK1245" s="158"/>
      <c r="AL1245" s="524">
        <v>980</v>
      </c>
      <c r="AM1245" s="524">
        <v>10</v>
      </c>
      <c r="AN1245" s="61">
        <v>1</v>
      </c>
      <c r="AO1245" s="61"/>
      <c r="AP1245" s="61"/>
      <c r="AQ1245" s="229"/>
      <c r="AR1245" s="229"/>
      <c r="AS1245" s="229"/>
      <c r="AT1245" s="2">
        <v>0</v>
      </c>
      <c r="AU1245" s="58" t="s">
        <v>521</v>
      </c>
      <c r="AV1245" s="462"/>
      <c r="AW1245" s="229"/>
      <c r="AX1245" s="463"/>
      <c r="AY1245" s="61"/>
      <c r="AZ1245" s="61"/>
      <c r="BA1245" s="61"/>
      <c r="BB1245" s="61"/>
      <c r="BC1245" s="61"/>
      <c r="BD1245" s="61"/>
      <c r="BE1245" s="61"/>
      <c r="BF1245" s="464"/>
      <c r="BG1245" s="464"/>
      <c r="BH1245" s="464">
        <v>2020</v>
      </c>
      <c r="BI1245" s="571" t="s">
        <v>2375</v>
      </c>
    </row>
    <row r="1246" spans="1:61" s="204" customFormat="1" ht="18" customHeight="1">
      <c r="A1246" s="160" t="s">
        <v>1</v>
      </c>
      <c r="B1246" s="58" t="s">
        <v>320</v>
      </c>
      <c r="C1246" s="457" t="s">
        <v>2199</v>
      </c>
      <c r="D1246" s="458"/>
      <c r="E1246" s="458"/>
      <c r="F1246" s="458"/>
      <c r="G1246" s="458"/>
      <c r="H1246" s="78"/>
      <c r="I1246" s="226"/>
      <c r="J1246" s="459"/>
      <c r="K1246" s="61"/>
      <c r="L1246" s="61"/>
      <c r="M1246" s="61"/>
      <c r="N1246" s="61">
        <f>1162-1160-1-1</f>
        <v>0</v>
      </c>
      <c r="O1246" s="23"/>
      <c r="P1246" s="61"/>
      <c r="Q1246" s="61"/>
      <c r="R1246" s="61"/>
      <c r="S1246" s="61"/>
      <c r="T1246" s="61"/>
      <c r="U1246" s="61"/>
      <c r="V1246" s="61"/>
      <c r="W1246" s="460"/>
      <c r="X1246" s="460"/>
      <c r="Y1246" s="460"/>
      <c r="Z1246" s="61"/>
      <c r="AA1246" s="461"/>
      <c r="AB1246" s="158"/>
      <c r="AC1246" s="158"/>
      <c r="AD1246" s="158"/>
      <c r="AE1246" s="61"/>
      <c r="AF1246" s="61"/>
      <c r="AG1246" s="61"/>
      <c r="AH1246" s="61"/>
      <c r="AI1246" s="61">
        <f>SUM(AI7:AI1244)</f>
        <v>265922141655</v>
      </c>
      <c r="AJ1246" s="61"/>
      <c r="AK1246" s="158">
        <f t="shared" si="281"/>
        <v>0</v>
      </c>
      <c r="AL1246" s="61"/>
      <c r="AM1246" s="61"/>
      <c r="AN1246" s="61"/>
      <c r="AO1246" s="61"/>
      <c r="AP1246" s="61"/>
      <c r="AQ1246" s="229"/>
      <c r="AR1246" s="229"/>
      <c r="AS1246" s="229"/>
      <c r="AT1246" s="2">
        <v>0</v>
      </c>
      <c r="AU1246" s="58" t="s">
        <v>521</v>
      </c>
      <c r="AV1246" s="462"/>
      <c r="AW1246" s="229"/>
      <c r="AX1246" s="463"/>
      <c r="AY1246" s="61"/>
      <c r="AZ1246" s="61"/>
      <c r="BA1246" s="61"/>
      <c r="BB1246" s="61"/>
      <c r="BC1246" s="61"/>
      <c r="BD1246" s="61"/>
      <c r="BE1246" s="61"/>
      <c r="BF1246" s="464"/>
      <c r="BG1246" s="464"/>
      <c r="BH1246" s="464">
        <v>2020</v>
      </c>
      <c r="BI1246" s="571" t="s">
        <v>2375</v>
      </c>
    </row>
    <row r="1247" spans="1:61" ht="30.75" customHeight="1">
      <c r="A1247" s="741" t="s">
        <v>1052</v>
      </c>
      <c r="B1247" s="742"/>
      <c r="C1247" s="742"/>
      <c r="D1247" s="743"/>
      <c r="E1247" s="518"/>
      <c r="F1247" s="518"/>
      <c r="G1247" s="574"/>
      <c r="H1247" s="371"/>
      <c r="I1247" s="371"/>
      <c r="J1247" s="371"/>
      <c r="K1247" s="371">
        <f>K7+K55+K107+K111+K138+K169+K267+K307+K341+K354+K380+K435+K635+K638+K646+K681+K733+K752+K760</f>
        <v>3512</v>
      </c>
      <c r="L1247" s="424">
        <f>L7+L55+L107+L111+L138+L169+L267+L307+L341+L354+L380+L435+L635+L638+L646+L681+L733+L752+L760</f>
        <v>5661</v>
      </c>
      <c r="M1247" s="370">
        <f>M7+M55+M107+M111+M138+M169+M267+M307+M341+M354+M380+M435+M635+M638+M646+M681+M733+M752+M760</f>
        <v>5717</v>
      </c>
      <c r="N1247" s="613">
        <f>N7+N55+N107+N111+N138+N169+N267+N307+N341+N354+N380+N435+N635+N638+N646+N681+N733+N752+N760</f>
        <v>7297</v>
      </c>
      <c r="O1247" s="371">
        <f>O7+O55+O107+O111+O138+O169+O267+O307+O341+O354+O380+O435+O635+O638+O646+O681+O733+O752+O760</f>
        <v>758</v>
      </c>
      <c r="P1247" s="371"/>
      <c r="Q1247" s="371"/>
      <c r="R1247" s="371"/>
      <c r="S1247" s="371"/>
      <c r="T1247" s="371"/>
      <c r="U1247" s="371"/>
      <c r="V1247" s="371"/>
      <c r="W1247" s="371"/>
      <c r="X1247" s="371"/>
      <c r="Y1247" s="371"/>
      <c r="Z1247" s="371"/>
      <c r="AA1247" s="371"/>
      <c r="AB1247" s="371"/>
      <c r="AC1247" s="371"/>
      <c r="AD1247" s="371"/>
      <c r="AE1247" s="371"/>
      <c r="AF1247" s="647">
        <f>SUBTOTAL(9,AF8:AF1219)</f>
        <v>210274510987</v>
      </c>
      <c r="AG1247" s="466"/>
      <c r="AH1247" s="371"/>
      <c r="AI1247" s="371"/>
      <c r="AJ1247" s="371"/>
      <c r="AK1247" s="371"/>
      <c r="AL1247" s="371"/>
      <c r="AM1247" s="371"/>
      <c r="AN1247" s="424">
        <f t="shared" ref="AN1247:AS1247" si="284">AN7+AN55+AN107+AN111+AN138+AN169+AN267+AN307+AN341+AN354+AN380+AN435+AN635+AN638+AN646+AN681+AN733+AN752+AN760</f>
        <v>1136</v>
      </c>
      <c r="AO1247" s="424">
        <f t="shared" si="284"/>
        <v>3955</v>
      </c>
      <c r="AP1247" s="424">
        <f t="shared" si="284"/>
        <v>2397</v>
      </c>
      <c r="AQ1247" s="370">
        <f t="shared" si="284"/>
        <v>450</v>
      </c>
      <c r="AR1247" s="370">
        <f t="shared" si="284"/>
        <v>104</v>
      </c>
      <c r="AS1247" s="424">
        <f t="shared" si="284"/>
        <v>13</v>
      </c>
      <c r="AT1247" s="371"/>
      <c r="AU1247" s="371"/>
      <c r="AV1247" s="385"/>
      <c r="AW1247" s="370">
        <f>AW752+AW733+AW646+AW638+AW435+AW380+AW354+AW341+AW307+AW267+AW169+AW138+AW107+AW55+AW7+AW681+AW760</f>
        <v>4238</v>
      </c>
      <c r="AX1247" s="370">
        <f>AX752+AX733+AX646+AX638+AX435+AX380+AX354+AX341+AX307+AX267+AX169+AX138+AX107+AX55+AX7+AX681+AX760</f>
        <v>3446</v>
      </c>
      <c r="AY1247" s="370">
        <f>AY752+AY733+AY646+AY638+AY435+AY380+AY354+AY341+AY307+AY267+AY169+AY138+AY107+AY55+AY7+AY681+AY760</f>
        <v>3447</v>
      </c>
      <c r="AZ1247" s="370">
        <f>AZ752+AZ733+AZ646+AZ638+AZ435+AZ380+AZ354+AZ341+AZ307+AZ267+AZ169+AZ138+AZ107+AZ55+AZ7+AZ681+AZ760</f>
        <v>4608</v>
      </c>
      <c r="BA1247" s="370">
        <f>BA7+BA55+BA107+BA111+BA138+BA169+BA267+BA307+BA341+BA354+BA380+BA435+BA635+BA638+BA646+BA681+BA733+BA752+BA760</f>
        <v>2397</v>
      </c>
      <c r="BB1247" s="370">
        <f>BB7+BB55+BB107+BB111+BB138+BB169+BB267+BB307+BB341+BB354+BB380+BB435+BB635+BB638+BB646+BB681+BB733+BB752+BB760</f>
        <v>2257</v>
      </c>
      <c r="BC1247" s="370">
        <f>BC7+BC55+BC107+BC111+BC138+BC169+BC267+BC307+BC341+BC354+BC380+BC435+BC635+BC638+BC646+BC681+BC733+BC752+BC760</f>
        <v>1190</v>
      </c>
      <c r="BD1247" s="370">
        <f>BD7+BD55+BD107+BD111+BD138+BD169+BD267+BD307+BD341+BD354+BD380+BD435+BD635+BD638+BD646+BD681+BD733+BD752+BD760</f>
        <v>8195</v>
      </c>
      <c r="BE1247" s="370">
        <f>BE7+BE55+BE107+BE111+BE138+BE169+BE267+BE307+BE341+BE354+BE380+BE435+BE635+BE638+BE646+BE681+BE733+BE752+BE760</f>
        <v>133</v>
      </c>
      <c r="BF1247" s="370"/>
      <c r="BG1247" s="370">
        <v>2019</v>
      </c>
      <c r="BH1247" s="370">
        <v>2020</v>
      </c>
      <c r="BI1247" s="434" t="s">
        <v>2419</v>
      </c>
    </row>
    <row r="1248" spans="1:61" ht="15" customHeight="1">
      <c r="A1248" s="116"/>
      <c r="B1248" s="116"/>
      <c r="C1248" s="16"/>
      <c r="D1248" s="16"/>
      <c r="E1248" s="16"/>
      <c r="F1248" s="16"/>
      <c r="G1248" s="16"/>
      <c r="H1248" s="16"/>
      <c r="I1248" s="16"/>
      <c r="J1248" s="16"/>
      <c r="K1248" s="140"/>
      <c r="L1248" s="140"/>
      <c r="M1248" s="140"/>
      <c r="N1248" s="140"/>
      <c r="O1248" s="140"/>
      <c r="P1248" s="140"/>
      <c r="Q1248" s="140"/>
      <c r="R1248" s="140"/>
      <c r="S1248" s="140"/>
      <c r="T1248" s="140"/>
      <c r="U1248" s="140"/>
      <c r="V1248" s="140"/>
      <c r="W1248" s="140"/>
      <c r="X1248" s="140"/>
      <c r="Y1248" s="140"/>
      <c r="Z1248" s="140"/>
      <c r="AA1248" s="140"/>
      <c r="AB1248" s="140"/>
      <c r="AC1248" s="140"/>
      <c r="AD1248" s="140"/>
      <c r="AE1248" s="140"/>
      <c r="AF1248" s="140">
        <v>35152805238</v>
      </c>
      <c r="AG1248" s="140"/>
      <c r="AH1248" s="140"/>
      <c r="AI1248" s="140"/>
      <c r="AJ1248" s="140"/>
      <c r="AK1248" s="140"/>
      <c r="AL1248" s="140"/>
      <c r="AM1248" s="140"/>
      <c r="AN1248" s="140"/>
      <c r="AO1248" s="140"/>
      <c r="AP1248" s="140"/>
      <c r="AQ1248" s="140"/>
      <c r="AR1248" s="140"/>
      <c r="AS1248" s="140"/>
      <c r="AT1248" s="140"/>
      <c r="AU1248" s="140"/>
      <c r="AV1248" s="140"/>
      <c r="AW1248" s="140"/>
      <c r="AX1248" s="140"/>
      <c r="AY1248" s="140"/>
      <c r="AZ1248" s="140"/>
      <c r="BA1248" s="140"/>
      <c r="BB1248" s="140"/>
      <c r="BC1248" s="140"/>
      <c r="BD1248" s="209">
        <f>BD28+BD29+BD30+BD31+BD58+BD71+BD75+BD76+BD77+BD79+BD112+BD124+BD127+BD152+BD218+BD228+BD292+BD319+BD358+BD359+BD460+BD549+BD554+BD555+BD574+BD661+BD662+BD707+BD740</f>
        <v>1190</v>
      </c>
      <c r="BE1248" s="209"/>
      <c r="BF1248" s="354"/>
      <c r="BG1248" s="355"/>
    </row>
    <row r="1249" spans="1:60" s="354" customFormat="1" ht="15" customHeight="1">
      <c r="A1249" s="116"/>
      <c r="B1249" s="116"/>
      <c r="C1249" s="26"/>
      <c r="D1249" s="353"/>
      <c r="E1249" s="353"/>
      <c r="F1249" s="353"/>
      <c r="G1249" s="353"/>
      <c r="H1249" s="26"/>
      <c r="I1249" s="26"/>
      <c r="J1249" s="26"/>
      <c r="K1249" s="140"/>
      <c r="L1249" s="140"/>
      <c r="M1249" s="140"/>
      <c r="N1249" s="140"/>
      <c r="O1249" s="140"/>
      <c r="P1249" s="140"/>
      <c r="Q1249" s="140"/>
      <c r="R1249" s="140"/>
      <c r="S1249" s="140"/>
      <c r="T1249" s="140"/>
      <c r="U1249" s="140"/>
      <c r="V1249" s="140"/>
      <c r="W1249" s="140"/>
      <c r="X1249" s="140"/>
      <c r="Y1249" s="140"/>
      <c r="Z1249" s="140"/>
      <c r="AA1249" s="140"/>
      <c r="AB1249" s="140"/>
      <c r="AC1249" s="140"/>
      <c r="AD1249" s="140"/>
      <c r="AE1249" s="140"/>
      <c r="AF1249" s="217">
        <f>+AF1218</f>
        <v>0</v>
      </c>
      <c r="AG1249" s="217"/>
      <c r="AH1249" s="217"/>
      <c r="AI1249" s="217"/>
      <c r="AJ1249" s="217"/>
      <c r="AK1249" s="217"/>
      <c r="AL1249" s="217"/>
      <c r="AM1249" s="140"/>
      <c r="AN1249" s="140"/>
      <c r="AO1249" s="140"/>
      <c r="AP1249" s="140"/>
      <c r="AQ1249" s="140"/>
      <c r="AR1249" s="140"/>
      <c r="AS1249" s="140"/>
      <c r="AT1249" s="140"/>
      <c r="AU1249" s="140"/>
      <c r="AV1249" s="140"/>
      <c r="AW1249" s="140"/>
      <c r="AX1249" s="140"/>
      <c r="AY1249" s="140"/>
      <c r="AZ1249" s="140"/>
      <c r="BA1249" s="140"/>
      <c r="BB1249" s="140"/>
      <c r="BC1249" s="140"/>
      <c r="BD1249" s="140"/>
      <c r="BE1249" s="140"/>
      <c r="BG1249" s="355"/>
    </row>
    <row r="1250" spans="1:60" s="354" customFormat="1" ht="15" customHeight="1">
      <c r="A1250" s="116"/>
      <c r="B1250" s="116"/>
      <c r="C1250" s="26"/>
      <c r="D1250" s="353"/>
      <c r="E1250" s="353"/>
      <c r="F1250" s="353"/>
      <c r="G1250" s="353"/>
      <c r="H1250" s="26"/>
      <c r="I1250" s="26"/>
      <c r="J1250" s="26"/>
      <c r="K1250" s="140"/>
      <c r="L1250" s="140"/>
      <c r="M1250" s="140"/>
      <c r="N1250" s="140"/>
      <c r="O1250" s="140"/>
      <c r="P1250" s="140"/>
      <c r="Q1250" s="140"/>
      <c r="R1250" s="140"/>
      <c r="S1250" s="140"/>
      <c r="T1250" s="140"/>
      <c r="U1250" s="140"/>
      <c r="V1250" s="140"/>
      <c r="W1250" s="140"/>
      <c r="X1250" s="140"/>
      <c r="Y1250" s="140"/>
      <c r="Z1250" s="140"/>
      <c r="AA1250" s="140"/>
      <c r="AB1250" s="140"/>
      <c r="AC1250" s="140"/>
      <c r="AD1250" s="140"/>
      <c r="AE1250" s="140"/>
      <c r="AF1250" s="217"/>
      <c r="AG1250" s="217"/>
      <c r="AH1250" s="217"/>
      <c r="AI1250" s="217"/>
      <c r="AJ1250" s="217"/>
      <c r="AK1250" s="217"/>
      <c r="AL1250" s="217"/>
      <c r="AM1250" s="140"/>
      <c r="AN1250" s="140"/>
      <c r="AO1250" s="140"/>
      <c r="AP1250" s="140"/>
      <c r="AQ1250" s="140"/>
      <c r="AR1250" s="140"/>
      <c r="AS1250" s="140"/>
      <c r="AT1250" s="140"/>
      <c r="AU1250" s="140"/>
      <c r="AV1250" s="140"/>
      <c r="AW1250" s="140"/>
      <c r="AX1250" s="140"/>
      <c r="AY1250" s="140"/>
      <c r="AZ1250" s="140"/>
      <c r="BA1250" s="140"/>
      <c r="BB1250" s="140"/>
      <c r="BC1250" s="140"/>
      <c r="BD1250" s="140"/>
      <c r="BE1250" s="140"/>
      <c r="BG1250" s="355"/>
    </row>
    <row r="1251" spans="1:60" ht="15.75">
      <c r="A1251" s="93"/>
      <c r="B1251" s="93"/>
      <c r="C1251" s="752" t="s">
        <v>2436</v>
      </c>
      <c r="D1251" s="751"/>
      <c r="E1251" s="751"/>
      <c r="F1251" s="751"/>
      <c r="G1251" s="751"/>
      <c r="H1251" s="752"/>
      <c r="I1251" s="16"/>
      <c r="J1251" s="16"/>
      <c r="K1251" s="151"/>
      <c r="L1251" s="151"/>
      <c r="M1251" s="151"/>
      <c r="N1251" s="151"/>
      <c r="O1251" s="151"/>
      <c r="P1251" s="151"/>
      <c r="Q1251" s="151"/>
      <c r="R1251" s="151"/>
      <c r="S1251" s="151"/>
      <c r="T1251" s="151"/>
      <c r="U1251" s="151" t="e">
        <f>#REF!-#REF!</f>
        <v>#REF!</v>
      </c>
      <c r="V1251" s="151"/>
      <c r="W1251" s="151"/>
      <c r="X1251" s="151"/>
      <c r="Y1251" s="151"/>
      <c r="Z1251" s="151"/>
      <c r="AA1251" s="151"/>
      <c r="AB1251" s="151"/>
      <c r="AC1251" s="151"/>
      <c r="AD1251" s="151"/>
      <c r="AE1251" s="151"/>
      <c r="AF1251" s="151"/>
      <c r="AG1251" s="151"/>
      <c r="AH1251" s="151"/>
      <c r="AI1251" s="151"/>
      <c r="AJ1251" s="151"/>
      <c r="AK1251" s="151"/>
      <c r="AL1251" s="151"/>
      <c r="AM1251" s="151"/>
      <c r="AN1251" s="151"/>
      <c r="AO1251" s="151"/>
      <c r="AP1251" s="151"/>
      <c r="AQ1251" s="151"/>
      <c r="AR1251" s="151"/>
      <c r="AS1251" s="151"/>
      <c r="AT1251" s="151"/>
      <c r="AU1251" s="151"/>
      <c r="AV1251" s="151"/>
      <c r="AW1251" s="151"/>
      <c r="AX1251" s="151"/>
      <c r="AY1251" s="151"/>
      <c r="AZ1251" s="151"/>
      <c r="BA1251" s="151"/>
      <c r="BB1251" s="151"/>
      <c r="BC1251" s="151"/>
      <c r="BD1251" s="151"/>
      <c r="BE1251" s="151"/>
      <c r="BF1251" s="710"/>
      <c r="BG1251" s="710"/>
      <c r="BH1251" s="711"/>
    </row>
    <row r="1252" spans="1:60">
      <c r="A1252" s="93"/>
      <c r="B1252" s="93"/>
      <c r="C1252" s="37" t="s">
        <v>521</v>
      </c>
      <c r="D1252" s="733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E1252" s="338"/>
      <c r="F1252" s="338"/>
      <c r="G1252" s="338"/>
      <c r="H1252" s="769">
        <f>AN37+AN40+AN44+AN54+AN61+AN72+AN100+AN113+AN137+AN163+AN238+AN263+AN264+AN311+AN321+AN323+AN329+AN340+AN351+AN375+AN378+AN379+AN381+AN414+AN421+AN426+AN428+AN433+AN475+AN570+AN614+AN619+AN631+AN634+AN636+AN637+AN675+AN693+AN706+AN711+AN726+AN729+AN830+AN836+AN843+AN844+AN852+AN962+AN964+AN979+AN981+AN983+AN985+AN1071+AN1072+AN1073+AN1074+AN1088+AN1092+AN1093+AN1108+AN1125+AN1134+AN1146+AN1147+AN1151+AN1169+AN1170+AN1171+AN1173+AN1176+AN1184+AN1189+AN1191+AN1192+AN1193+AN1200+AN1201+AN1202+AN1206+AN1209+AN1211+AN1214+AN1225+AN1229+AN1231+AN1234+AN1236+AN1237+AN1239+AN1240+AN1241+AN1242+AN1243+AN1245</f>
        <v>945</v>
      </c>
      <c r="I1252" s="16"/>
      <c r="J1252" s="16"/>
      <c r="K1252" s="151"/>
      <c r="L1252" s="151"/>
      <c r="M1252" s="151"/>
      <c r="N1252" s="151"/>
      <c r="O1252" s="151"/>
      <c r="P1252" s="151"/>
      <c r="Q1252" s="151"/>
      <c r="R1252" s="151"/>
      <c r="S1252" s="151"/>
      <c r="T1252" s="151"/>
      <c r="U1252" s="151"/>
      <c r="V1252" s="151"/>
      <c r="W1252" s="151"/>
      <c r="X1252" s="151"/>
      <c r="Y1252" s="151"/>
      <c r="Z1252" s="151"/>
      <c r="AA1252" s="151"/>
      <c r="AB1252" s="151"/>
      <c r="AC1252" s="151"/>
      <c r="AD1252" s="151"/>
      <c r="AE1252" s="151"/>
      <c r="AF1252" s="151"/>
      <c r="AG1252" s="151"/>
      <c r="AH1252" s="151"/>
      <c r="AI1252" s="151"/>
      <c r="AJ1252" s="151"/>
      <c r="AK1252" s="151"/>
      <c r="AL1252" s="151"/>
      <c r="AM1252" s="151"/>
      <c r="AN1252" s="151"/>
      <c r="AO1252" s="151"/>
      <c r="AP1252" s="151"/>
      <c r="AQ1252" s="151"/>
      <c r="AR1252" s="151"/>
      <c r="AS1252" s="151"/>
      <c r="AT1252" s="151"/>
      <c r="AU1252" s="151"/>
      <c r="AV1252" s="151"/>
      <c r="AW1252" s="151"/>
      <c r="AX1252" s="151"/>
      <c r="AY1252" s="151"/>
      <c r="AZ1252" s="151"/>
      <c r="BA1252" s="151"/>
      <c r="BB1252" s="151"/>
      <c r="BC1252" s="151"/>
      <c r="BD1252" s="151"/>
      <c r="BE1252" s="151"/>
      <c r="BF1252" s="710"/>
      <c r="BG1252" s="710"/>
      <c r="BH1252" s="711"/>
    </row>
    <row r="1253" spans="1:60">
      <c r="A1253" s="93"/>
      <c r="B1253" s="93"/>
      <c r="C1253" s="37" t="s">
        <v>38</v>
      </c>
      <c r="D1253" s="734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E1253" s="339"/>
      <c r="F1253" s="339"/>
      <c r="G1253" s="339"/>
      <c r="H1253" s="769">
        <f>AO39+AO46+AO47+AO48+AO49+AO50+AO51+AO52+AO53+AO91+AO96+AO98+AO99+AO101+AO102+AO103+AO104+AO105+AO106+AO135+AO136+AO162+AO164+AO165+AO167+AO168+AO239+AO249+AO251+AO252+AO253+AO254+AO255+AO256+AO257+AO258+AO259+AO260+AO261+AO262+AO265+AO266+AO294+AO302+AO303+AO304+AO305+AO306+AO331+AO332+AO334+AO337+AO339+AO353+AO372+AO374+AO376+AO377+AO415+AO418+AO419+AO420+AO422+AO423+AO424+AO425+AO427+AO430+AO431+AO432+AO434+AO589+AO590+AO615+AO616+AO621+AO622+AO623+AO624+AO625+AO628+AO629+AO630+AO632+AO633+AO640+AO641+AO642+AO645+AO663+AO666+AO667+AO668+AO678+AO679+AO715+AO717+AO723+AO724+AO725+AO730+AO829+AO833+AO834+AO840+AO958+AO959+AO997+AO1025+AO1046+AO1049+AO1076+AO1087+AO1090+AO1098+AO1099+AO1100+AO1101+AO1102+AO1103+AO1104+AO1105+AO1106+AO1107+AO1124+AO1131+AO1133+AO1135+AO1137+AO1138+AO1139+AO1140+AO1142+AO1155+AO1156+AO1165+AO1179+AO1199+AO1207+AO1218+AO1219+AO1221+AO1228+AO1230+AO1232+AO1238</f>
        <v>3955</v>
      </c>
      <c r="I1253" s="16"/>
      <c r="J1253" s="16"/>
      <c r="K1253" s="151"/>
      <c r="L1253" s="151"/>
      <c r="M1253" s="151"/>
      <c r="N1253" s="151"/>
      <c r="O1253" s="151"/>
      <c r="P1253" s="151" t="s">
        <v>2403</v>
      </c>
      <c r="Q1253" s="151"/>
      <c r="R1253" s="679" t="s">
        <v>2379</v>
      </c>
      <c r="S1253" s="151"/>
      <c r="T1253" s="151"/>
      <c r="U1253" s="208">
        <f>U366+U560+U639+U703+U717+U838+U1144</f>
        <v>3769691112</v>
      </c>
      <c r="V1253" s="151"/>
      <c r="W1253" s="151"/>
      <c r="X1253" s="151"/>
      <c r="Y1253" s="151"/>
      <c r="Z1253" s="208">
        <f>Z126+Z147+Z151+34117365-912714-1192171801-3559595462+Z388+Z391+Z395+Z413+Z568+Z712+Z713+Z743+Z753+Z1130</f>
        <v>5532912526</v>
      </c>
      <c r="AA1253" s="151"/>
      <c r="AB1253" s="208">
        <f>U1253+Z1253</f>
        <v>9302603638</v>
      </c>
      <c r="AC1253" s="151"/>
      <c r="AD1253" s="208"/>
      <c r="AE1253" s="151"/>
      <c r="AF1253" s="151"/>
      <c r="AG1253" s="151"/>
      <c r="AH1253" s="151"/>
      <c r="AI1253" s="208">
        <v>9302603638</v>
      </c>
      <c r="AJ1253" s="151"/>
      <c r="AK1253" s="680">
        <f>AB1253-AI1253</f>
        <v>0</v>
      </c>
      <c r="AL1253" s="151"/>
      <c r="AM1253" s="151"/>
      <c r="AN1253" s="151"/>
      <c r="AO1253" s="151"/>
      <c r="AP1253" s="151"/>
      <c r="AQ1253" s="151"/>
      <c r="AR1253" s="151"/>
      <c r="AS1253" s="151"/>
      <c r="AT1253" s="151"/>
      <c r="AU1253" s="151"/>
      <c r="AV1253" s="151"/>
      <c r="AW1253" s="151"/>
      <c r="AX1253" s="151"/>
      <c r="AY1253" s="151"/>
      <c r="AZ1253" s="151"/>
      <c r="BA1253" s="151"/>
      <c r="BB1253" s="151"/>
      <c r="BC1253" s="151"/>
      <c r="BD1253" s="151"/>
      <c r="BE1253" s="151"/>
      <c r="BF1253" s="710"/>
      <c r="BG1253" s="710"/>
      <c r="BH1253" s="711"/>
    </row>
    <row r="1254" spans="1:60">
      <c r="A1254" s="93"/>
      <c r="B1254" s="93"/>
      <c r="C1254" s="37" t="s">
        <v>646</v>
      </c>
      <c r="D1254" s="734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E1254" s="339"/>
      <c r="F1254" s="339"/>
      <c r="G1254" s="339"/>
      <c r="H1254" s="769">
        <f>AP36+AP41+AP42+AP43+AP45+AP97++AP132+AP133+AP134+AP166+AP223+AP233+AP241+AP245+AP246+AP247+AP248+AP299+AP300+AP301+AP322+AP336+AP349+AP350+AP352+AP373+AP405+AP406+AP417+AP429+AP569+AP591+AP603+AP604+AP606+AP607+AP608+AP609+AP611+AP612+AP613+AP617+AP618+AP620+AP626+AP627+AP671+AP672+AP673+AP674+AP676+AP677+AP714+AP719+AP721+AP727+AP728+AP751+AP759+AP978+AP996+AP1075+AP1153+AP1158+AP1167+AP1168+AP1194+AP1195+AP1196+AP1197+AP1198+AP1203+AP1204+AP1205+AP1208+AP1210+AP1212+AP1213+AP1216+AP1217+AP1227+AP1233+AP1235+AP1244</f>
        <v>2397</v>
      </c>
      <c r="I1254" s="16"/>
      <c r="J1254" s="182"/>
      <c r="K1254" s="151"/>
      <c r="L1254" s="151"/>
      <c r="M1254" s="151"/>
      <c r="N1254" s="151"/>
      <c r="O1254" s="151"/>
      <c r="P1254" s="151" t="s">
        <v>2403</v>
      </c>
      <c r="Q1254" s="151"/>
      <c r="R1254" s="679" t="s">
        <v>2378</v>
      </c>
      <c r="S1254" s="151"/>
      <c r="T1254" s="151"/>
      <c r="U1254" s="208">
        <f>U85+U86+U125+U160+U231+U232+U233+282969644+U585+U1145</f>
        <v>12518908884</v>
      </c>
      <c r="V1254" s="151"/>
      <c r="W1254" s="151"/>
      <c r="X1254" s="151"/>
      <c r="Y1254" s="151"/>
      <c r="Z1254" s="208">
        <f>Z224+Z442+Z578</f>
        <v>3576791346</v>
      </c>
      <c r="AA1254" s="151"/>
      <c r="AB1254" s="208">
        <f>U1254+Z1254</f>
        <v>16095700230</v>
      </c>
      <c r="AC1254" s="151"/>
      <c r="AD1254" s="151"/>
      <c r="AE1254" s="151"/>
      <c r="AF1254" s="151"/>
      <c r="AG1254" s="151"/>
      <c r="AH1254" s="151"/>
      <c r="AI1254" s="151"/>
      <c r="AJ1254" s="151"/>
      <c r="AK1254" s="151"/>
      <c r="AL1254" s="151"/>
      <c r="AM1254" s="151"/>
      <c r="AN1254" s="151"/>
      <c r="AO1254" s="151"/>
      <c r="AP1254" s="151"/>
      <c r="AQ1254" s="151"/>
      <c r="AR1254" s="151"/>
      <c r="AS1254" s="151"/>
      <c r="AT1254" s="151"/>
      <c r="AU1254" s="151"/>
      <c r="AV1254" s="151"/>
      <c r="AW1254" s="151"/>
      <c r="AX1254" s="151"/>
      <c r="AY1254" s="151"/>
      <c r="AZ1254" s="151"/>
      <c r="BA1254" s="151"/>
      <c r="BB1254" s="151"/>
      <c r="BC1254" s="151"/>
      <c r="BD1254" s="151"/>
      <c r="BE1254" s="151"/>
      <c r="BF1254" s="710"/>
      <c r="BG1254" s="710"/>
      <c r="BH1254" s="711"/>
    </row>
    <row r="1255" spans="1:60">
      <c r="A1255" s="93"/>
      <c r="B1255" s="93"/>
      <c r="C1255" s="37" t="s">
        <v>942</v>
      </c>
      <c r="D1255" s="734" t="e">
        <f>#REF!+#REF!+#REF!+#REF!+#REF!+#REF!+#REF!+#REF!+#REF!+#REF!+#REF!+#REF!+#REF!+#REF!+#REF!+#REF!+#REF!+#REF!+#REF!+#REF!+#REF!+#REF!+#REF!+#REF!+#REF!+#REF!+#REF!+#REF!+#REF!+#REF!+#REF!+#REF!+#REF!+#REF!+#REF!</f>
        <v>#REF!</v>
      </c>
      <c r="E1255" s="339"/>
      <c r="F1255" s="339"/>
      <c r="G1255" s="339"/>
      <c r="H1255" s="769">
        <v>0</v>
      </c>
      <c r="I1255" s="16"/>
      <c r="J1255" s="16"/>
      <c r="K1255" s="151"/>
      <c r="L1255" s="151"/>
      <c r="M1255" s="151"/>
      <c r="N1255" s="337"/>
      <c r="O1255" s="151"/>
      <c r="P1255" s="151" t="s">
        <v>2403</v>
      </c>
      <c r="Q1255" s="151"/>
      <c r="R1255" s="679">
        <v>43374</v>
      </c>
      <c r="S1255" s="151"/>
      <c r="T1255" s="151"/>
      <c r="U1255" s="208">
        <f>U82+92449285+U461+U476+26118186+U835</f>
        <v>5724490682</v>
      </c>
      <c r="V1255" s="151"/>
      <c r="W1255" s="151"/>
      <c r="X1255" s="151"/>
      <c r="Y1255" s="151"/>
      <c r="Z1255" s="208">
        <f>Z153+Z154+Z155+Z159+Z228+Z564+Z574+Z577+Z580+Z716</f>
        <v>10744094943</v>
      </c>
      <c r="AA1255" s="151"/>
      <c r="AB1255" s="208">
        <f>U1255+Z1255</f>
        <v>16468585625</v>
      </c>
      <c r="AC1255" s="151"/>
      <c r="AD1255" s="151"/>
      <c r="AE1255" s="151"/>
      <c r="AF1255" s="151"/>
      <c r="AG1255" s="151"/>
      <c r="AH1255" s="151"/>
      <c r="AI1255" s="151"/>
      <c r="AJ1255" s="151"/>
      <c r="AK1255" s="151"/>
      <c r="AL1255" s="151"/>
      <c r="AM1255" s="151"/>
      <c r="AN1255" s="151"/>
      <c r="AO1255" s="151"/>
      <c r="AP1255" s="151"/>
      <c r="AQ1255" s="151"/>
      <c r="AR1255" s="151"/>
      <c r="AS1255" s="151"/>
      <c r="AT1255" s="151"/>
      <c r="AU1255" s="151"/>
      <c r="AV1255" s="151"/>
      <c r="AW1255" s="151"/>
      <c r="AX1255" s="151"/>
      <c r="AY1255" s="151"/>
      <c r="AZ1255" s="151"/>
      <c r="BA1255" s="151"/>
      <c r="BB1255" s="151"/>
      <c r="BC1255" s="151"/>
      <c r="BD1255" s="151"/>
      <c r="BE1255" s="151"/>
      <c r="BF1255" s="710"/>
      <c r="BG1255" s="710"/>
      <c r="BH1255" s="711"/>
    </row>
    <row r="1256" spans="1:60">
      <c r="A1256" s="93"/>
      <c r="B1256" s="93"/>
      <c r="C1256" s="37" t="s">
        <v>986</v>
      </c>
      <c r="D1256" s="734" t="e">
        <f>#REF!+#REF!+#REF!+#REF!+#REF!+#REF!</f>
        <v>#REF!</v>
      </c>
      <c r="E1256" s="339"/>
      <c r="F1256" s="339"/>
      <c r="G1256" s="339"/>
      <c r="H1256" s="769">
        <v>0</v>
      </c>
      <c r="I1256" s="16"/>
      <c r="J1256" s="16"/>
      <c r="K1256" s="151"/>
      <c r="L1256" s="151"/>
      <c r="M1256" s="151"/>
      <c r="N1256" s="151"/>
      <c r="O1256" s="151"/>
      <c r="P1256" s="151" t="s">
        <v>2403</v>
      </c>
      <c r="Q1256" s="151"/>
      <c r="R1256" s="679">
        <v>43405</v>
      </c>
      <c r="S1256" s="151"/>
      <c r="T1256" s="151"/>
      <c r="U1256" s="208">
        <f>U90+U94+U327+U328+U330+U348+U370-26118186+U588+U592+U670+U720+U749</f>
        <v>13312762582</v>
      </c>
      <c r="V1256" s="151"/>
      <c r="W1256" s="151"/>
      <c r="X1256" s="151"/>
      <c r="Y1256" s="151"/>
      <c r="Z1256" s="208">
        <f>Z35+Z148+Z156+Z400</f>
        <v>6668580976</v>
      </c>
      <c r="AA1256" s="151"/>
      <c r="AB1256" s="208">
        <f>U1256+Z1256</f>
        <v>19981343558</v>
      </c>
      <c r="AC1256" s="151"/>
      <c r="AD1256" s="151"/>
      <c r="AE1256" s="151"/>
      <c r="AF1256" s="151"/>
      <c r="AG1256" s="151"/>
      <c r="AH1256" s="151"/>
      <c r="AI1256" s="151"/>
      <c r="AJ1256" s="151"/>
      <c r="AK1256" s="151"/>
      <c r="AL1256" s="151"/>
      <c r="AM1256" s="151"/>
      <c r="AN1256" s="151"/>
      <c r="AO1256" s="151"/>
      <c r="AP1256" s="151"/>
      <c r="AQ1256" s="151"/>
      <c r="AR1256" s="151"/>
      <c r="AS1256" s="151"/>
      <c r="AT1256" s="151"/>
      <c r="AU1256" s="151"/>
      <c r="AV1256" s="151"/>
      <c r="AW1256" s="151"/>
      <c r="AX1256" s="151"/>
      <c r="AY1256" s="151"/>
      <c r="AZ1256" s="151"/>
      <c r="BA1256" s="151"/>
      <c r="BB1256" s="151"/>
      <c r="BC1256" s="151"/>
      <c r="BD1256" s="151"/>
      <c r="BE1256" s="151"/>
      <c r="BF1256" s="710"/>
      <c r="BG1256" s="710"/>
      <c r="BH1256" s="711"/>
    </row>
    <row r="1257" spans="1:60">
      <c r="A1257" s="93"/>
      <c r="B1257" s="93"/>
      <c r="C1257" s="37" t="s">
        <v>687</v>
      </c>
      <c r="D1257" s="734" t="e">
        <f>#REF!+#REF!+#REF!+#REF!+#REF!+#REF!+#REF!+#REF!+#REF!+#REF!+#REF!</f>
        <v>#REF!</v>
      </c>
      <c r="E1257" s="339"/>
      <c r="F1257" s="339"/>
      <c r="G1257" s="339"/>
      <c r="H1257" s="769">
        <v>0</v>
      </c>
      <c r="I1257" s="16"/>
      <c r="J1257" s="16"/>
      <c r="K1257" s="151"/>
      <c r="L1257" s="151"/>
      <c r="M1257" s="151"/>
      <c r="N1257" s="151"/>
      <c r="O1257" s="151"/>
      <c r="P1257" s="151" t="s">
        <v>2403</v>
      </c>
      <c r="Q1257" s="151"/>
      <c r="R1257" s="679">
        <v>43435</v>
      </c>
      <c r="S1257" s="151"/>
      <c r="T1257" s="151"/>
      <c r="U1257" s="208">
        <f>U38+U91+U93+U128+U234+U295+U406-92449285+26118186+U595+U596+28616850+U1100+U1244</f>
        <v>7759697443</v>
      </c>
      <c r="V1257" s="151"/>
      <c r="W1257" s="151"/>
      <c r="X1257" s="151"/>
      <c r="Y1257" s="151"/>
      <c r="Z1257" s="208">
        <f>Z324+Z567+Z576+Z1076+31999964</f>
        <v>5544608609</v>
      </c>
      <c r="AA1257" s="151"/>
      <c r="AB1257" s="208">
        <f>U1257+Z1257</f>
        <v>13304306052</v>
      </c>
      <c r="AC1257" s="151"/>
      <c r="AD1257" s="151"/>
      <c r="AE1257" s="151"/>
      <c r="AF1257" s="151"/>
      <c r="AG1257" s="151"/>
      <c r="AH1257" s="151"/>
      <c r="AI1257" s="151"/>
      <c r="AJ1257" s="151"/>
      <c r="AK1257" s="151"/>
      <c r="AL1257" s="151"/>
      <c r="AM1257" s="151"/>
      <c r="AN1257" s="151"/>
      <c r="AO1257" s="151"/>
      <c r="AP1257" s="151"/>
      <c r="AQ1257" s="151"/>
      <c r="AR1257" s="151"/>
      <c r="AS1257" s="151"/>
      <c r="AT1257" s="151"/>
      <c r="AU1257" s="151"/>
      <c r="AV1257" s="151"/>
      <c r="AW1257" s="151"/>
      <c r="AX1257" s="151"/>
      <c r="AY1257" s="151"/>
      <c r="AZ1257" s="151"/>
      <c r="BA1257" s="151"/>
      <c r="BB1257" s="151"/>
      <c r="BC1257" s="151"/>
      <c r="BD1257" s="151"/>
      <c r="BE1257" s="151"/>
      <c r="BF1257" s="710"/>
      <c r="BG1257" s="710"/>
      <c r="BH1257" s="711"/>
    </row>
    <row r="1258" spans="1:60" ht="15.75">
      <c r="A1258" s="93"/>
      <c r="B1258" s="93"/>
      <c r="C1258" s="736" t="s">
        <v>1052</v>
      </c>
      <c r="D1258" s="735" t="e">
        <f>SUM(D1252:D1257)</f>
        <v>#REF!</v>
      </c>
      <c r="E1258" s="341"/>
      <c r="F1258" s="341"/>
      <c r="G1258" s="341"/>
      <c r="H1258" s="737">
        <f>SUBTOTAL(9,H1252:H1257)</f>
        <v>7297</v>
      </c>
      <c r="I1258" s="16"/>
      <c r="J1258" s="16"/>
      <c r="K1258" s="151"/>
      <c r="L1258" s="151"/>
      <c r="M1258" s="151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  <c r="X1258" s="151"/>
      <c r="Y1258" s="151"/>
      <c r="Z1258" s="151"/>
      <c r="AA1258" s="151"/>
      <c r="AB1258" s="295">
        <f>SUBTOTAL(9,AB1253:AB1257)</f>
        <v>75152539103</v>
      </c>
      <c r="AC1258" s="151"/>
      <c r="AD1258" s="151"/>
      <c r="AE1258" s="151"/>
      <c r="AF1258" s="151"/>
      <c r="AG1258" s="151"/>
      <c r="AH1258" s="151"/>
      <c r="AI1258" s="151"/>
      <c r="AJ1258" s="151"/>
      <c r="AK1258" s="151"/>
      <c r="AL1258" s="151"/>
      <c r="AM1258" s="151"/>
      <c r="AN1258" s="151"/>
      <c r="AO1258" s="151"/>
      <c r="AP1258" s="151"/>
      <c r="AQ1258" s="151"/>
      <c r="AR1258" s="151"/>
      <c r="AS1258" s="151"/>
      <c r="AT1258" s="151"/>
      <c r="AU1258" s="151"/>
      <c r="AV1258" s="151"/>
      <c r="AW1258" s="151"/>
      <c r="AX1258" s="151"/>
      <c r="AY1258" s="151"/>
      <c r="AZ1258" s="151"/>
      <c r="BA1258" s="151"/>
      <c r="BB1258" s="151"/>
      <c r="BC1258" s="151"/>
      <c r="BD1258" s="151"/>
      <c r="BE1258" s="151"/>
      <c r="BF1258" s="710"/>
      <c r="BG1258" s="710"/>
      <c r="BH1258" s="711"/>
    </row>
    <row r="1259" spans="1:60">
      <c r="A1259" s="93"/>
      <c r="B1259" s="93"/>
      <c r="C1259" s="151"/>
      <c r="D1259" s="16"/>
      <c r="E1259" s="16"/>
      <c r="F1259" s="16"/>
      <c r="G1259" s="16"/>
      <c r="H1259" s="16"/>
      <c r="I1259" s="16"/>
      <c r="J1259" s="16"/>
      <c r="K1259" s="151"/>
      <c r="L1259" s="151"/>
      <c r="M1259" s="151"/>
      <c r="N1259" s="151"/>
      <c r="O1259" s="151"/>
      <c r="P1259" s="151" t="s">
        <v>2404</v>
      </c>
      <c r="Q1259" s="151"/>
      <c r="R1259" s="679" t="s">
        <v>2402</v>
      </c>
      <c r="S1259" s="151"/>
      <c r="T1259" s="151"/>
      <c r="U1259" s="151">
        <f>0</f>
        <v>0</v>
      </c>
      <c r="V1259" s="151"/>
      <c r="W1259" s="151"/>
      <c r="X1259" s="151"/>
      <c r="Y1259" s="151"/>
      <c r="Z1259" s="208">
        <f>Z57+Z315+3559595462+Z393+Z394+Z398+Z734+Z736+Z1051</f>
        <v>3713223022</v>
      </c>
      <c r="AA1259" s="151"/>
      <c r="AB1259" s="208">
        <f>U1259+Z1259</f>
        <v>3713223022</v>
      </c>
      <c r="AC1259" s="151"/>
      <c r="AD1259" s="151"/>
      <c r="AE1259" s="151"/>
      <c r="AF1259" s="151"/>
      <c r="AG1259" s="151"/>
      <c r="AH1259" s="151"/>
      <c r="AI1259" s="151"/>
      <c r="AJ1259" s="151"/>
      <c r="AK1259" s="151"/>
      <c r="AL1259" s="151"/>
      <c r="AM1259" s="151"/>
      <c r="AN1259" s="151"/>
      <c r="AO1259" s="151"/>
      <c r="AP1259" s="151"/>
      <c r="AQ1259" s="151"/>
      <c r="AR1259" s="151"/>
      <c r="AS1259" s="151"/>
      <c r="AT1259" s="151"/>
      <c r="AU1259" s="151"/>
      <c r="AV1259" s="151"/>
      <c r="AW1259" s="151"/>
      <c r="AX1259" s="151"/>
      <c r="AY1259" s="151"/>
      <c r="AZ1259" s="151"/>
      <c r="BA1259" s="151"/>
      <c r="BB1259" s="151"/>
      <c r="BC1259" s="151"/>
      <c r="BD1259" s="151"/>
      <c r="BE1259" s="151"/>
      <c r="BF1259" s="710"/>
      <c r="BG1259" s="710"/>
      <c r="BH1259" s="711"/>
    </row>
    <row r="1260" spans="1:60" ht="15.75">
      <c r="A1260" s="93"/>
      <c r="B1260" s="93"/>
      <c r="C1260" s="750" t="s">
        <v>2437</v>
      </c>
      <c r="D1260" s="751"/>
      <c r="E1260" s="751"/>
      <c r="F1260" s="751"/>
      <c r="G1260" s="751"/>
      <c r="H1260" s="751"/>
      <c r="I1260" s="16"/>
      <c r="J1260" s="16"/>
      <c r="K1260" s="151"/>
      <c r="L1260" s="151"/>
      <c r="M1260" s="151"/>
      <c r="N1260" s="151"/>
      <c r="O1260" s="151"/>
      <c r="P1260" s="151" t="s">
        <v>2404</v>
      </c>
      <c r="Q1260" s="151"/>
      <c r="R1260" s="151" t="s">
        <v>2401</v>
      </c>
      <c r="S1260" s="151"/>
      <c r="T1260" s="151"/>
      <c r="U1260" s="208">
        <f>U36+U81+U88+361828414</f>
        <v>9090046140</v>
      </c>
      <c r="V1260" s="151"/>
      <c r="W1260" s="151"/>
      <c r="X1260" s="151"/>
      <c r="Y1260" s="151"/>
      <c r="Z1260" s="151"/>
      <c r="AA1260" s="151"/>
      <c r="AB1260" s="208">
        <f>U1260+Z1260</f>
        <v>9090046140</v>
      </c>
      <c r="AC1260" s="151"/>
      <c r="AD1260" s="151"/>
      <c r="AE1260" s="151"/>
      <c r="AF1260" s="151"/>
      <c r="AG1260" s="151"/>
      <c r="AH1260" s="151"/>
      <c r="AI1260" s="151"/>
      <c r="AJ1260" s="151"/>
      <c r="AK1260" s="151"/>
      <c r="AL1260" s="151"/>
      <c r="AM1260" s="151"/>
      <c r="AN1260" s="151"/>
      <c r="AO1260" s="151"/>
      <c r="AP1260" s="151"/>
      <c r="AQ1260" s="151"/>
      <c r="AR1260" s="151"/>
      <c r="AS1260" s="151"/>
      <c r="AT1260" s="151"/>
      <c r="AU1260" s="151"/>
      <c r="AV1260" s="151"/>
      <c r="AW1260" s="151"/>
      <c r="AX1260" s="151"/>
      <c r="AY1260" s="151"/>
      <c r="AZ1260" s="151"/>
      <c r="BA1260" s="151"/>
      <c r="BB1260" s="151"/>
      <c r="BC1260" s="151"/>
      <c r="BD1260" s="151"/>
      <c r="BE1260" s="151"/>
      <c r="BF1260" s="710"/>
      <c r="BG1260" s="710"/>
      <c r="BH1260" s="711"/>
    </row>
    <row r="1261" spans="1:60">
      <c r="A1261" s="93"/>
      <c r="B1261" s="93"/>
      <c r="C1261" s="37" t="s">
        <v>521</v>
      </c>
      <c r="D1261" s="40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E1261" s="338"/>
      <c r="F1261" s="338"/>
      <c r="G1261" s="338"/>
      <c r="H1261" s="769">
        <f>AN59+AN87+AN185+AN297+AN371+AN411+AN412+AN447+AN448+AN503+AN572+AN581+AN644+AN680+AN683+AN722+AN731+AN732+AN750+AN765+AN827+AN845+AN850+AN851+AN892+AN961</f>
        <v>191</v>
      </c>
      <c r="I1261" s="16"/>
      <c r="J1261" s="16"/>
      <c r="K1261" s="151"/>
      <c r="L1261" s="151"/>
      <c r="M1261" s="151"/>
      <c r="N1261" s="151"/>
      <c r="O1261" s="151"/>
      <c r="P1261" s="151" t="s">
        <v>2404</v>
      </c>
      <c r="Q1261" s="151"/>
      <c r="R1261" s="679">
        <v>43374</v>
      </c>
      <c r="S1261" s="151"/>
      <c r="T1261" s="151"/>
      <c r="U1261" s="208">
        <f>U719</f>
        <v>3502318027</v>
      </c>
      <c r="V1261" s="151"/>
      <c r="W1261" s="151"/>
      <c r="X1261" s="151"/>
      <c r="Y1261" s="151"/>
      <c r="Z1261" s="151"/>
      <c r="AA1261" s="151"/>
      <c r="AB1261" s="208">
        <f>U1261+Z1261</f>
        <v>3502318027</v>
      </c>
      <c r="AC1261" s="151"/>
      <c r="AD1261" s="151"/>
      <c r="AE1261" s="151"/>
      <c r="AF1261" s="151"/>
      <c r="AG1261" s="151"/>
      <c r="AH1261" s="151"/>
      <c r="AI1261" s="151"/>
      <c r="AJ1261" s="151"/>
      <c r="AK1261" s="151"/>
      <c r="AL1261" s="151"/>
      <c r="AM1261" s="151"/>
      <c r="AN1261" s="151"/>
      <c r="AO1261" s="151"/>
      <c r="AP1261" s="151"/>
      <c r="AQ1261" s="151"/>
      <c r="AR1261" s="151"/>
      <c r="AS1261" s="151"/>
      <c r="AT1261" s="151"/>
      <c r="AU1261" s="151"/>
      <c r="AV1261" s="151"/>
      <c r="AW1261" s="151"/>
      <c r="AX1261" s="151"/>
      <c r="AY1261" s="151"/>
      <c r="AZ1261" s="151"/>
      <c r="BA1261" s="151"/>
      <c r="BB1261" s="151"/>
      <c r="BC1261" s="151"/>
      <c r="BD1261" s="151"/>
      <c r="BE1261" s="151"/>
      <c r="BF1261" s="710"/>
      <c r="BG1261" s="710"/>
      <c r="BH1261" s="711"/>
    </row>
    <row r="1262" spans="1:60">
      <c r="A1262" s="93"/>
      <c r="B1262" s="93"/>
      <c r="C1262" s="37" t="s">
        <v>38</v>
      </c>
      <c r="D1262" s="41" t="e">
        <f>#REF!+#REF!+#REF!+#REF!+#REF!+#REF!+#REF!+#REF!+#REF!+#REF!+#REF!+#REF!+#REF!+#REF!</f>
        <v>#REF!</v>
      </c>
      <c r="E1262" s="339"/>
      <c r="F1262" s="339"/>
      <c r="G1262" s="339"/>
      <c r="H1262" s="769">
        <v>0</v>
      </c>
      <c r="I1262" s="16"/>
      <c r="J1262" s="16"/>
      <c r="K1262" s="151"/>
      <c r="L1262" s="151"/>
      <c r="M1262" s="151"/>
      <c r="N1262" s="151"/>
      <c r="O1262" s="151"/>
      <c r="P1262" s="151" t="s">
        <v>2404</v>
      </c>
      <c r="Q1262" s="151"/>
      <c r="R1262" s="679">
        <v>43405</v>
      </c>
      <c r="S1262" s="151"/>
      <c r="T1262" s="151"/>
      <c r="U1262" s="208">
        <f>U1103</f>
        <v>26232513</v>
      </c>
      <c r="V1262" s="151"/>
      <c r="W1262" s="151"/>
      <c r="X1262" s="151"/>
      <c r="Y1262" s="151"/>
      <c r="Z1262" s="151"/>
      <c r="AA1262" s="151"/>
      <c r="AB1262" s="208">
        <f>U1262+Z1262</f>
        <v>26232513</v>
      </c>
      <c r="AC1262" s="151"/>
      <c r="AD1262" s="151"/>
      <c r="AE1262" s="151"/>
      <c r="AF1262" s="151"/>
      <c r="AG1262" s="151"/>
      <c r="AH1262" s="151"/>
      <c r="AI1262" s="151"/>
      <c r="AJ1262" s="151"/>
      <c r="AK1262" s="151"/>
      <c r="AL1262" s="151"/>
      <c r="AM1262" s="151"/>
      <c r="AN1262" s="151"/>
      <c r="AO1262" s="151"/>
      <c r="AP1262" s="151"/>
      <c r="AQ1262" s="151"/>
      <c r="AR1262" s="151"/>
      <c r="AS1262" s="151"/>
      <c r="AT1262" s="151"/>
      <c r="AU1262" s="151"/>
      <c r="AV1262" s="151"/>
      <c r="AW1262" s="151"/>
      <c r="AX1262" s="151"/>
      <c r="AY1262" s="151"/>
      <c r="AZ1262" s="151"/>
      <c r="BA1262" s="151"/>
      <c r="BB1262" s="151"/>
      <c r="BC1262" s="151"/>
      <c r="BD1262" s="151"/>
      <c r="BE1262" s="151"/>
      <c r="BF1262" s="710"/>
      <c r="BG1262" s="710"/>
      <c r="BH1262" s="711"/>
    </row>
    <row r="1263" spans="1:60">
      <c r="A1263" s="93"/>
      <c r="B1263" s="93"/>
      <c r="C1263" s="37" t="s">
        <v>646</v>
      </c>
      <c r="D1263" s="41" t="e">
        <f>#REF!+#REF!+#REF!+#REF!+#REF!+#REF!+#REF!+#REF!+#REF!+#REF!</f>
        <v>#REF!</v>
      </c>
      <c r="E1263" s="339"/>
      <c r="F1263" s="339"/>
      <c r="G1263" s="339"/>
      <c r="H1263" s="769">
        <v>0</v>
      </c>
      <c r="I1263" s="16"/>
      <c r="J1263" s="16"/>
      <c r="K1263" s="151"/>
      <c r="L1263" s="151"/>
      <c r="M1263" s="151"/>
      <c r="N1263" s="151"/>
      <c r="O1263" s="151"/>
      <c r="P1263" s="151" t="s">
        <v>2404</v>
      </c>
      <c r="Q1263" s="151"/>
      <c r="R1263" s="679">
        <v>43435</v>
      </c>
      <c r="S1263" s="151"/>
      <c r="T1263" s="151"/>
      <c r="U1263" s="208">
        <f>U666</f>
        <v>3161969769</v>
      </c>
      <c r="V1263" s="151"/>
      <c r="W1263" s="151"/>
      <c r="X1263" s="151"/>
      <c r="Y1263" s="151"/>
      <c r="Z1263" s="151"/>
      <c r="AA1263" s="151"/>
      <c r="AB1263" s="208">
        <f>U1263+Z1263</f>
        <v>3161969769</v>
      </c>
      <c r="AC1263" s="151"/>
      <c r="AD1263" s="151"/>
      <c r="AE1263" s="151"/>
      <c r="AF1263" s="151"/>
      <c r="AG1263" s="151"/>
      <c r="AH1263" s="151"/>
      <c r="AI1263" s="151"/>
      <c r="AJ1263" s="151"/>
      <c r="AK1263" s="151"/>
      <c r="AL1263" s="151"/>
      <c r="AM1263" s="151"/>
      <c r="AN1263" s="151"/>
      <c r="AO1263" s="151"/>
      <c r="AP1263" s="151"/>
      <c r="AQ1263" s="151"/>
      <c r="AR1263" s="151"/>
      <c r="AS1263" s="151"/>
      <c r="AT1263" s="151"/>
      <c r="AU1263" s="151"/>
      <c r="AV1263" s="151"/>
      <c r="AW1263" s="151"/>
      <c r="AX1263" s="151"/>
      <c r="AY1263" s="151"/>
      <c r="AZ1263" s="151"/>
      <c r="BA1263" s="151"/>
      <c r="BB1263" s="151"/>
      <c r="BC1263" s="151"/>
      <c r="BD1263" s="151"/>
      <c r="BE1263" s="151"/>
      <c r="BF1263" s="710"/>
      <c r="BG1263" s="710"/>
      <c r="BH1263" s="711"/>
    </row>
    <row r="1264" spans="1:60">
      <c r="A1264" s="93"/>
      <c r="B1264" s="93"/>
      <c r="C1264" s="37" t="s">
        <v>942</v>
      </c>
      <c r="D1264" s="41" t="e">
        <f>#REF!+#REF!+#REF!+#REF!+#REF!+#REF!+#REF!+#REF!+#REF!+#REF!+#REF!+#REF!+#REF!+#REF!+#REF!+#REF!+#REF!+#REF!+#REF!+#REF!+#REF!+#REF!+#REF!+#REF!</f>
        <v>#REF!</v>
      </c>
      <c r="E1264" s="339"/>
      <c r="F1264" s="339"/>
      <c r="G1264" s="339"/>
      <c r="H1264" s="769">
        <f>AQ32+AQ209+AQ225+AQ226+AQ284+AQ364+AQ547+AQ592+AQ593+AQ639+AQ687+AQ688+AQ718</f>
        <v>450</v>
      </c>
      <c r="I1264" s="16"/>
      <c r="J1264" s="16"/>
      <c r="K1264" s="151"/>
      <c r="L1264" s="151"/>
      <c r="M1264" s="151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  <c r="X1264" s="151"/>
      <c r="Y1264" s="151"/>
      <c r="Z1264" s="151"/>
      <c r="AA1264" s="151"/>
      <c r="AB1264" s="295">
        <f>SUBTOTAL(9,AB1259:AB1263)</f>
        <v>19493789471</v>
      </c>
      <c r="AC1264" s="151"/>
      <c r="AD1264" s="151"/>
      <c r="AE1264" s="151"/>
      <c r="AF1264" s="151"/>
      <c r="AG1264" s="151"/>
      <c r="AH1264" s="151"/>
      <c r="AI1264" s="151"/>
      <c r="AJ1264" s="151"/>
      <c r="AK1264" s="151"/>
      <c r="AL1264" s="151"/>
      <c r="AM1264" s="151"/>
      <c r="AN1264" s="151"/>
      <c r="AO1264" s="151"/>
      <c r="AP1264" s="151"/>
      <c r="AQ1264" s="151"/>
      <c r="AR1264" s="151"/>
      <c r="AS1264" s="151"/>
      <c r="AT1264" s="151"/>
      <c r="AU1264" s="151"/>
      <c r="AV1264" s="151"/>
      <c r="AW1264" s="151"/>
      <c r="AX1264" s="151"/>
      <c r="AY1264" s="151"/>
      <c r="AZ1264" s="151"/>
      <c r="BA1264" s="151"/>
      <c r="BB1264" s="151"/>
      <c r="BC1264" s="151"/>
      <c r="BD1264" s="151"/>
      <c r="BE1264" s="151"/>
      <c r="BF1264" s="710"/>
      <c r="BG1264" s="710"/>
      <c r="BH1264" s="711"/>
    </row>
    <row r="1265" spans="1:60">
      <c r="A1265" s="93"/>
      <c r="B1265" s="93"/>
      <c r="C1265" s="37" t="s">
        <v>986</v>
      </c>
      <c r="D1265" s="41" t="e">
        <f>#REF!+#REF!</f>
        <v>#REF!</v>
      </c>
      <c r="E1265" s="339"/>
      <c r="F1265" s="339"/>
      <c r="G1265" s="339"/>
      <c r="H1265" s="769">
        <f>AR155+AR363+AR369+AR692</f>
        <v>104</v>
      </c>
      <c r="I1265" s="16"/>
      <c r="J1265" s="16"/>
      <c r="K1265" s="151"/>
      <c r="L1265" s="151"/>
      <c r="M1265" s="151"/>
      <c r="N1265" s="151"/>
      <c r="O1265" s="151"/>
      <c r="P1265" s="151" t="s">
        <v>2405</v>
      </c>
      <c r="Q1265" s="151"/>
      <c r="R1265" s="679">
        <v>43435</v>
      </c>
      <c r="S1265" s="151"/>
      <c r="T1265" s="151"/>
      <c r="U1265" s="208">
        <f>U416+U599</f>
        <v>2212339760</v>
      </c>
      <c r="V1265" s="151"/>
      <c r="W1265" s="151"/>
      <c r="X1265" s="151"/>
      <c r="Y1265" s="151"/>
      <c r="Z1265" s="151"/>
      <c r="AA1265" s="151"/>
      <c r="AB1265" s="684">
        <f>U1265+Z1265</f>
        <v>2212339760</v>
      </c>
      <c r="AC1265" s="151"/>
      <c r="AD1265" s="151"/>
      <c r="AE1265" s="151"/>
      <c r="AF1265" s="151"/>
      <c r="AG1265" s="151"/>
      <c r="AH1265" s="151"/>
      <c r="AI1265" s="151"/>
      <c r="AJ1265" s="151"/>
      <c r="AK1265" s="151"/>
      <c r="AL1265" s="151"/>
      <c r="AM1265" s="151"/>
      <c r="AN1265" s="151"/>
      <c r="AO1265" s="151"/>
      <c r="AP1265" s="151"/>
      <c r="AQ1265" s="151"/>
      <c r="AR1265" s="151"/>
      <c r="AS1265" s="151"/>
      <c r="AT1265" s="151"/>
      <c r="AU1265" s="151"/>
      <c r="AV1265" s="151"/>
      <c r="AW1265" s="151"/>
      <c r="AX1265" s="151"/>
      <c r="AY1265" s="151"/>
      <c r="AZ1265" s="151"/>
      <c r="BA1265" s="151"/>
      <c r="BB1265" s="151"/>
      <c r="BC1265" s="151"/>
      <c r="BD1265" s="151"/>
      <c r="BE1265" s="151"/>
      <c r="BF1265" s="710"/>
      <c r="BG1265" s="710"/>
      <c r="BH1265" s="711"/>
    </row>
    <row r="1266" spans="1:60">
      <c r="A1266" s="93"/>
      <c r="B1266" s="93"/>
      <c r="C1266" s="37" t="s">
        <v>687</v>
      </c>
      <c r="D1266" s="732"/>
      <c r="E1266" s="339"/>
      <c r="F1266" s="339"/>
      <c r="G1266" s="339"/>
      <c r="H1266" s="769">
        <f>AS89+AS157+AS158+AS172+AS181+AS230+AS272+AS1097+AS709</f>
        <v>13</v>
      </c>
      <c r="I1266" s="16"/>
      <c r="J1266" s="16"/>
      <c r="K1266" s="151"/>
      <c r="L1266" s="151"/>
      <c r="M1266" s="151"/>
      <c r="N1266" s="151"/>
      <c r="O1266" s="151"/>
      <c r="P1266" s="151"/>
      <c r="Q1266" s="151"/>
      <c r="R1266" s="679"/>
      <c r="S1266" s="151"/>
      <c r="T1266" s="151"/>
      <c r="U1266" s="208"/>
      <c r="V1266" s="151"/>
      <c r="W1266" s="151"/>
      <c r="X1266" s="151"/>
      <c r="Y1266" s="151"/>
      <c r="Z1266" s="151"/>
      <c r="AA1266" s="151"/>
      <c r="AB1266" s="684"/>
      <c r="AC1266" s="151"/>
      <c r="AD1266" s="151"/>
      <c r="AE1266" s="151"/>
      <c r="AF1266" s="151"/>
      <c r="AG1266" s="151"/>
      <c r="AH1266" s="151"/>
      <c r="AI1266" s="151"/>
      <c r="AJ1266" s="151"/>
      <c r="AK1266" s="151"/>
      <c r="AL1266" s="151"/>
      <c r="AM1266" s="151"/>
      <c r="AN1266" s="151"/>
      <c r="AO1266" s="151"/>
      <c r="AP1266" s="151"/>
      <c r="AQ1266" s="151"/>
      <c r="AR1266" s="151"/>
      <c r="AS1266" s="151"/>
      <c r="AT1266" s="151"/>
      <c r="AU1266" s="151"/>
      <c r="AV1266" s="151"/>
      <c r="AW1266" s="151"/>
      <c r="AX1266" s="151"/>
      <c r="AY1266" s="151"/>
      <c r="AZ1266" s="151"/>
      <c r="BA1266" s="151"/>
      <c r="BB1266" s="151"/>
      <c r="BC1266" s="151"/>
      <c r="BD1266" s="151"/>
      <c r="BE1266" s="151"/>
      <c r="BF1266" s="710"/>
      <c r="BG1266" s="710"/>
      <c r="BH1266" s="711"/>
    </row>
    <row r="1267" spans="1:60">
      <c r="A1267" s="93"/>
      <c r="B1267" s="93"/>
      <c r="C1267" s="736" t="s">
        <v>1052</v>
      </c>
      <c r="D1267" s="737" t="e">
        <f>SUM(D1261:D1265)</f>
        <v>#REF!</v>
      </c>
      <c r="E1267" s="736"/>
      <c r="F1267" s="737"/>
      <c r="G1267" s="736"/>
      <c r="H1267" s="737">
        <f>SUBTOTAL(9,H1261:H1266)</f>
        <v>758</v>
      </c>
      <c r="I1267" s="16"/>
      <c r="J1267" s="16"/>
      <c r="K1267" s="151"/>
      <c r="L1267" s="151"/>
      <c r="M1267" s="151"/>
      <c r="N1267" s="151"/>
      <c r="O1267" s="151"/>
      <c r="P1267" s="151"/>
      <c r="Q1267" s="151"/>
      <c r="R1267" s="151"/>
      <c r="S1267" s="151"/>
      <c r="T1267" s="151"/>
      <c r="U1267" s="151"/>
      <c r="V1267" s="151"/>
      <c r="W1267" s="151"/>
      <c r="X1267" s="151"/>
      <c r="Y1267" s="151"/>
      <c r="Z1267" s="151"/>
      <c r="AA1267" s="151"/>
      <c r="AB1267" s="295">
        <f>SUBTOTAL(9,AB1265)</f>
        <v>2212339760</v>
      </c>
      <c r="AC1267" s="151"/>
      <c r="AD1267" s="151"/>
      <c r="AE1267" s="151"/>
      <c r="AF1267" s="151"/>
      <c r="AG1267" s="151"/>
      <c r="AH1267" s="151"/>
      <c r="AI1267" s="151"/>
      <c r="AJ1267" s="151"/>
      <c r="AK1267" s="151"/>
      <c r="AL1267" s="151"/>
      <c r="AM1267" s="151"/>
      <c r="AN1267" s="151"/>
      <c r="AO1267" s="151"/>
      <c r="AP1267" s="151"/>
      <c r="AQ1267" s="151"/>
      <c r="AR1267" s="151"/>
      <c r="AS1267" s="151"/>
      <c r="AT1267" s="151"/>
      <c r="AU1267" s="151"/>
      <c r="AV1267" s="151"/>
      <c r="AW1267" s="151"/>
      <c r="AX1267" s="151"/>
      <c r="AY1267" s="151"/>
      <c r="AZ1267" s="151"/>
      <c r="BA1267" s="151"/>
      <c r="BB1267" s="151"/>
      <c r="BC1267" s="151"/>
      <c r="BD1267" s="151"/>
      <c r="BE1267" s="151"/>
      <c r="BF1267" s="710"/>
      <c r="BG1267" s="710"/>
      <c r="BH1267" s="711"/>
    </row>
    <row r="1268" spans="1:60" ht="15.75">
      <c r="A1268" s="93"/>
      <c r="B1268" s="93"/>
      <c r="C1268" s="342"/>
      <c r="D1268" s="341"/>
      <c r="E1268" s="341"/>
      <c r="F1268" s="341"/>
      <c r="G1268" s="341"/>
      <c r="H1268" s="16"/>
      <c r="I1268" s="16"/>
      <c r="J1268" s="16"/>
      <c r="K1268" s="151"/>
      <c r="L1268" s="151"/>
      <c r="M1268" s="151"/>
      <c r="N1268" s="151"/>
      <c r="O1268" s="151"/>
      <c r="P1268" s="151" t="s">
        <v>2408</v>
      </c>
      <c r="Q1268" s="151"/>
      <c r="R1268" s="679" t="s">
        <v>2402</v>
      </c>
      <c r="S1268" s="151"/>
      <c r="T1268" s="151"/>
      <c r="U1268" s="208">
        <f>-55716595+54703479</f>
        <v>-1013116</v>
      </c>
      <c r="V1268" s="151"/>
      <c r="W1268" s="151"/>
      <c r="X1268" s="151"/>
      <c r="Y1268" s="151"/>
      <c r="Z1268" s="151"/>
      <c r="AA1268" s="151"/>
      <c r="AB1268" s="684">
        <f>U1268+Z1268</f>
        <v>-1013116</v>
      </c>
      <c r="AC1268" s="151"/>
      <c r="AD1268" s="151"/>
      <c r="AE1268" s="151"/>
      <c r="AF1268" s="151"/>
      <c r="AG1268" s="151"/>
      <c r="AH1268" s="151"/>
      <c r="AI1268" s="151"/>
      <c r="AJ1268" s="151"/>
      <c r="AK1268" s="151"/>
      <c r="AL1268" s="151"/>
      <c r="AM1268" s="151"/>
      <c r="AN1268" s="151"/>
      <c r="AO1268" s="151"/>
      <c r="AP1268" s="151"/>
      <c r="AQ1268" s="151"/>
      <c r="AR1268" s="151"/>
      <c r="AS1268" s="151"/>
      <c r="AT1268" s="151"/>
      <c r="AU1268" s="151"/>
      <c r="AV1268" s="151"/>
      <c r="AW1268" s="151"/>
      <c r="AX1268" s="151"/>
      <c r="AY1268" s="151"/>
      <c r="AZ1268" s="151"/>
      <c r="BA1268" s="151"/>
      <c r="BB1268" s="151"/>
      <c r="BC1268" s="151"/>
      <c r="BD1268" s="151"/>
      <c r="BE1268" s="151"/>
      <c r="BF1268" s="710"/>
      <c r="BG1268" s="710"/>
      <c r="BH1268" s="711"/>
    </row>
    <row r="1269" spans="1:60" ht="15.75">
      <c r="A1269" s="93"/>
      <c r="B1269" s="93"/>
      <c r="C1269" s="342"/>
      <c r="D1269" s="341"/>
      <c r="E1269" s="341"/>
      <c r="F1269" s="341"/>
      <c r="G1269" s="341"/>
      <c r="H1269" s="16"/>
      <c r="I1269" s="16"/>
      <c r="J1269" s="16"/>
      <c r="K1269" s="151"/>
      <c r="L1269" s="151"/>
      <c r="M1269" s="151"/>
      <c r="N1269" s="151"/>
      <c r="O1269" s="151"/>
      <c r="P1269" s="151" t="s">
        <v>2408</v>
      </c>
      <c r="Q1269" s="151"/>
      <c r="R1269" s="151" t="s">
        <v>2401</v>
      </c>
      <c r="S1269" s="151"/>
      <c r="T1269" s="151"/>
      <c r="U1269" s="208">
        <f>U764</f>
        <v>61288248</v>
      </c>
      <c r="V1269" s="151"/>
      <c r="W1269" s="151"/>
      <c r="X1269" s="151"/>
      <c r="Y1269" s="151"/>
      <c r="Z1269" s="151"/>
      <c r="AA1269" s="151"/>
      <c r="AB1269" s="684">
        <f>U1269+Z1269</f>
        <v>61288248</v>
      </c>
      <c r="AC1269" s="151"/>
      <c r="AD1269" s="151"/>
      <c r="AE1269" s="151"/>
      <c r="AF1269" s="151"/>
      <c r="AG1269" s="151"/>
      <c r="AH1269" s="151"/>
      <c r="AI1269" s="151"/>
      <c r="AJ1269" s="151"/>
      <c r="AK1269" s="151"/>
      <c r="AL1269" s="151"/>
      <c r="AM1269" s="151"/>
      <c r="AN1269" s="151"/>
      <c r="AO1269" s="151"/>
      <c r="AP1269" s="151"/>
      <c r="AQ1269" s="151"/>
      <c r="AR1269" s="151"/>
      <c r="AS1269" s="151"/>
      <c r="AT1269" s="151"/>
      <c r="AU1269" s="151"/>
      <c r="AV1269" s="151"/>
      <c r="AW1269" s="151"/>
      <c r="AX1269" s="151"/>
      <c r="AY1269" s="151"/>
      <c r="AZ1269" s="151"/>
      <c r="BA1269" s="151"/>
      <c r="BB1269" s="151"/>
      <c r="BC1269" s="151"/>
      <c r="BD1269" s="151"/>
      <c r="BE1269" s="151"/>
      <c r="BF1269" s="710"/>
      <c r="BG1269" s="710"/>
      <c r="BH1269" s="711"/>
    </row>
    <row r="1270" spans="1:60" ht="15.75">
      <c r="A1270" s="93"/>
      <c r="B1270" s="93"/>
      <c r="C1270" s="342"/>
      <c r="D1270" s="341"/>
      <c r="E1270" s="341"/>
      <c r="F1270" s="341"/>
      <c r="G1270" s="341"/>
      <c r="H1270" s="16"/>
      <c r="I1270" s="16"/>
      <c r="J1270" s="16"/>
      <c r="K1270" s="151"/>
      <c r="L1270" s="151"/>
      <c r="M1270" s="151"/>
      <c r="N1270" s="151"/>
      <c r="O1270" s="151"/>
      <c r="P1270" s="151"/>
      <c r="Q1270" s="151"/>
      <c r="R1270" s="151"/>
      <c r="S1270" s="151"/>
      <c r="T1270" s="151"/>
      <c r="U1270" s="151"/>
      <c r="V1270" s="151"/>
      <c r="W1270" s="151"/>
      <c r="X1270" s="151"/>
      <c r="Y1270" s="151"/>
      <c r="Z1270" s="151"/>
      <c r="AA1270" s="151"/>
      <c r="AB1270" s="295">
        <f>SUBTOTAL(9,AB1268:AB1269)</f>
        <v>60275132</v>
      </c>
      <c r="AC1270" s="151"/>
      <c r="AD1270" s="151"/>
      <c r="AE1270" s="151"/>
      <c r="AF1270" s="151"/>
      <c r="AG1270" s="151"/>
      <c r="AH1270" s="151"/>
      <c r="AI1270" s="151"/>
      <c r="AJ1270" s="151"/>
      <c r="AK1270" s="151"/>
      <c r="AL1270" s="151"/>
      <c r="AM1270" s="151"/>
      <c r="AN1270" s="151"/>
      <c r="AO1270" s="151"/>
      <c r="AP1270" s="151"/>
      <c r="AQ1270" s="151"/>
      <c r="AR1270" s="151"/>
      <c r="AS1270" s="151"/>
      <c r="AT1270" s="151"/>
      <c r="AU1270" s="151"/>
      <c r="AV1270" s="151"/>
      <c r="AW1270" s="151"/>
      <c r="AX1270" s="151"/>
      <c r="AY1270" s="151"/>
      <c r="AZ1270" s="151"/>
      <c r="BA1270" s="151"/>
      <c r="BB1270" s="151"/>
      <c r="BC1270" s="151"/>
      <c r="BD1270" s="151"/>
      <c r="BE1270" s="151"/>
      <c r="BF1270" s="710"/>
      <c r="BG1270" s="710"/>
      <c r="BH1270" s="711"/>
    </row>
    <row r="1271" spans="1:60" ht="15.75">
      <c r="A1271" s="93"/>
      <c r="B1271" s="93"/>
      <c r="C1271" s="343"/>
      <c r="D1271" s="344"/>
      <c r="E1271" s="344"/>
      <c r="F1271" s="344"/>
      <c r="G1271" s="344"/>
      <c r="H1271" s="16"/>
      <c r="I1271" s="16"/>
      <c r="J1271" s="16"/>
      <c r="K1271" s="151"/>
      <c r="L1271" s="151"/>
      <c r="M1271" s="151"/>
      <c r="N1271" s="151"/>
      <c r="O1271" s="151"/>
      <c r="P1271" s="151"/>
      <c r="Q1271" s="151"/>
      <c r="R1271" s="208"/>
      <c r="S1271" s="151"/>
      <c r="T1271" s="151"/>
      <c r="U1271" s="304"/>
      <c r="V1271" s="151"/>
      <c r="W1271" s="151"/>
      <c r="X1271" s="151"/>
      <c r="Y1271" s="151"/>
      <c r="Z1271" s="689"/>
      <c r="AA1271" s="151"/>
      <c r="AB1271" s="151"/>
      <c r="AC1271" s="151"/>
      <c r="AD1271" s="151"/>
      <c r="AE1271" s="151"/>
      <c r="AF1271" s="295"/>
      <c r="AG1271" s="295"/>
      <c r="AH1271" s="208"/>
      <c r="AI1271" s="208"/>
      <c r="AJ1271" s="208"/>
      <c r="AK1271" s="208"/>
      <c r="AL1271" s="151"/>
      <c r="AM1271" s="151"/>
      <c r="AN1271" s="208"/>
      <c r="AO1271" s="208"/>
      <c r="AP1271" s="208"/>
      <c r="AQ1271" s="208"/>
      <c r="AR1271" s="151"/>
      <c r="AS1271" s="151"/>
      <c r="AT1271" s="151"/>
      <c r="AU1271" s="151"/>
      <c r="AV1271" s="151"/>
      <c r="AW1271" s="151"/>
      <c r="AX1271" s="151"/>
      <c r="AY1271" s="151"/>
      <c r="AZ1271" s="151"/>
      <c r="BA1271" s="151"/>
      <c r="BB1271" s="151"/>
      <c r="BC1271" s="151"/>
      <c r="BD1271" s="151"/>
      <c r="BE1271" s="151"/>
      <c r="BF1271" s="710"/>
      <c r="BG1271" s="710"/>
      <c r="BH1271" s="711"/>
    </row>
    <row r="1272" spans="1:60" ht="37.5" customHeight="1">
      <c r="A1272" s="93"/>
      <c r="B1272" s="93"/>
      <c r="C1272" s="337"/>
      <c r="D1272" s="338"/>
      <c r="E1272" s="338"/>
      <c r="F1272" s="338"/>
      <c r="G1272" s="338"/>
      <c r="H1272" s="16"/>
      <c r="I1272" s="16"/>
      <c r="J1272" s="16"/>
      <c r="K1272" s="208"/>
      <c r="L1272" s="208"/>
      <c r="M1272" s="151"/>
      <c r="N1272" s="151"/>
      <c r="O1272" s="151"/>
      <c r="P1272" s="208"/>
      <c r="Q1272" s="208"/>
      <c r="R1272" s="151"/>
      <c r="S1272" s="151"/>
      <c r="T1272" s="151"/>
      <c r="U1272" s="313" t="s">
        <v>1729</v>
      </c>
      <c r="V1272" s="151"/>
      <c r="W1272" s="151"/>
      <c r="X1272" s="151"/>
      <c r="Y1272" s="151"/>
      <c r="Z1272" s="313" t="s">
        <v>1730</v>
      </c>
      <c r="AA1272" s="151"/>
      <c r="AB1272" s="314" t="s">
        <v>1731</v>
      </c>
      <c r="AC1272" s="314"/>
      <c r="AD1272" s="208"/>
      <c r="AE1272" s="93"/>
      <c r="AF1272" s="208">
        <v>37391473410</v>
      </c>
      <c r="AG1272" s="208"/>
      <c r="AH1272" s="208" t="e">
        <f>AH1271-#REF!</f>
        <v>#REF!</v>
      </c>
      <c r="AI1272" s="208"/>
      <c r="AJ1272" s="208"/>
      <c r="AK1272" s="208"/>
      <c r="AL1272" s="151"/>
      <c r="AM1272" s="151"/>
      <c r="AN1272" s="151"/>
      <c r="AO1272" s="151"/>
      <c r="AP1272" s="208">
        <f>AP1271-AP1247</f>
        <v>-2397</v>
      </c>
      <c r="AQ1272" s="151">
        <v>354</v>
      </c>
      <c r="AR1272" s="151">
        <f>354-382</f>
        <v>-28</v>
      </c>
      <c r="AS1272" s="151"/>
      <c r="AT1272" s="151"/>
      <c r="AU1272" s="208">
        <f>AN435-415</f>
        <v>-178</v>
      </c>
      <c r="AV1272" s="208"/>
      <c r="AW1272" s="151"/>
      <c r="AX1272" s="151"/>
      <c r="AY1272" s="151"/>
      <c r="AZ1272" s="151"/>
      <c r="BA1272" s="151"/>
      <c r="BB1272" s="151"/>
      <c r="BC1272" s="151"/>
      <c r="BD1272" s="151"/>
      <c r="BE1272" s="151"/>
      <c r="BF1272" s="710"/>
      <c r="BG1272" s="710"/>
      <c r="BH1272" s="711"/>
    </row>
    <row r="1273" spans="1:60">
      <c r="A1273" s="93" t="s">
        <v>1721</v>
      </c>
      <c r="B1273" s="93"/>
      <c r="C1273" s="337"/>
      <c r="D1273" s="339"/>
      <c r="E1273" s="339"/>
      <c r="F1273" s="339"/>
      <c r="G1273" s="339"/>
      <c r="H1273" s="16"/>
      <c r="I1273" s="16"/>
      <c r="J1273" s="16"/>
      <c r="K1273" s="151"/>
      <c r="L1273" s="151"/>
      <c r="M1273" s="151"/>
      <c r="N1273" s="151"/>
      <c r="O1273" s="151"/>
      <c r="P1273" s="151"/>
      <c r="Q1273" s="151"/>
      <c r="R1273" s="303"/>
      <c r="S1273" s="151"/>
      <c r="T1273" s="151"/>
      <c r="U1273" s="208">
        <f>2423845500+U130+U131+U235+U236+U237+U296+U331+U333+U334+U335+U415+U591+U594+U597+U600+U642+U643+U693+U834+U840+U857+U1101+U1164+U1165</f>
        <v>22779766647</v>
      </c>
      <c r="V1273" s="151"/>
      <c r="W1273" s="151"/>
      <c r="X1273" s="151"/>
      <c r="Y1273" s="151"/>
      <c r="Z1273" s="208">
        <f>Z80+Z81+Z88+Z125+Z129+Z232+Z325+Z326+Z443+Z573+Z575+Z582+Z583+Z745+Z1025+Z1142</f>
        <v>16101646658</v>
      </c>
      <c r="AA1273" s="151"/>
      <c r="AB1273" s="427">
        <f>U1273+Z1273</f>
        <v>38881413305</v>
      </c>
      <c r="AC1273" s="427"/>
      <c r="AD1273" s="282" t="s">
        <v>1548</v>
      </c>
      <c r="AE1273" s="151"/>
      <c r="AF1273" s="295">
        <v>37421476410</v>
      </c>
      <c r="AG1273" s="295"/>
      <c r="AH1273" s="295"/>
      <c r="AI1273" s="295"/>
      <c r="AJ1273" s="295"/>
      <c r="AK1273" s="295"/>
      <c r="AL1273" s="151"/>
      <c r="AM1273" s="151"/>
      <c r="AN1273" s="151"/>
      <c r="AO1273" s="151"/>
      <c r="AP1273" s="151"/>
      <c r="AQ1273" s="151"/>
      <c r="AR1273" s="151"/>
      <c r="AS1273" s="151"/>
      <c r="AT1273" s="151"/>
      <c r="AU1273" s="151"/>
      <c r="AV1273" s="151"/>
      <c r="AW1273" s="151"/>
      <c r="AX1273" s="151"/>
      <c r="AY1273" s="151"/>
      <c r="AZ1273" s="151"/>
      <c r="BA1273" s="151"/>
      <c r="BB1273" s="151"/>
      <c r="BC1273" s="151"/>
      <c r="BD1273" s="151"/>
      <c r="BE1273" s="151"/>
      <c r="BF1273" s="710"/>
      <c r="BG1273" s="710"/>
      <c r="BH1273" s="711"/>
    </row>
    <row r="1274" spans="1:60">
      <c r="A1274" s="93" t="s">
        <v>1719</v>
      </c>
      <c r="B1274" s="93"/>
      <c r="C1274" s="337"/>
      <c r="D1274" s="339"/>
      <c r="E1274" s="339"/>
      <c r="F1274" s="339"/>
      <c r="G1274" s="339"/>
      <c r="H1274" s="16"/>
      <c r="I1274" s="16"/>
      <c r="J1274" s="16"/>
      <c r="K1274" s="151"/>
      <c r="L1274" s="151"/>
      <c r="M1274" s="151"/>
      <c r="N1274" s="151"/>
      <c r="O1274" s="151"/>
      <c r="P1274" s="151"/>
      <c r="Q1274" s="151"/>
      <c r="R1274" s="303"/>
      <c r="S1274" s="151"/>
      <c r="T1274" s="151"/>
      <c r="U1274" s="208">
        <f>U92+U97+U161+U721</f>
        <v>9162059716</v>
      </c>
      <c r="V1274" s="151"/>
      <c r="W1274" s="151"/>
      <c r="X1274" s="151"/>
      <c r="Y1274" s="151"/>
      <c r="Z1274" s="208">
        <f>Z85+Z160+Z231+Z234+1192171801+Z348+Z461+Z571+Z663+Z668+Z669+Z718</f>
        <v>9238902401</v>
      </c>
      <c r="AA1274" s="151"/>
      <c r="AB1274" s="427">
        <f t="shared" ref="AB1274:AB1283" si="285">U1274+Z1274</f>
        <v>18400962117</v>
      </c>
      <c r="AC1274" s="427"/>
      <c r="AD1274" s="208"/>
      <c r="AE1274" s="151"/>
      <c r="AF1274" s="208">
        <f>+AF1273-AF1272</f>
        <v>30003000</v>
      </c>
      <c r="AG1274" s="208"/>
      <c r="AH1274" s="208"/>
      <c r="AI1274" s="208"/>
      <c r="AJ1274" s="208"/>
      <c r="AK1274" s="208"/>
      <c r="AL1274" s="151"/>
      <c r="AM1274" s="151"/>
      <c r="AN1274" s="151"/>
      <c r="AO1274" s="151"/>
      <c r="AP1274" s="151"/>
      <c r="AQ1274" s="151"/>
      <c r="AR1274" s="151"/>
      <c r="AS1274" s="151"/>
      <c r="AT1274" s="151"/>
      <c r="AU1274" s="151"/>
      <c r="AV1274" s="151"/>
      <c r="AW1274" s="151"/>
      <c r="AX1274" s="151"/>
      <c r="AY1274" s="151"/>
      <c r="AZ1274" s="151"/>
      <c r="BA1274" s="151"/>
      <c r="BB1274" s="151"/>
      <c r="BC1274" s="151"/>
      <c r="BD1274" s="151"/>
      <c r="BE1274" s="151"/>
      <c r="BF1274" s="710"/>
      <c r="BG1274" s="710"/>
      <c r="BH1274" s="711"/>
    </row>
    <row r="1275" spans="1:60">
      <c r="A1275" s="93" t="s">
        <v>1720</v>
      </c>
      <c r="B1275" s="93"/>
      <c r="C1275" s="337"/>
      <c r="D1275" s="339"/>
      <c r="E1275" s="339"/>
      <c r="F1275" s="339"/>
      <c r="G1275" s="339"/>
      <c r="H1275" s="16"/>
      <c r="I1275" s="16"/>
      <c r="J1275" s="16"/>
      <c r="K1275" s="151"/>
      <c r="L1275" s="151"/>
      <c r="M1275" s="151"/>
      <c r="N1275" s="151"/>
      <c r="O1275" s="151"/>
      <c r="P1275" s="151"/>
      <c r="Q1275" s="151"/>
      <c r="R1275" s="151"/>
      <c r="S1275" s="151"/>
      <c r="T1275" s="151"/>
      <c r="U1275" s="208">
        <f>U42+U241+U244+U601+U674</f>
        <v>7673651471</v>
      </c>
      <c r="V1275" s="151"/>
      <c r="W1275" s="151"/>
      <c r="X1275" s="151"/>
      <c r="Y1275" s="151"/>
      <c r="Z1275" s="208">
        <f>Z82+Z86+Z128+Z370+Z584+Z585+Z588</f>
        <v>20572850031</v>
      </c>
      <c r="AA1275" s="151"/>
      <c r="AB1275" s="427">
        <f t="shared" si="285"/>
        <v>28246501502</v>
      </c>
      <c r="AC1275" s="427"/>
      <c r="AD1275" s="208"/>
      <c r="AE1275" s="151"/>
      <c r="AF1275" s="208"/>
      <c r="AG1275" s="208"/>
      <c r="AH1275" s="208"/>
      <c r="AI1275" s="208"/>
      <c r="AJ1275" s="208"/>
      <c r="AK1275" s="208"/>
      <c r="AL1275" s="151"/>
      <c r="AM1275" s="151"/>
      <c r="AN1275" s="151"/>
      <c r="AO1275" s="151"/>
      <c r="AP1275" s="151"/>
      <c r="AQ1275" s="151"/>
      <c r="AR1275" s="151"/>
      <c r="AS1275" s="151"/>
      <c r="AT1275" s="151"/>
      <c r="AU1275" s="151"/>
      <c r="AV1275" s="151"/>
      <c r="AW1275" s="151"/>
      <c r="AX1275" s="151"/>
      <c r="AY1275" s="151"/>
      <c r="AZ1275" s="151"/>
      <c r="BA1275" s="151"/>
      <c r="BB1275" s="151"/>
      <c r="BC1275" s="151"/>
      <c r="BD1275" s="151"/>
      <c r="BE1275" s="151"/>
      <c r="BF1275" s="710"/>
      <c r="BG1275" s="710"/>
      <c r="BH1275" s="711"/>
    </row>
    <row r="1276" spans="1:60" ht="15.75">
      <c r="A1276" s="93" t="s">
        <v>1722</v>
      </c>
      <c r="B1276" s="93"/>
      <c r="C1276" s="340"/>
      <c r="D1276" s="341"/>
      <c r="E1276" s="341"/>
      <c r="F1276" s="341"/>
      <c r="G1276" s="341"/>
      <c r="H1276" s="16"/>
      <c r="I1276" s="16"/>
      <c r="J1276" s="16"/>
      <c r="K1276" s="151"/>
      <c r="L1276" s="151"/>
      <c r="M1276" s="151"/>
      <c r="N1276" s="151"/>
      <c r="O1276" s="151"/>
      <c r="P1276" s="151"/>
      <c r="Q1276" s="151"/>
      <c r="R1276" s="151"/>
      <c r="S1276" s="151"/>
      <c r="T1276" s="151"/>
      <c r="U1276" s="208">
        <f>U45+U77+U95+U242+U372+U373+U602+U604+U605+U673+U759+61288248+U1091+U1095+U1152+U1157+U1159+U1160</f>
        <v>17608332860</v>
      </c>
      <c r="V1276" s="151"/>
      <c r="W1276" s="151"/>
      <c r="X1276" s="151"/>
      <c r="Y1276" s="151"/>
      <c r="Z1276" s="208">
        <f>Z90+Z93+Z94+Z295+Z322+Z330+Z530+Z566+Z595+Z643+Z670+Z1098</f>
        <v>12902530860</v>
      </c>
      <c r="AA1276" s="151"/>
      <c r="AB1276" s="427">
        <f t="shared" si="285"/>
        <v>30510863720</v>
      </c>
      <c r="AC1276" s="427"/>
      <c r="AD1276" s="151"/>
      <c r="AE1276" s="151"/>
      <c r="AF1276" s="208"/>
      <c r="AG1276" s="208"/>
      <c r="AH1276" s="208"/>
      <c r="AI1276" s="208"/>
      <c r="AJ1276" s="208"/>
      <c r="AK1276" s="208"/>
      <c r="AL1276" s="151"/>
      <c r="AM1276" s="151"/>
      <c r="AN1276" s="151"/>
      <c r="AO1276" s="151"/>
      <c r="AP1276" s="151"/>
      <c r="AQ1276" s="151"/>
      <c r="AR1276" s="151"/>
      <c r="AS1276" s="151"/>
      <c r="AT1276" s="151"/>
      <c r="AU1276" s="151"/>
      <c r="AV1276" s="151"/>
      <c r="AW1276" s="151"/>
      <c r="AX1276" s="151"/>
      <c r="AY1276" s="151"/>
      <c r="AZ1276" s="151"/>
      <c r="BA1276" s="151"/>
      <c r="BB1276" s="151"/>
      <c r="BC1276" s="151"/>
      <c r="BD1276" s="151"/>
      <c r="BE1276" s="151"/>
      <c r="BF1276" s="710"/>
      <c r="BG1276" s="208"/>
      <c r="BH1276" s="711"/>
    </row>
    <row r="1277" spans="1:60">
      <c r="A1277" s="93" t="s">
        <v>1723</v>
      </c>
      <c r="B1277" s="93"/>
      <c r="C1277" s="151"/>
      <c r="D1277" s="26"/>
      <c r="E1277" s="26"/>
      <c r="F1277" s="26"/>
      <c r="G1277" s="26"/>
      <c r="H1277" s="16"/>
      <c r="I1277" s="16"/>
      <c r="J1277" s="16"/>
      <c r="K1277" s="151"/>
      <c r="L1277" s="151"/>
      <c r="M1277" s="151"/>
      <c r="N1277" s="151"/>
      <c r="O1277" s="151"/>
      <c r="P1277" s="151"/>
      <c r="Q1277" s="151"/>
      <c r="R1277" s="151"/>
      <c r="S1277" s="151"/>
      <c r="T1277" s="151"/>
      <c r="U1277" s="208">
        <f>U671+69314090+U855+U856+74651266</f>
        <v>2999524684</v>
      </c>
      <c r="V1277" s="151"/>
      <c r="W1277" s="151"/>
      <c r="X1277" s="151"/>
      <c r="Y1277" s="151"/>
      <c r="Z1277" s="208">
        <f>Z38+Z130+Z236+Z296+Z327+Z333+Z594+Z596+Z600+Z749+Z1115</f>
        <v>7956669463</v>
      </c>
      <c r="AA1277" s="151"/>
      <c r="AB1277" s="427">
        <f t="shared" si="285"/>
        <v>10956194147</v>
      </c>
      <c r="AC1277" s="427"/>
      <c r="AD1277" s="208"/>
      <c r="AE1277" s="151"/>
      <c r="AF1277" s="208"/>
      <c r="AG1277" s="208"/>
      <c r="AH1277" s="151"/>
      <c r="AI1277" s="151"/>
      <c r="AJ1277" s="151"/>
      <c r="AK1277" s="151"/>
      <c r="AL1277" s="151"/>
      <c r="AM1277" s="151"/>
      <c r="AN1277" s="151"/>
      <c r="AO1277" s="151"/>
      <c r="AP1277" s="151"/>
      <c r="AQ1277" s="151"/>
      <c r="AR1277" s="151"/>
      <c r="AS1277" s="151"/>
      <c r="AT1277" s="151"/>
      <c r="AU1277" s="151"/>
      <c r="AV1277" s="151"/>
      <c r="AW1277" s="151"/>
      <c r="AX1277" s="151"/>
      <c r="AY1277" s="151"/>
      <c r="AZ1277" s="151"/>
      <c r="BA1277" s="151"/>
      <c r="BB1277" s="151"/>
      <c r="BC1277" s="151"/>
      <c r="BD1277" s="151"/>
      <c r="BE1277" s="151"/>
      <c r="BF1277" s="710"/>
      <c r="BG1277" s="710"/>
      <c r="BH1277" s="711"/>
    </row>
    <row r="1278" spans="1:60" ht="15.75">
      <c r="A1278" s="93" t="s">
        <v>1724</v>
      </c>
      <c r="B1278" s="93"/>
      <c r="C1278" s="343"/>
      <c r="D1278" s="344"/>
      <c r="E1278" s="344"/>
      <c r="F1278" s="344"/>
      <c r="G1278" s="344"/>
      <c r="H1278" s="16"/>
      <c r="I1278" s="16"/>
      <c r="J1278" s="16"/>
      <c r="K1278" s="151"/>
      <c r="L1278" s="151"/>
      <c r="M1278" s="151"/>
      <c r="N1278" s="151"/>
      <c r="O1278" s="151"/>
      <c r="P1278" s="151"/>
      <c r="Q1278" s="151"/>
      <c r="R1278" s="151"/>
      <c r="S1278" s="151"/>
      <c r="T1278" s="151"/>
      <c r="U1278" s="208">
        <f>-2177464950+U243+U1090+80277356+U1150+U1154</f>
        <v>-1854785068</v>
      </c>
      <c r="V1278" s="151"/>
      <c r="W1278" s="151"/>
      <c r="X1278" s="151"/>
      <c r="Y1278" s="151"/>
      <c r="Z1278" s="208">
        <f>Z131+Z161+Z235+Z237+Z244+Z328+Z335+Z591+Z597+Z601+Z667</f>
        <v>10625643908</v>
      </c>
      <c r="AA1278" s="151"/>
      <c r="AB1278" s="427">
        <f t="shared" si="285"/>
        <v>8770858840</v>
      </c>
      <c r="AC1278" s="427"/>
      <c r="AD1278" s="151"/>
      <c r="AE1278" s="151"/>
      <c r="AF1278" s="151"/>
      <c r="AG1278" s="151"/>
      <c r="AH1278" s="151"/>
      <c r="AI1278" s="151"/>
      <c r="AJ1278" s="151"/>
      <c r="AK1278" s="151"/>
      <c r="AL1278" s="151"/>
      <c r="AM1278" s="151"/>
      <c r="AN1278" s="151"/>
      <c r="AO1278" s="151"/>
      <c r="AP1278" s="151"/>
      <c r="AQ1278" s="151"/>
      <c r="AR1278" s="151"/>
      <c r="AS1278" s="151"/>
      <c r="AT1278" s="151"/>
      <c r="AU1278" s="151"/>
      <c r="AV1278" s="151"/>
      <c r="AW1278" s="151"/>
      <c r="AX1278" s="151"/>
      <c r="AY1278" s="151"/>
      <c r="AZ1278" s="151"/>
      <c r="BA1278" s="151"/>
      <c r="BB1278" s="151"/>
      <c r="BC1278" s="151"/>
      <c r="BD1278" s="151"/>
      <c r="BE1278" s="151"/>
      <c r="BF1278" s="710"/>
      <c r="BG1278" s="710"/>
      <c r="BH1278" s="711"/>
    </row>
    <row r="1279" spans="1:60">
      <c r="A1279" s="93" t="s">
        <v>1727</v>
      </c>
      <c r="B1279" s="93"/>
      <c r="C1279" s="337"/>
      <c r="D1279" s="338"/>
      <c r="E1279" s="338"/>
      <c r="F1279" s="338"/>
      <c r="G1279" s="338"/>
      <c r="H1279" s="16"/>
      <c r="I1279" s="16"/>
      <c r="J1279" s="16"/>
      <c r="K1279" s="151"/>
      <c r="L1279" s="151"/>
      <c r="M1279" s="151"/>
      <c r="N1279" s="151"/>
      <c r="O1279" s="151"/>
      <c r="P1279" s="151"/>
      <c r="Q1279" s="151"/>
      <c r="R1279" s="151"/>
      <c r="S1279" s="208"/>
      <c r="T1279" s="151"/>
      <c r="U1279" s="208">
        <f>2137067525</f>
        <v>2137067525</v>
      </c>
      <c r="V1279" s="151"/>
      <c r="W1279" s="151"/>
      <c r="X1279" s="151"/>
      <c r="Y1279" s="151"/>
      <c r="Z1279" s="208">
        <f>Z33+Z92+Z95+Z150+Z241+Z334+Z415+142931705+Z640+Z714+Z720</f>
        <v>11886631179</v>
      </c>
      <c r="AA1279" s="151"/>
      <c r="AB1279" s="427">
        <f t="shared" si="285"/>
        <v>14023698704</v>
      </c>
      <c r="AC1279" s="427"/>
      <c r="AD1279" s="151"/>
      <c r="AE1279" s="151"/>
      <c r="AF1279" s="151"/>
      <c r="AG1279" s="151"/>
      <c r="AH1279" s="151"/>
      <c r="AI1279" s="151"/>
      <c r="AJ1279" s="151"/>
      <c r="AK1279" s="151"/>
      <c r="AL1279" s="151"/>
      <c r="AM1279" s="151"/>
      <c r="AN1279" s="151"/>
      <c r="AO1279" s="151"/>
      <c r="AP1279" s="151"/>
      <c r="AQ1279" s="151"/>
      <c r="AR1279" s="151"/>
      <c r="AS1279" s="151"/>
      <c r="AT1279" s="151"/>
      <c r="AU1279" s="151"/>
      <c r="AV1279" s="151"/>
      <c r="AW1279" s="151"/>
      <c r="AX1279" s="151"/>
      <c r="AY1279" s="151"/>
      <c r="AZ1279" s="151"/>
      <c r="BA1279" s="151"/>
      <c r="BB1279" s="151"/>
      <c r="BC1279" s="151"/>
      <c r="BD1279" s="151"/>
      <c r="BE1279" s="151"/>
      <c r="BF1279" s="710"/>
      <c r="BG1279" s="710"/>
      <c r="BH1279" s="711"/>
    </row>
    <row r="1280" spans="1:60">
      <c r="A1280" s="93" t="s">
        <v>1728</v>
      </c>
      <c r="B1280" s="93"/>
      <c r="C1280" s="337"/>
      <c r="D1280" s="339"/>
      <c r="E1280" s="339"/>
      <c r="F1280" s="339"/>
      <c r="G1280" s="339"/>
      <c r="H1280" s="16"/>
      <c r="I1280" s="16"/>
      <c r="J1280" s="16"/>
      <c r="K1280" s="151"/>
      <c r="L1280" s="151"/>
      <c r="M1280" s="151"/>
      <c r="N1280" s="151"/>
      <c r="O1280" s="151"/>
      <c r="P1280" s="151"/>
      <c r="Q1280" s="151"/>
      <c r="R1280" s="151"/>
      <c r="S1280" s="151"/>
      <c r="T1280" s="151"/>
      <c r="U1280" s="208">
        <f>-80277356</f>
        <v>-80277356</v>
      </c>
      <c r="V1280" s="151"/>
      <c r="W1280" s="151"/>
      <c r="X1280" s="151"/>
      <c r="Y1280" s="151"/>
      <c r="Z1280" s="208">
        <f>-142931705</f>
        <v>-142931705</v>
      </c>
      <c r="AA1280" s="151"/>
      <c r="AB1280" s="427">
        <f t="shared" si="285"/>
        <v>-223209061</v>
      </c>
      <c r="AC1280" s="427"/>
      <c r="AD1280" s="151"/>
      <c r="AE1280" s="151"/>
      <c r="AF1280" s="151"/>
      <c r="AG1280" s="151"/>
      <c r="AH1280" s="151"/>
      <c r="AI1280" s="151"/>
      <c r="AJ1280" s="151"/>
      <c r="AK1280" s="151"/>
      <c r="AL1280" s="151"/>
      <c r="AM1280" s="151"/>
      <c r="AN1280" s="151"/>
      <c r="AO1280" s="151"/>
      <c r="AP1280" s="151"/>
      <c r="AQ1280" s="151"/>
      <c r="AR1280" s="151"/>
      <c r="AS1280" s="151"/>
      <c r="AT1280" s="151"/>
      <c r="AU1280" s="151"/>
      <c r="AV1280" s="151"/>
      <c r="AW1280" s="151"/>
      <c r="AX1280" s="151"/>
      <c r="AY1280" s="151"/>
      <c r="AZ1280" s="151"/>
      <c r="BA1280" s="151"/>
      <c r="BB1280" s="151"/>
      <c r="BC1280" s="151"/>
      <c r="BD1280" s="151"/>
      <c r="BE1280" s="151"/>
      <c r="BF1280" s="710"/>
      <c r="BG1280" s="710"/>
      <c r="BH1280" s="711"/>
    </row>
    <row r="1281" spans="1:60">
      <c r="A1281" s="93" t="s">
        <v>1732</v>
      </c>
      <c r="B1281" s="93"/>
      <c r="C1281" s="337"/>
      <c r="D1281" s="339"/>
      <c r="E1281" s="339"/>
      <c r="F1281" s="339"/>
      <c r="G1281" s="339"/>
      <c r="H1281" s="211"/>
      <c r="I1281" s="211"/>
      <c r="J1281" s="211"/>
      <c r="K1281" s="151"/>
      <c r="L1281" s="151"/>
      <c r="M1281" s="151"/>
      <c r="N1281" s="151"/>
      <c r="O1281" s="151"/>
      <c r="P1281" s="151"/>
      <c r="Q1281" s="151"/>
      <c r="R1281" s="151"/>
      <c r="S1281" s="151"/>
      <c r="T1281" s="151"/>
      <c r="U1281" s="151">
        <v>0</v>
      </c>
      <c r="V1281" s="151"/>
      <c r="W1281" s="48"/>
      <c r="X1281" s="48"/>
      <c r="Y1281" s="48"/>
      <c r="Z1281" s="151"/>
      <c r="AA1281" s="151"/>
      <c r="AB1281" s="208">
        <f t="shared" si="285"/>
        <v>0</v>
      </c>
      <c r="AC1281" s="208"/>
      <c r="AD1281" s="151"/>
      <c r="AE1281" s="151"/>
      <c r="AF1281" s="151"/>
      <c r="AG1281" s="151"/>
      <c r="AH1281" s="151"/>
      <c r="AI1281" s="151"/>
      <c r="AJ1281" s="151"/>
      <c r="AK1281" s="151"/>
      <c r="AL1281" s="151"/>
      <c r="AM1281" s="151"/>
      <c r="AN1281" s="151"/>
      <c r="AO1281" s="151"/>
      <c r="AP1281" s="151"/>
      <c r="AQ1281" s="151"/>
      <c r="AR1281" s="151"/>
      <c r="AS1281" s="151"/>
      <c r="AT1281" s="151"/>
      <c r="AU1281" s="151"/>
      <c r="AV1281" s="151"/>
      <c r="AW1281" s="151"/>
      <c r="AX1281" s="151"/>
      <c r="AY1281" s="151"/>
      <c r="AZ1281" s="151"/>
      <c r="BA1281" s="151"/>
      <c r="BB1281" s="151"/>
      <c r="BC1281" s="151"/>
      <c r="BD1281" s="151"/>
      <c r="BE1281" s="151"/>
      <c r="BF1281" s="710"/>
      <c r="BG1281" s="710"/>
      <c r="BH1281" s="711"/>
    </row>
    <row r="1282" spans="1:60">
      <c r="A1282" s="93" t="s">
        <v>1733</v>
      </c>
      <c r="B1282" s="93"/>
      <c r="C1282" s="337"/>
      <c r="D1282" s="339"/>
      <c r="E1282" s="339"/>
      <c r="F1282" s="339"/>
      <c r="G1282" s="339"/>
      <c r="H1282" s="16"/>
      <c r="I1282" s="16"/>
      <c r="J1282" s="16"/>
      <c r="K1282" s="151"/>
      <c r="L1282" s="151"/>
      <c r="M1282" s="151"/>
      <c r="N1282" s="151"/>
      <c r="O1282" s="151"/>
      <c r="P1282" s="151"/>
      <c r="Q1282" s="151"/>
      <c r="R1282" s="151"/>
      <c r="S1282" s="151"/>
      <c r="T1282" s="151"/>
      <c r="U1282" s="151">
        <v>0</v>
      </c>
      <c r="V1282" s="151"/>
      <c r="W1282" s="32"/>
      <c r="X1282" s="32"/>
      <c r="Y1282" s="32"/>
      <c r="Z1282" s="151"/>
      <c r="AA1282" s="151"/>
      <c r="AB1282" s="428">
        <f>U1282+Z1282</f>
        <v>0</v>
      </c>
      <c r="AC1282" s="428"/>
      <c r="AD1282" s="208">
        <v>-6321050</v>
      </c>
      <c r="AE1282" s="151"/>
      <c r="AF1282" s="208">
        <f>AB1282-AD1282</f>
        <v>6321050</v>
      </c>
      <c r="AG1282" s="208"/>
      <c r="AH1282" s="151"/>
      <c r="AI1282" s="151"/>
      <c r="AJ1282" s="151"/>
      <c r="AK1282" s="151"/>
      <c r="AL1282" s="151"/>
      <c r="AM1282" s="151"/>
      <c r="AN1282" s="151"/>
      <c r="AO1282" s="151"/>
      <c r="AP1282" s="151"/>
      <c r="AQ1282" s="151"/>
      <c r="AR1282" s="151"/>
      <c r="AS1282" s="151"/>
      <c r="AT1282" s="151"/>
      <c r="AU1282" s="151"/>
      <c r="AV1282" s="151"/>
      <c r="AW1282" s="151"/>
      <c r="AX1282" s="151"/>
      <c r="AY1282" s="151"/>
      <c r="AZ1282" s="151"/>
      <c r="BA1282" s="151"/>
      <c r="BB1282" s="151"/>
      <c r="BC1282" s="151"/>
      <c r="BD1282" s="151"/>
      <c r="BE1282" s="151"/>
      <c r="BF1282" s="710"/>
      <c r="BG1282" s="710"/>
      <c r="BH1282" s="711"/>
    </row>
    <row r="1283" spans="1:60">
      <c r="A1283" s="93" t="s">
        <v>1734</v>
      </c>
      <c r="B1283" s="93"/>
      <c r="C1283" s="337"/>
      <c r="D1283" s="339"/>
      <c r="E1283" s="339"/>
      <c r="F1283" s="339"/>
      <c r="G1283" s="339"/>
      <c r="H1283" s="17"/>
      <c r="I1283" s="17"/>
      <c r="J1283" s="17"/>
      <c r="K1283" s="151"/>
      <c r="L1283" s="151"/>
      <c r="M1283" s="151"/>
      <c r="N1283" s="151"/>
      <c r="O1283" s="151"/>
      <c r="P1283" s="151"/>
      <c r="Q1283" s="151"/>
      <c r="R1283" s="151"/>
      <c r="S1283" s="151"/>
      <c r="T1283" s="151"/>
      <c r="U1283" s="208">
        <f>U625</f>
        <v>1229028475</v>
      </c>
      <c r="V1283" s="151"/>
      <c r="W1283" s="151"/>
      <c r="X1283" s="151"/>
      <c r="Y1283" s="151"/>
      <c r="Z1283" s="151"/>
      <c r="AA1283" s="151"/>
      <c r="AB1283" s="427">
        <f t="shared" si="285"/>
        <v>1229028475</v>
      </c>
      <c r="AC1283" s="427"/>
      <c r="AD1283" s="151"/>
      <c r="AE1283" s="151"/>
      <c r="AF1283" s="151"/>
      <c r="AG1283" s="151"/>
      <c r="AH1283" s="151"/>
      <c r="AI1283" s="151"/>
      <c r="AJ1283" s="151"/>
      <c r="AK1283" s="151"/>
      <c r="AL1283" s="151"/>
      <c r="AM1283" s="151"/>
      <c r="AN1283" s="151"/>
      <c r="AO1283" s="151"/>
      <c r="AP1283" s="151"/>
      <c r="AQ1283" s="151"/>
      <c r="AR1283" s="151"/>
      <c r="AS1283" s="151"/>
      <c r="AT1283" s="151"/>
      <c r="AU1283" s="151"/>
      <c r="AV1283" s="151"/>
      <c r="AW1283" s="151"/>
      <c r="AX1283" s="151"/>
      <c r="AY1283" s="151"/>
      <c r="AZ1283" s="151"/>
      <c r="BA1283" s="151"/>
      <c r="BB1283" s="151"/>
      <c r="BC1283" s="151"/>
      <c r="BD1283" s="151"/>
      <c r="BE1283" s="151"/>
      <c r="BF1283" s="710"/>
      <c r="BG1283" s="710"/>
      <c r="BH1283" s="711"/>
    </row>
    <row r="1284" spans="1:60">
      <c r="A1284" s="93" t="s">
        <v>2386</v>
      </c>
      <c r="B1284" s="93"/>
      <c r="C1284" s="345">
        <v>150796311749</v>
      </c>
      <c r="D1284" s="339"/>
      <c r="E1284" s="339"/>
      <c r="F1284" s="339"/>
      <c r="G1284" s="339"/>
      <c r="H1284" s="16"/>
      <c r="I1284" s="16"/>
      <c r="J1284" s="16"/>
      <c r="K1284" s="151"/>
      <c r="L1284" s="151"/>
      <c r="M1284" s="151"/>
      <c r="N1284" s="151"/>
      <c r="O1284" s="151"/>
      <c r="P1284" s="151"/>
      <c r="Q1284" s="151"/>
      <c r="R1284" s="295">
        <f>SUBTOTAL(9,R1273:R1283)</f>
        <v>0</v>
      </c>
      <c r="S1284" s="151"/>
      <c r="T1284" s="151"/>
      <c r="U1284" s="295">
        <f>SUBTOTAL(9,U1273:U1283)</f>
        <v>61654368954</v>
      </c>
      <c r="V1284" s="151"/>
      <c r="W1284" s="151"/>
      <c r="X1284" s="151"/>
      <c r="Y1284" s="151"/>
      <c r="Z1284" s="295">
        <f>SUBTOTAL(9,Z1273:Z1283)</f>
        <v>89141942795</v>
      </c>
      <c r="AA1284" s="151"/>
      <c r="AB1284" s="295">
        <f>SUBTOTAL(9,AB1273:AB1283)</f>
        <v>150796311749</v>
      </c>
      <c r="AC1284" s="295"/>
      <c r="AD1284" s="151"/>
      <c r="AE1284" s="151"/>
      <c r="AF1284" s="151"/>
      <c r="AG1284" s="151"/>
      <c r="AH1284" s="151"/>
      <c r="AI1284" s="151"/>
      <c r="AJ1284" s="151"/>
      <c r="AK1284" s="151"/>
      <c r="AL1284" s="151"/>
      <c r="AM1284" s="151"/>
      <c r="AN1284" s="151"/>
      <c r="AO1284" s="151"/>
      <c r="AP1284" s="151"/>
      <c r="AQ1284" s="151"/>
      <c r="AR1284" s="151"/>
      <c r="AS1284" s="151"/>
      <c r="AT1284" s="151"/>
      <c r="AU1284" s="151"/>
      <c r="AV1284" s="151"/>
      <c r="AW1284" s="151"/>
      <c r="AX1284" s="151"/>
      <c r="AY1284" s="151"/>
      <c r="AZ1284" s="151"/>
      <c r="BA1284" s="151"/>
      <c r="BB1284" s="151"/>
      <c r="BC1284" s="151"/>
      <c r="BD1284" s="151"/>
      <c r="BE1284" s="151"/>
      <c r="BF1284" s="710"/>
      <c r="BG1284" s="710"/>
      <c r="BH1284" s="711"/>
    </row>
    <row r="1285" spans="1:60">
      <c r="A1285" s="93"/>
      <c r="B1285" s="93"/>
      <c r="C1285" s="337"/>
      <c r="D1285" s="339"/>
      <c r="E1285" s="339"/>
      <c r="F1285" s="339"/>
      <c r="G1285" s="339"/>
      <c r="H1285" s="16"/>
      <c r="I1285" s="16"/>
      <c r="J1285" s="16"/>
      <c r="K1285" s="151"/>
      <c r="L1285" s="151"/>
      <c r="M1285" s="151"/>
      <c r="N1285" s="151"/>
      <c r="O1285" s="151"/>
      <c r="P1285" s="151"/>
      <c r="Q1285" s="151"/>
      <c r="R1285" s="151"/>
      <c r="S1285" s="151"/>
      <c r="T1285" s="151"/>
      <c r="U1285" s="151"/>
      <c r="V1285" s="151"/>
      <c r="W1285" s="151"/>
      <c r="X1285" s="151"/>
      <c r="Y1285" s="151"/>
      <c r="Z1285" s="151"/>
      <c r="AA1285" s="151"/>
      <c r="AB1285" s="151"/>
      <c r="AC1285" s="151"/>
      <c r="AD1285" s="151"/>
      <c r="AE1285" s="151"/>
      <c r="AF1285" s="151"/>
      <c r="AG1285" s="151"/>
      <c r="AH1285" s="151"/>
      <c r="AI1285" s="151"/>
      <c r="AJ1285" s="151"/>
      <c r="AK1285" s="151"/>
      <c r="AL1285" s="151"/>
      <c r="AM1285" s="151"/>
      <c r="AN1285" s="151"/>
      <c r="AO1285" s="151"/>
      <c r="AP1285" s="151"/>
      <c r="AQ1285" s="151"/>
      <c r="AR1285" s="151"/>
      <c r="AS1285" s="151"/>
      <c r="AT1285" s="151"/>
      <c r="AU1285" s="151"/>
      <c r="AV1285" s="151"/>
      <c r="AW1285" s="151"/>
      <c r="AX1285" s="151"/>
      <c r="AY1285" s="151"/>
      <c r="AZ1285" s="151"/>
      <c r="BA1285" s="151"/>
      <c r="BB1285" s="151"/>
      <c r="BC1285" s="151"/>
      <c r="BD1285" s="151"/>
      <c r="BE1285" s="151"/>
      <c r="BF1285" s="710"/>
      <c r="BG1285" s="710"/>
      <c r="BH1285" s="711"/>
    </row>
    <row r="1286" spans="1:60" ht="15.75">
      <c r="A1286" s="93" t="s">
        <v>1735</v>
      </c>
      <c r="B1286" s="93"/>
      <c r="C1286" s="342"/>
      <c r="D1286" s="341"/>
      <c r="E1286" s="341"/>
      <c r="F1286" s="341"/>
      <c r="G1286" s="341"/>
      <c r="H1286" s="16"/>
      <c r="I1286" s="16"/>
      <c r="J1286" s="16"/>
      <c r="K1286" s="151"/>
      <c r="L1286" s="151"/>
      <c r="M1286" s="151"/>
      <c r="N1286" s="151"/>
      <c r="O1286" s="151"/>
      <c r="P1286" s="151"/>
      <c r="Q1286" s="151"/>
      <c r="R1286" s="151"/>
      <c r="S1286" s="151"/>
      <c r="T1286" s="151"/>
      <c r="U1286" s="208">
        <f>U43+U132+U514+U598+7292852+U1106+U1132+U1135+U1138+U1139+U1178+U1179</f>
        <v>6689923535</v>
      </c>
      <c r="V1286" s="151"/>
      <c r="W1286" s="151"/>
      <c r="X1286" s="151"/>
      <c r="Y1286" s="151"/>
      <c r="Z1286" s="208">
        <f>Z36+Z599+Z1102</f>
        <v>10065040170</v>
      </c>
      <c r="AA1286" s="151"/>
      <c r="AB1286" s="427">
        <f>U1286+Z1286</f>
        <v>16754963705</v>
      </c>
      <c r="AC1286" s="208"/>
      <c r="AD1286" s="151"/>
      <c r="AE1286" s="151"/>
      <c r="AF1286" s="151"/>
      <c r="AG1286" s="151"/>
      <c r="AH1286" s="151"/>
      <c r="AI1286" s="151"/>
      <c r="AJ1286" s="151"/>
      <c r="AK1286" s="151"/>
      <c r="AL1286" s="151"/>
      <c r="AM1286" s="151"/>
      <c r="AN1286" s="151"/>
      <c r="AO1286" s="151"/>
      <c r="AP1286" s="151"/>
      <c r="AQ1286" s="151"/>
      <c r="AR1286" s="151"/>
      <c r="AS1286" s="151"/>
      <c r="AT1286" s="151"/>
      <c r="AU1286" s="151"/>
      <c r="AV1286" s="151"/>
      <c r="AW1286" s="151"/>
      <c r="AX1286" s="151"/>
      <c r="AY1286" s="151"/>
      <c r="AZ1286" s="151"/>
      <c r="BA1286" s="151"/>
      <c r="BB1286" s="151"/>
      <c r="BC1286" s="151"/>
      <c r="BD1286" s="151"/>
      <c r="BE1286" s="151"/>
      <c r="BF1286" s="710"/>
      <c r="BG1286" s="710"/>
      <c r="BH1286" s="711"/>
    </row>
    <row r="1287" spans="1:60">
      <c r="A1287" s="93" t="s">
        <v>1747</v>
      </c>
      <c r="B1287" s="93"/>
      <c r="L1287" s="203"/>
      <c r="M1287" s="203"/>
      <c r="N1287" s="203"/>
      <c r="O1287" s="203"/>
      <c r="U1287" s="208">
        <f>U96+U299+U723+U724+U725+10963266+U893+5626090+U1133+U1181+U1182+U1183+U1187+U1188</f>
        <v>6311053465</v>
      </c>
      <c r="Z1287" s="208">
        <f>Z34+Z416</f>
        <v>2860759928</v>
      </c>
      <c r="AB1287" s="427">
        <f>U1287+Z1287</f>
        <v>9171813393</v>
      </c>
      <c r="AC1287" s="208"/>
      <c r="AN1287" s="203"/>
      <c r="AO1287" s="203"/>
      <c r="AP1287" s="203"/>
      <c r="AQ1287" s="203"/>
      <c r="AR1287" s="203"/>
      <c r="AS1287" s="203"/>
      <c r="AV1287" s="354"/>
      <c r="AW1287" s="354"/>
      <c r="AX1287" s="710"/>
      <c r="AY1287" s="354"/>
      <c r="AZ1287" s="354"/>
      <c r="BA1287" s="354"/>
      <c r="BB1287" s="354"/>
      <c r="BC1287" s="354"/>
      <c r="BD1287" s="710"/>
      <c r="BE1287" s="710"/>
      <c r="BF1287" s="710"/>
      <c r="BG1287" s="710"/>
      <c r="BH1287" s="711"/>
    </row>
    <row r="1288" spans="1:60">
      <c r="A1288" s="93" t="s">
        <v>1792</v>
      </c>
      <c r="B1288" s="93"/>
      <c r="L1288" s="203"/>
      <c r="M1288" s="203"/>
      <c r="N1288" s="203"/>
      <c r="O1288" s="203"/>
      <c r="U1288" s="208">
        <f>U1104+U1140+U1185+U1186</f>
        <v>200722152</v>
      </c>
      <c r="Z1288" s="208">
        <f>Z233</f>
        <v>2279603197</v>
      </c>
      <c r="AB1288" s="427">
        <f>U1288+Z1288</f>
        <v>2480325349</v>
      </c>
      <c r="AC1288" s="208"/>
      <c r="AN1288" s="203"/>
      <c r="AO1288" s="203"/>
      <c r="AP1288" s="203"/>
      <c r="AQ1288" s="203"/>
      <c r="AR1288" s="203"/>
      <c r="AS1288" s="203"/>
      <c r="AV1288" s="354"/>
      <c r="AW1288" s="354"/>
      <c r="AX1288" s="710"/>
      <c r="AY1288" s="354"/>
      <c r="AZ1288" s="354"/>
      <c r="BA1288" s="354"/>
      <c r="BB1288" s="354"/>
      <c r="BC1288" s="354"/>
      <c r="BD1288" s="710"/>
      <c r="BE1288" s="710"/>
      <c r="BF1288" s="710"/>
      <c r="BG1288" s="710"/>
      <c r="BH1288" s="711"/>
    </row>
    <row r="1289" spans="1:60">
      <c r="A1289" s="93" t="s">
        <v>1793</v>
      </c>
      <c r="B1289" s="93"/>
      <c r="L1289" s="203"/>
      <c r="M1289" s="203"/>
      <c r="N1289" s="203"/>
      <c r="O1289" s="203"/>
      <c r="R1289" s="208">
        <f>R249+R350</f>
        <v>1080000000</v>
      </c>
      <c r="U1289" s="208">
        <f>U98+U245+U250+U336+U349+U417+U418+U419+U606+U607+U608+U609+U610+U611+U751+U1105+U1177+U1218+U1219</f>
        <v>23572608262</v>
      </c>
      <c r="Z1289" s="208">
        <f>Z598+Z719</f>
        <v>6329890845</v>
      </c>
      <c r="AB1289" s="427">
        <f>R1289+U1289+Z1289</f>
        <v>30982499107</v>
      </c>
      <c r="AC1289" s="208"/>
      <c r="AF1289" s="216"/>
      <c r="AG1289" s="216"/>
      <c r="AN1289" s="203"/>
      <c r="AO1289" s="203"/>
      <c r="AP1289" s="203"/>
      <c r="AQ1289" s="203"/>
      <c r="AR1289" s="203"/>
      <c r="AS1289" s="203"/>
      <c r="AV1289" s="354"/>
      <c r="AW1289" s="354"/>
      <c r="AX1289" s="710"/>
      <c r="AY1289" s="354"/>
      <c r="AZ1289" s="354"/>
      <c r="BA1289" s="354"/>
      <c r="BB1289" s="354"/>
      <c r="BC1289" s="354"/>
      <c r="BD1289" s="710"/>
      <c r="BE1289" s="710"/>
      <c r="BF1289" s="710"/>
      <c r="BG1289" s="710"/>
      <c r="BH1289" s="711"/>
    </row>
    <row r="1290" spans="1:60">
      <c r="A1290" s="93" t="s">
        <v>1794</v>
      </c>
      <c r="B1290" s="93"/>
      <c r="L1290" s="203"/>
      <c r="M1290" s="203"/>
      <c r="N1290" s="203"/>
      <c r="O1290" s="203"/>
      <c r="R1290" s="208">
        <f>R352</f>
        <v>180000000</v>
      </c>
      <c r="S1290" s="208"/>
      <c r="U1290" s="208">
        <f>U247+U251+U300+U612+U727+U848+U1096+U1166+U1215</f>
        <v>11550642987</v>
      </c>
      <c r="Z1290" s="208">
        <f>Z42+Z91+Z97+Z132+Z242+Z243+Z331+Z373+Z569+Z604+Z605+Z673+Z717</f>
        <v>16686760459</v>
      </c>
      <c r="AB1290" s="427">
        <f>R1290+U1290+Z1290</f>
        <v>28417403446</v>
      </c>
      <c r="AC1290" s="208"/>
      <c r="AD1290" s="216"/>
      <c r="AN1290" s="203"/>
      <c r="AO1290" s="203"/>
      <c r="AP1290" s="203"/>
      <c r="AQ1290" s="203"/>
      <c r="AR1290" s="203"/>
      <c r="AS1290" s="203"/>
      <c r="AV1290" s="354"/>
      <c r="AW1290" s="354"/>
      <c r="AX1290" s="710"/>
      <c r="AY1290" s="354"/>
      <c r="AZ1290" s="354"/>
      <c r="BA1290" s="354"/>
      <c r="BB1290" s="354"/>
      <c r="BC1290" s="354"/>
      <c r="BD1290" s="710"/>
      <c r="BE1290" s="710"/>
      <c r="BF1290" s="710"/>
      <c r="BG1290" s="710"/>
      <c r="BH1290" s="711"/>
    </row>
    <row r="1291" spans="1:60">
      <c r="A1291" s="93" t="s">
        <v>1795</v>
      </c>
      <c r="B1291" s="93"/>
      <c r="L1291" s="203"/>
      <c r="M1291" s="203"/>
      <c r="N1291" s="203"/>
      <c r="O1291" s="203"/>
      <c r="R1291" s="208">
        <f>R614</f>
        <v>592066530</v>
      </c>
      <c r="U1291" s="208">
        <f>U46+U49+U50+U51+U101+U133+U134+U162+U164+U166+U239+U252+U303+U304+U350+U352+U374+U420+10153100+U613+U616+U617+U618+U645+U676+U677+U679+U1107+U1172+U1174+U1175+U1180+13692170+U1221+5239250+U1223</f>
        <v>39905045124</v>
      </c>
      <c r="Z1291" s="208">
        <f>Z43+Z45+Z299+Z372+Z592+Z602+Z603+Z641+Z674+Z686+Z721+Z759+31999964+Z1103+Z1133</f>
        <v>20780530697</v>
      </c>
      <c r="AB1291" s="427">
        <f>R1291+U1291+Z1291</f>
        <v>61277642351</v>
      </c>
      <c r="AC1291" s="208"/>
      <c r="AD1291" s="216"/>
      <c r="AN1291" s="203"/>
      <c r="AO1291" s="203"/>
      <c r="AP1291" s="203"/>
      <c r="AQ1291" s="203"/>
      <c r="AR1291" s="203"/>
      <c r="AS1291" s="203"/>
      <c r="AV1291" s="354"/>
      <c r="AW1291" s="354"/>
      <c r="AX1291" s="710"/>
      <c r="AY1291" s="354"/>
      <c r="AZ1291" s="354"/>
      <c r="BA1291" s="354"/>
      <c r="BB1291" s="354"/>
      <c r="BC1291" s="354"/>
      <c r="BD1291" s="710"/>
      <c r="BE1291" s="710"/>
      <c r="BF1291" s="710"/>
      <c r="BG1291" s="710"/>
      <c r="BH1291" s="711"/>
    </row>
    <row r="1292" spans="1:60">
      <c r="A1292" s="93" t="s">
        <v>1796</v>
      </c>
      <c r="B1292" s="93"/>
      <c r="L1292" s="203"/>
      <c r="M1292" s="203"/>
      <c r="N1292" s="203"/>
      <c r="O1292" s="203"/>
      <c r="R1292" s="208">
        <f>R254+R422+R615</f>
        <v>1131964491</v>
      </c>
      <c r="U1292" s="208">
        <f>U47+U48+U102+U165+U253+U255+U302+U337+U339+U359+U423+U424+U425+U678+U730+U982+U1148+U1149+U1190+6301084</f>
        <v>28618576254</v>
      </c>
      <c r="Z1292" s="208">
        <f>Z30+Z250+Z417+Z610+Z611+Z671+Z751+Z834+Z840+Z1090+Z1100+Z1101+Z1106+Z1139</f>
        <v>9352070713</v>
      </c>
      <c r="AB1292" s="427">
        <f>R1292+U1292+Z1292</f>
        <v>39102611458</v>
      </c>
      <c r="AC1292" s="208"/>
      <c r="AN1292" s="203"/>
      <c r="AO1292" s="203"/>
      <c r="AP1292" s="203"/>
      <c r="AQ1292" s="203"/>
      <c r="AR1292" s="203"/>
      <c r="AS1292" s="203"/>
      <c r="AV1292" s="354"/>
      <c r="AW1292" s="354"/>
      <c r="AX1292" s="710"/>
      <c r="AY1292" s="354"/>
      <c r="AZ1292" s="354"/>
      <c r="BA1292" s="354"/>
      <c r="BB1292" s="354"/>
      <c r="BC1292" s="354"/>
      <c r="BD1292" s="710"/>
      <c r="BE1292" s="710"/>
      <c r="BF1292" s="710"/>
      <c r="BG1292" s="710"/>
      <c r="BH1292" s="711"/>
    </row>
    <row r="1293" spans="1:60">
      <c r="A1293" s="93" t="s">
        <v>1910</v>
      </c>
      <c r="B1293" s="93"/>
      <c r="L1293" s="203"/>
      <c r="M1293" s="203"/>
      <c r="N1293" s="203"/>
      <c r="O1293" s="203"/>
      <c r="R1293" s="208">
        <f>R168</f>
        <v>767493650</v>
      </c>
      <c r="U1293" s="208">
        <f>U52+U84+U99+U167+U246+U248+U301+U353+U427+U429+U620+U621+U622+U623+U624+U626+U627+U1099+U1124+U1137+U1153+U1155+U1156+U1184+U1193+U1194+U1195+U1197+U1224+U1233</f>
        <v>12994362210</v>
      </c>
      <c r="Z1293" s="208">
        <f>Z84+Z98+Z245+Z246+Z247+Z300+Z336+Z349+Z606+Z607+Z608+Z609+Z613+Z617+Z715+Z727+Z1104+Z1105+Z1140+Z1165+Z1218</f>
        <v>18303273960</v>
      </c>
      <c r="AB1293" s="427">
        <f>R1293+U1293+Z1293</f>
        <v>32065129820</v>
      </c>
      <c r="AC1293" s="208"/>
      <c r="AN1293" s="203"/>
      <c r="AO1293" s="203"/>
      <c r="AP1293" s="203"/>
      <c r="AQ1293" s="203"/>
      <c r="AR1293" s="203"/>
      <c r="AS1293" s="203"/>
      <c r="AV1293" s="354"/>
      <c r="AW1293" s="354"/>
      <c r="AX1293" s="710"/>
      <c r="AY1293" s="354"/>
      <c r="AZ1293" s="354"/>
      <c r="BA1293" s="354"/>
      <c r="BB1293" s="354"/>
      <c r="BC1293" s="354"/>
      <c r="BD1293" s="710"/>
      <c r="BE1293" s="710"/>
      <c r="BF1293" s="710"/>
      <c r="BG1293" s="710"/>
      <c r="BH1293" s="711"/>
    </row>
    <row r="1294" spans="1:60">
      <c r="A1294" s="93" t="s">
        <v>2385</v>
      </c>
      <c r="B1294" s="93"/>
      <c r="C1294" s="216">
        <v>220252388629</v>
      </c>
      <c r="L1294" s="203"/>
      <c r="M1294" s="203"/>
      <c r="N1294" s="203"/>
      <c r="O1294" s="203"/>
      <c r="R1294" s="295">
        <f>SUBTOTAL(9,R1286:R1293)</f>
        <v>3751524671</v>
      </c>
      <c r="U1294" s="295">
        <f>SUBTOTAL(9,U1286:U1293)</f>
        <v>129842933989</v>
      </c>
      <c r="Z1294" s="295">
        <f>SUBTOTAL(9,Z1286:Z1293)</f>
        <v>86657929969</v>
      </c>
      <c r="AB1294" s="295">
        <f>SUBTOTAL(9,AB1286:AB1293)</f>
        <v>220252388629</v>
      </c>
      <c r="AC1294" s="295"/>
      <c r="AN1294" s="203"/>
      <c r="AO1294" s="203"/>
      <c r="AP1294" s="203"/>
      <c r="AQ1294" s="203"/>
      <c r="AR1294" s="203"/>
      <c r="AS1294" s="203"/>
      <c r="AV1294" s="354"/>
      <c r="AW1294" s="354"/>
      <c r="AX1294" s="710"/>
      <c r="AY1294" s="354"/>
      <c r="AZ1294" s="354"/>
      <c r="BA1294" s="354"/>
      <c r="BB1294" s="354"/>
      <c r="BC1294" s="354"/>
      <c r="BD1294" s="710"/>
      <c r="BE1294" s="710"/>
      <c r="BF1294" s="710"/>
      <c r="BG1294" s="710"/>
      <c r="BH1294" s="711"/>
    </row>
    <row r="1295" spans="1:60">
      <c r="A1295" s="93" t="s">
        <v>2387</v>
      </c>
      <c r="B1295" s="93"/>
      <c r="C1295" s="216"/>
      <c r="L1295" s="203"/>
      <c r="M1295" s="203"/>
      <c r="N1295" s="203"/>
      <c r="O1295" s="203"/>
      <c r="P1295" s="204"/>
      <c r="Q1295" s="204"/>
      <c r="R1295" s="295"/>
      <c r="T1295" s="216"/>
      <c r="U1295" s="639">
        <f>U1284+U1294</f>
        <v>191497302943</v>
      </c>
      <c r="Z1295" s="639">
        <f>Z1284+Z1294</f>
        <v>175799872764</v>
      </c>
      <c r="AA1295" s="639">
        <f>AA1284+AA1294</f>
        <v>0</v>
      </c>
      <c r="AB1295" s="639">
        <f>AB1284+AB1294</f>
        <v>371048700378</v>
      </c>
      <c r="AC1295" s="295"/>
      <c r="AN1295" s="203"/>
      <c r="AO1295" s="203"/>
      <c r="AP1295" s="203"/>
      <c r="AQ1295" s="203"/>
      <c r="AR1295" s="203"/>
      <c r="AS1295" s="203"/>
      <c r="AV1295" s="354"/>
      <c r="AW1295" s="354"/>
      <c r="AX1295" s="710"/>
      <c r="AY1295" s="354"/>
      <c r="AZ1295" s="354"/>
      <c r="BA1295" s="354"/>
      <c r="BB1295" s="354"/>
      <c r="BC1295" s="354"/>
      <c r="BD1295" s="710"/>
      <c r="BE1295" s="710"/>
      <c r="BF1295" s="710"/>
      <c r="BG1295" s="710"/>
      <c r="BH1295" s="711"/>
    </row>
    <row r="1296" spans="1:60">
      <c r="A1296" s="93" t="s">
        <v>1728</v>
      </c>
      <c r="B1296" s="93"/>
      <c r="C1296" s="216"/>
      <c r="L1296" s="203"/>
      <c r="M1296" s="203"/>
      <c r="N1296" s="203"/>
      <c r="O1296" s="203"/>
      <c r="P1296" s="204"/>
      <c r="Q1296" s="204"/>
      <c r="R1296" s="295"/>
      <c r="T1296" s="216"/>
      <c r="U1296" s="208">
        <f>U1226</f>
        <v>55650000</v>
      </c>
      <c r="Z1296" s="639"/>
      <c r="AA1296" s="639"/>
      <c r="AB1296" s="427">
        <f t="shared" ref="AB1296:AB1299" si="286">R1296+U1296+Z1296</f>
        <v>55650000</v>
      </c>
      <c r="AC1296" s="295"/>
      <c r="AN1296" s="203"/>
      <c r="AO1296" s="203"/>
      <c r="AP1296" s="203"/>
      <c r="AQ1296" s="203"/>
      <c r="AR1296" s="203"/>
      <c r="AS1296" s="203"/>
      <c r="AV1296" s="354"/>
      <c r="AW1296" s="354"/>
      <c r="AX1296" s="710"/>
      <c r="AY1296" s="354"/>
      <c r="AZ1296" s="354"/>
      <c r="BA1296" s="354"/>
      <c r="BB1296" s="354"/>
      <c r="BC1296" s="354"/>
      <c r="BD1296" s="710"/>
      <c r="BE1296" s="710"/>
      <c r="BF1296" s="710"/>
      <c r="BG1296" s="710"/>
      <c r="BH1296" s="711"/>
    </row>
    <row r="1297" spans="1:60">
      <c r="A1297" s="93" t="s">
        <v>1732</v>
      </c>
      <c r="B1297" s="93"/>
      <c r="C1297" s="216"/>
      <c r="L1297" s="203"/>
      <c r="M1297" s="203"/>
      <c r="N1297" s="203"/>
      <c r="O1297" s="203"/>
      <c r="P1297" s="204"/>
      <c r="Q1297" s="204"/>
      <c r="R1297" s="295"/>
      <c r="T1297" s="216"/>
      <c r="U1297" s="208">
        <f>62700000+63012816+51670509+51670509</f>
        <v>229053834</v>
      </c>
      <c r="Z1297" s="639"/>
      <c r="AA1297" s="639"/>
      <c r="AB1297" s="427">
        <f t="shared" si="286"/>
        <v>229053834</v>
      </c>
      <c r="AC1297" s="295"/>
      <c r="AN1297" s="203"/>
      <c r="AO1297" s="203"/>
      <c r="AP1297" s="203"/>
      <c r="AQ1297" s="203"/>
      <c r="AR1297" s="203"/>
      <c r="AS1297" s="203"/>
      <c r="AV1297" s="354"/>
      <c r="AW1297" s="354"/>
      <c r="AX1297" s="710"/>
      <c r="AY1297" s="354"/>
      <c r="AZ1297" s="354"/>
      <c r="BA1297" s="354"/>
      <c r="BB1297" s="354"/>
      <c r="BC1297" s="354"/>
      <c r="BD1297" s="710"/>
      <c r="BE1297" s="710"/>
      <c r="BF1297" s="710"/>
      <c r="BG1297" s="710"/>
      <c r="BH1297" s="711"/>
    </row>
    <row r="1298" spans="1:60">
      <c r="A1298" s="93" t="s">
        <v>1733</v>
      </c>
      <c r="B1298" s="93"/>
      <c r="C1298" s="216"/>
      <c r="L1298" s="203"/>
      <c r="M1298" s="203"/>
      <c r="N1298" s="203"/>
      <c r="O1298" s="203"/>
      <c r="P1298" s="204"/>
      <c r="Q1298" s="204"/>
      <c r="R1298" s="208">
        <v>306992000</v>
      </c>
      <c r="T1298" s="216"/>
      <c r="U1298" s="208">
        <f>28028502+54902295+63012816+49000000</f>
        <v>194943613</v>
      </c>
      <c r="Z1298" s="639"/>
      <c r="AA1298" s="639"/>
      <c r="AB1298" s="427">
        <f t="shared" si="286"/>
        <v>501935613</v>
      </c>
      <c r="AC1298" s="295"/>
      <c r="AN1298" s="203"/>
      <c r="AO1298" s="203"/>
      <c r="AP1298" s="203"/>
      <c r="AQ1298" s="203"/>
      <c r="AR1298" s="203"/>
      <c r="AS1298" s="203"/>
      <c r="AV1298" s="354"/>
      <c r="AW1298" s="354"/>
      <c r="AX1298" s="710"/>
      <c r="AY1298" s="354"/>
      <c r="AZ1298" s="354"/>
      <c r="BA1298" s="354"/>
      <c r="BB1298" s="354"/>
      <c r="BC1298" s="354"/>
      <c r="BD1298" s="710"/>
      <c r="BE1298" s="710"/>
      <c r="BF1298" s="710"/>
      <c r="BG1298" s="710"/>
      <c r="BH1298" s="711"/>
    </row>
    <row r="1299" spans="1:60">
      <c r="A1299" s="93" t="s">
        <v>1734</v>
      </c>
      <c r="B1299" s="93"/>
      <c r="C1299" s="216"/>
      <c r="L1299" s="203"/>
      <c r="M1299" s="203"/>
      <c r="N1299" s="203"/>
      <c r="O1299" s="203"/>
      <c r="P1299" s="204"/>
      <c r="Q1299" s="204"/>
      <c r="R1299" s="295">
        <f>SUBTOTAL(9,R1296:R1298)</f>
        <v>306992000</v>
      </c>
      <c r="T1299" s="216"/>
      <c r="U1299" s="295">
        <f>SUBTOTAL(9,U1296:U1298)</f>
        <v>479647447</v>
      </c>
      <c r="V1299" s="295"/>
      <c r="W1299" s="216"/>
      <c r="Z1299" s="639"/>
      <c r="AA1299" s="639"/>
      <c r="AB1299" s="683">
        <f t="shared" si="286"/>
        <v>786639447</v>
      </c>
      <c r="AC1299" s="295"/>
      <c r="AN1299" s="203"/>
      <c r="AO1299" s="203"/>
      <c r="AP1299" s="203"/>
      <c r="AQ1299" s="203"/>
      <c r="AR1299" s="203"/>
      <c r="AS1299" s="203"/>
      <c r="AV1299" s="354"/>
      <c r="AW1299" s="354"/>
      <c r="AX1299" s="710"/>
      <c r="AY1299" s="354"/>
      <c r="AZ1299" s="354"/>
      <c r="BA1299" s="354"/>
      <c r="BB1299" s="354"/>
      <c r="BC1299" s="354"/>
      <c r="BD1299" s="710"/>
      <c r="BE1299" s="710"/>
      <c r="BF1299" s="710"/>
      <c r="BG1299" s="710"/>
      <c r="BH1299" s="711"/>
    </row>
    <row r="1300" spans="1:60">
      <c r="A1300" s="93" t="s">
        <v>1748</v>
      </c>
      <c r="B1300" s="93"/>
      <c r="C1300" s="216"/>
      <c r="L1300" s="203"/>
      <c r="M1300" s="203"/>
      <c r="N1300" s="203"/>
      <c r="O1300" s="203"/>
      <c r="P1300" s="204"/>
      <c r="Q1300" s="204"/>
      <c r="R1300" s="295"/>
      <c r="T1300" s="216"/>
      <c r="U1300" s="639"/>
      <c r="Z1300" s="639"/>
      <c r="AA1300" s="639"/>
      <c r="AB1300" s="639">
        <f>AB1295+AB1299</f>
        <v>371835339825</v>
      </c>
      <c r="AC1300" s="295"/>
      <c r="AN1300" s="203"/>
      <c r="AO1300" s="203"/>
      <c r="AP1300" s="203"/>
      <c r="AQ1300" s="203"/>
      <c r="AR1300" s="203"/>
      <c r="AS1300" s="203"/>
      <c r="AV1300" s="354"/>
      <c r="AW1300" s="354"/>
      <c r="AX1300" s="710"/>
      <c r="AY1300" s="354"/>
      <c r="AZ1300" s="354"/>
      <c r="BA1300" s="354"/>
      <c r="BB1300" s="354"/>
      <c r="BC1300" s="354"/>
      <c r="BD1300" s="710"/>
      <c r="BE1300" s="710"/>
      <c r="BF1300" s="710"/>
      <c r="BG1300" s="710"/>
      <c r="BH1300" s="711"/>
    </row>
    <row r="1301" spans="1:60">
      <c r="A1301" s="93"/>
      <c r="B1301" s="93"/>
      <c r="C1301" s="216"/>
      <c r="L1301" s="203"/>
      <c r="M1301" s="203"/>
      <c r="N1301" s="203"/>
      <c r="O1301" s="203"/>
      <c r="P1301" s="203" t="s">
        <v>2323</v>
      </c>
      <c r="R1301" s="203" t="s">
        <v>2324</v>
      </c>
      <c r="S1301" s="203" t="s">
        <v>2322</v>
      </c>
      <c r="T1301" s="203" t="s">
        <v>2326</v>
      </c>
      <c r="U1301" s="631" t="s">
        <v>2325</v>
      </c>
      <c r="V1301" s="203" t="s">
        <v>2327</v>
      </c>
      <c r="W1301" s="203" t="s">
        <v>2328</v>
      </c>
      <c r="X1301" s="203" t="s">
        <v>2329</v>
      </c>
      <c r="Y1301" s="203" t="s">
        <v>2330</v>
      </c>
      <c r="Z1301" s="295"/>
      <c r="AB1301" s="295"/>
      <c r="AC1301" s="295"/>
      <c r="AN1301" s="203"/>
      <c r="AO1301" s="203"/>
      <c r="AP1301" s="203"/>
      <c r="AQ1301" s="203"/>
      <c r="AR1301" s="203"/>
      <c r="AS1301" s="203"/>
      <c r="AV1301" s="354"/>
      <c r="AW1301" s="354"/>
      <c r="AX1301" s="710"/>
      <c r="AY1301" s="354"/>
      <c r="AZ1301" s="354"/>
      <c r="BA1301" s="354"/>
      <c r="BB1301" s="354"/>
      <c r="BC1301" s="354"/>
      <c r="BD1301" s="710"/>
      <c r="BE1301" s="710"/>
      <c r="BF1301" s="710"/>
      <c r="BG1301" s="710"/>
      <c r="BH1301" s="711"/>
    </row>
    <row r="1302" spans="1:60" ht="24" customHeight="1">
      <c r="A1302" s="739" t="s">
        <v>1979</v>
      </c>
      <c r="B1302" s="740"/>
      <c r="C1302" s="379"/>
      <c r="D1302" s="379"/>
      <c r="E1302" s="379"/>
      <c r="F1302" s="379"/>
      <c r="G1302" s="379"/>
      <c r="O1302" s="203" t="s">
        <v>2310</v>
      </c>
      <c r="S1302" s="208">
        <f>U135+U136+U249+U257+U258</f>
        <v>6676197829</v>
      </c>
      <c r="T1302" s="208">
        <f>U615</f>
        <v>2048407433</v>
      </c>
      <c r="U1302" s="640">
        <v>9450181</v>
      </c>
      <c r="V1302" s="208">
        <f>Z134+Z166+Z350+Z676+613993378</f>
        <v>6205630172</v>
      </c>
      <c r="W1302" s="601">
        <f>P1302+S1302+U1302</f>
        <v>6685648010</v>
      </c>
      <c r="X1302" s="601">
        <f>R1302+T1302+V1302</f>
        <v>8254037605</v>
      </c>
      <c r="Y1302" s="208">
        <f>W1302+X1302</f>
        <v>14939685615</v>
      </c>
      <c r="AB1302" s="208"/>
      <c r="AC1302" s="208"/>
      <c r="AF1302" s="648"/>
      <c r="AH1302" s="48"/>
      <c r="AV1302" s="354"/>
      <c r="AW1302" s="354"/>
      <c r="AX1302" s="710"/>
      <c r="AY1302" s="354"/>
      <c r="AZ1302" s="354"/>
      <c r="BA1302" s="354"/>
      <c r="BB1302" s="354"/>
      <c r="BC1302" s="354"/>
      <c r="BD1302" s="710"/>
      <c r="BE1302" s="710"/>
      <c r="BF1302" s="710"/>
      <c r="BG1302" s="710"/>
      <c r="BH1302" s="711"/>
    </row>
    <row r="1303" spans="1:60">
      <c r="A1303" s="37" t="s">
        <v>521</v>
      </c>
      <c r="B1303" s="425" t="e">
        <f>+AN37+AN40+AN87+AN185+AN238+AN239+AN297+AN329+#REF!+AO589+AN593+AN644+AN89+AN750</f>
        <v>#REF!</v>
      </c>
      <c r="C1303" s="380"/>
      <c r="D1303" s="381"/>
      <c r="E1303" s="381"/>
      <c r="F1303" s="381"/>
      <c r="G1303" s="381"/>
      <c r="H1303" s="203">
        <v>1132</v>
      </c>
      <c r="O1303" s="203" t="s">
        <v>2311</v>
      </c>
      <c r="P1303" s="208">
        <f>R636</f>
        <v>876000000</v>
      </c>
      <c r="Q1303" s="208"/>
      <c r="S1303" s="208">
        <f>U254+U305+U672+U1198+U1204+U1210+U1212+U1213</f>
        <v>3763220333</v>
      </c>
      <c r="T1303" s="208">
        <f>U332+U708</f>
        <v>107730267</v>
      </c>
      <c r="U1303" s="640"/>
      <c r="V1303" s="208">
        <f>Z50+Z133+Z162+Z251+Z255+Z374+Z418+Z612+Z618+Z627+Z677+Z679+Z708+Z1219</f>
        <v>15302108058</v>
      </c>
      <c r="W1303" s="601">
        <f t="shared" ref="W1303:W1313" si="287">P1303+S1303+U1303</f>
        <v>4639220333</v>
      </c>
      <c r="X1303" s="601">
        <f>R1303+T1303+V1303</f>
        <v>15409838325</v>
      </c>
      <c r="Y1303" s="208">
        <f>W1303+X1303</f>
        <v>20049058658</v>
      </c>
      <c r="AB1303" s="216"/>
      <c r="AH1303" s="48"/>
      <c r="AP1303" s="673"/>
    </row>
    <row r="1304" spans="1:60">
      <c r="A1304" s="37" t="s">
        <v>38</v>
      </c>
      <c r="B1304" s="41">
        <f>AO36+AO39+AO91+AO223+AO233+AO294+AO299+AO331+AO334+AO415+AO591+AO592+AO604+AO640+AO641+AO642+AO667+AO668+AO717+AO718+AO719+AO721</f>
        <v>495</v>
      </c>
      <c r="C1304" s="337"/>
      <c r="D1304" s="339">
        <v>88986016092</v>
      </c>
      <c r="E1304" s="339"/>
      <c r="F1304" s="339"/>
      <c r="G1304" s="339"/>
      <c r="H1304" s="203">
        <v>1160</v>
      </c>
      <c r="O1304" s="203" t="s">
        <v>2312</v>
      </c>
      <c r="S1304" s="208">
        <f>U259+U266+U430+U589+U590+U1167+U1168+U1196+U1203+U1205+U1208+U1228+U1230+U1235</f>
        <v>4492569584</v>
      </c>
      <c r="T1304" s="208">
        <f>U53+U103+U104+U256+U376+U728+U1158</f>
        <v>8281930503</v>
      </c>
      <c r="U1304" s="640"/>
      <c r="V1304" s="208">
        <f>Z39+Z46+Z47+Z49+Z51+Z167+Z252+Z301+Z304+Z337+Z339+Z353+Z423+Z429+Z616+Z620+Z624+Z626+Z678+Z730</f>
        <v>22901328248</v>
      </c>
      <c r="W1304" s="601">
        <f t="shared" si="287"/>
        <v>4492569584</v>
      </c>
      <c r="X1304" s="601">
        <f t="shared" ref="X1304:X1313" si="288">R1304+T1304+V1304</f>
        <v>31183258751</v>
      </c>
      <c r="Y1304" s="208">
        <f t="shared" ref="Y1304:Y1313" si="289">W1304+X1304</f>
        <v>35675828335</v>
      </c>
      <c r="AH1304" s="216"/>
    </row>
    <row r="1305" spans="1:60">
      <c r="A1305" s="37" t="s">
        <v>1419</v>
      </c>
      <c r="B1305" s="41">
        <f>AP34+AP35+AP38+AP60+AP80+AP81+AP82+AP85+AP86+AP88+AP90+AP92+AP93+AP94+AP95+AP123+AP125+AP126+AP128+AP129+AP130+AP131+AP145+AP146+AP147+AP148+AP149+AP150+AP151+AP153+AP154+AP156+AP159+AP160+AP161+AP193+AP219+AP222+AP224+AP231+AP232+AP234+AP236+AP235+AP237+AP242+AP244+AP293+AP295+AP296+AP316+AP317+AP318+AP320+AP324+AP325+AP326+AP327+AP328+AP330+AP333+AP335+AP348+AP355+AP370+AP400+AP407+AP408+AP409+AP413+AP416+AP442+AP443+AP461+AP530+AP544+AP561+AP563+AP564+AP565+AP566+AP567+AP568+AP571+AP573+AP575+AP576+AP577+AP578+AP579+AP580+AP582+AP583+AP584+AP585+AP587+AP588+AP594+AP595+AP596+AP597+AP598+AP599+AP600+AP643+AP655+AP664+AP669+AP670+AP682+AP703+AP708+AP710+AP712+AP713+AP716+AP720+AP744+AP749+AP745+AP757+AP828+AP832+AP837+AP842+AP847+AP848+AP855+AP856+AP857+AP890+AP893+AP956+AP957+AP960+AP968+AP980+AP984+AP1027+AP1029+AP1045+AP1051+AP1054+AP1059+AP1082+AP1084+AP1085+AP1091+AP1094+AP1095+AP1096+AP1127+AP1132+AP1150+AP1152+AP1154+AP1157+AP1159+AP1160+AP1164+AP1177+AP1178+AP1181+AP1182+AP1183+AP1185+AP1186+AP1187+AP1215</f>
        <v>0</v>
      </c>
      <c r="C1305" s="337"/>
      <c r="D1305" s="339">
        <v>88840192354</v>
      </c>
      <c r="E1305" s="339"/>
      <c r="F1305" s="339"/>
      <c r="G1305" s="339"/>
      <c r="H1305" s="203">
        <f>H1304-H1303</f>
        <v>28</v>
      </c>
      <c r="O1305" s="203" t="s">
        <v>2313</v>
      </c>
      <c r="P1305" s="208">
        <f>R263+R351+R637</f>
        <v>1207000000</v>
      </c>
      <c r="Q1305" s="208"/>
      <c r="R1305" s="208">
        <f>R137+R631</f>
        <v>1239778715</v>
      </c>
      <c r="S1305" s="208">
        <f>U431+U628+U630+U978</f>
        <v>4438296908</v>
      </c>
      <c r="T1305" s="208">
        <f>U105+U106+U168+U260+U261+U262+U265+U306+U340+U432+U434+U629</f>
        <v>21843655772</v>
      </c>
      <c r="U1305" s="640">
        <f>Z625</f>
        <v>1030473284</v>
      </c>
      <c r="V1305" s="208">
        <f>Z101+Z165+Z239+Z253+Z303+Z420+Z424+Z622+Z623+Z728</f>
        <v>13299129093</v>
      </c>
      <c r="W1305" s="601">
        <f>P1305+S1305+U1305</f>
        <v>6675770192</v>
      </c>
      <c r="X1305" s="601">
        <f>R1305+T1305+V1305</f>
        <v>36382563580</v>
      </c>
      <c r="Y1305" s="208">
        <f>W1305+X1305</f>
        <v>43058333772</v>
      </c>
    </row>
    <row r="1306" spans="1:60">
      <c r="A1306" s="37" t="s">
        <v>1421</v>
      </c>
      <c r="B1306" s="41">
        <f>AS204+AS298+AS586</f>
        <v>0</v>
      </c>
      <c r="C1306" s="337"/>
      <c r="D1306" s="339">
        <f>D1304-D1305</f>
        <v>145823738</v>
      </c>
      <c r="E1306" s="339"/>
      <c r="F1306" s="339"/>
      <c r="G1306" s="339"/>
      <c r="O1306" s="203" t="s">
        <v>2314</v>
      </c>
      <c r="S1306" s="208">
        <f>U632+U633+U833+U959+U1199+U1207+U1232+77562674</f>
        <v>3566106212</v>
      </c>
      <c r="T1306" s="208">
        <f>U377+U422+2714682+U1238</f>
        <v>3113273791</v>
      </c>
      <c r="U1306" s="640">
        <f>Z249</f>
        <v>1678026934</v>
      </c>
      <c r="V1306" s="208">
        <f>Z48+Z52+Z164+Z256+Z425+Z615+Z621+Z645+Z829</f>
        <v>12134363627</v>
      </c>
      <c r="W1306" s="601">
        <f t="shared" si="287"/>
        <v>5244133146</v>
      </c>
      <c r="X1306" s="601">
        <f t="shared" si="288"/>
        <v>15247637418</v>
      </c>
      <c r="Y1306" s="208">
        <f>W1306+X1306</f>
        <v>20491770564</v>
      </c>
      <c r="AB1306" s="216"/>
    </row>
    <row r="1307" spans="1:60">
      <c r="A1307" s="372" t="s">
        <v>1052</v>
      </c>
      <c r="B1307" s="373" t="e">
        <f>SUBTOTAL(9,B1303:B1306)</f>
        <v>#REF!</v>
      </c>
      <c r="C1307" s="382"/>
      <c r="D1307" s="383">
        <v>88840192354</v>
      </c>
      <c r="E1307" s="383"/>
      <c r="F1307" s="383"/>
      <c r="G1307" s="383"/>
      <c r="O1307" s="203" t="s">
        <v>2315</v>
      </c>
      <c r="W1307" s="208">
        <f t="shared" si="287"/>
        <v>0</v>
      </c>
      <c r="X1307" s="208">
        <f t="shared" si="288"/>
        <v>0</v>
      </c>
      <c r="Y1307" s="208">
        <f t="shared" si="289"/>
        <v>0</v>
      </c>
      <c r="AB1307" s="216"/>
    </row>
    <row r="1308" spans="1:60">
      <c r="C1308" s="151"/>
      <c r="D1308" s="26"/>
      <c r="E1308" s="26"/>
      <c r="F1308" s="26"/>
      <c r="G1308" s="26"/>
      <c r="O1308" s="203" t="s">
        <v>2316</v>
      </c>
      <c r="T1308" s="603"/>
      <c r="W1308" s="208">
        <f t="shared" si="287"/>
        <v>0</v>
      </c>
      <c r="X1308" s="208">
        <f t="shared" si="288"/>
        <v>0</v>
      </c>
      <c r="Y1308" s="208">
        <f t="shared" si="289"/>
        <v>0</v>
      </c>
    </row>
    <row r="1309" spans="1:60" ht="24" customHeight="1">
      <c r="A1309" s="739" t="s">
        <v>1980</v>
      </c>
      <c r="B1309" s="740"/>
      <c r="C1309" s="379"/>
      <c r="D1309" s="379"/>
      <c r="E1309" s="379"/>
      <c r="F1309" s="379"/>
      <c r="G1309" s="379"/>
      <c r="O1309" s="203" t="s">
        <v>2317</v>
      </c>
      <c r="T1309" s="603"/>
      <c r="W1309" s="208">
        <f t="shared" si="287"/>
        <v>0</v>
      </c>
      <c r="X1309" s="208">
        <f t="shared" si="288"/>
        <v>0</v>
      </c>
      <c r="Y1309" s="208">
        <f t="shared" si="289"/>
        <v>0</v>
      </c>
      <c r="AI1309" s="48"/>
    </row>
    <row r="1310" spans="1:60">
      <c r="A1310" s="37" t="s">
        <v>521</v>
      </c>
      <c r="B1310" s="40">
        <f>AN41+AN44+AN48+AO52+AN59+AN61+AN72+AN96+AN100+AN102+AN113+AO135+AN136+AN157+AN158+AN163+AO165+AO167+AN168+AN172+AN181+AN230+AN249+AN253+AN254+AN255+AO257+AN258+AN272+AN301+AN305+AN311+AN321+AN323+AN332+AO337+AN339+AN351+AN353+AN371+AN375+AN381+AN406+AN411+AN412+AN414+AN421+AN422+AO424+AN425+AN426+AN427+AN429+AN447+AN448+AN475+AN503+AN572+AN581+AO590+AN614+AN615+AN619+AO620+AN621+AO622+AN623+AO624+AO625+AN626+AN627+AN636+AN637+AN644+AN645+AN672+AN675+AN683+AN693+AN706+AS709+AN711+AN722+AN728+AN729+AN750+AN765+AN827+AN830+AN833+AN836+AN843+AN844+AN845+AN850+AN851+AN852+AN892+AN959+AN961+AN962+AN964+AN978+AN979+AN981+AN983+AN985+AN996+AN1071+AN1072+AN1073+AN1074+AN1075+AN1088+AN1092+AN1093+AN1097+AN1108+AN1124+AN1125+AN1134+AN1137+AN1146+AN1147+AN1151+AN1153+AN1155+AN1156+AN1158+AN1167+AN1168+AN1169+AN1170+AN1171+AN1173+AN1176+AN1184+AN1189+AN1191+AN1192+AN1193+AN1194+AN1195+AN1196+AN1197+AN1198+AN1199+AN1200+AN1201+AN1202+AN1203+AN1204+AN1205+AN1206+AN1207+AN1208+AN1209+AN1210+AN1211+AN1212+AN1213+AN1214+AN1216+AN1217+AN1225+AN1227+AN1228+AN1229+AN1230+AN1231+AN1232+AN1233+AN1234+AP1235</f>
        <v>977</v>
      </c>
      <c r="C1310" s="337"/>
      <c r="D1310" s="338"/>
      <c r="E1310" s="338"/>
      <c r="F1310" s="338"/>
      <c r="G1310" s="338"/>
      <c r="O1310" s="203" t="s">
        <v>2318</v>
      </c>
      <c r="W1310" s="208">
        <f t="shared" si="287"/>
        <v>0</v>
      </c>
      <c r="X1310" s="208">
        <f t="shared" si="288"/>
        <v>0</v>
      </c>
      <c r="Y1310" s="208">
        <f t="shared" si="289"/>
        <v>0</v>
      </c>
    </row>
    <row r="1311" spans="1:60">
      <c r="A1311" s="37" t="s">
        <v>38</v>
      </c>
      <c r="B1311" s="41">
        <f>AO42+AO43+AO45+AO46+AO47+AO49+AO50+AO51+AO97+AO98+AO99+AO101+AO132+AO133+AO134+AO162+AO164+AO166+AO241+AO245+AO246+AO247+AO248+AO251+AO252+AO300+AO302+AO303+AO304+AO322+AO336+AO349+AO350+AO352+AO372+AO373+AO374+AO405+AO417+AO418+AO419+AO423+AO420+AO569+AO570+AO603+AO606+AO607+AO608+AO609+AO611+AO612+AO613+AO616+AO617+AO618+AO639+AO663+AO666+AO671+AO673+AO674+AO676+AO677+AO678+AO679+AO714+AO715+AO723+AO724+AO725+AO726+AO727+AO730+AO751+AO759+AO829+AO834+AO840+AO958+AO997+AO1025+AO1046+AO1049+AO1076+AO1087+AO1090+AO1098+AO1099+AO1100+AO1101+AO1102+AO1103+AO1104+AO1105+AO1106+AO1107+AO1131+AO1133+AO1135+AO1138+AO1139+AO1140+AO1142+AO1165+AO1179+AO1218+AO1219+AO1221</f>
        <v>1344</v>
      </c>
      <c r="C1311" s="337"/>
      <c r="D1311" s="339"/>
      <c r="E1311" s="339"/>
      <c r="F1311" s="339"/>
      <c r="G1311" s="339"/>
      <c r="O1311" s="203" t="s">
        <v>2321</v>
      </c>
      <c r="W1311" s="208">
        <f t="shared" si="287"/>
        <v>0</v>
      </c>
      <c r="X1311" s="208">
        <f t="shared" si="288"/>
        <v>0</v>
      </c>
      <c r="Y1311" s="208">
        <f t="shared" si="289"/>
        <v>0</v>
      </c>
    </row>
    <row r="1312" spans="1:60">
      <c r="A1312" s="37" t="s">
        <v>646</v>
      </c>
      <c r="B1312" s="41">
        <f>AP33+AP83+AP84+AP243+AP250+AP486+AP499+AP601+AP602+AP605+AP610+AP835+AP839+AP966+AP967+AP969+AP982+AP1115+AP1148+AP1149+AP1166+AP1172+AP1174+AP1175+AP1180+AP1188+AP1190+AP1220+AP1222+AP1223+AP1224+AP1226</f>
        <v>0</v>
      </c>
      <c r="C1312" s="337"/>
      <c r="D1312" s="339"/>
      <c r="E1312" s="339"/>
      <c r="F1312" s="339"/>
      <c r="G1312" s="339"/>
      <c r="O1312" s="203" t="s">
        <v>2319</v>
      </c>
      <c r="W1312" s="208">
        <f t="shared" si="287"/>
        <v>0</v>
      </c>
      <c r="X1312" s="208">
        <f t="shared" si="288"/>
        <v>0</v>
      </c>
      <c r="Y1312" s="208">
        <f t="shared" si="289"/>
        <v>0</v>
      </c>
    </row>
    <row r="1313" spans="1:25">
      <c r="A1313" s="37" t="s">
        <v>942</v>
      </c>
      <c r="B1313" s="41">
        <f>AQ32+AQ209+AQ225+AQ226+AQ284+AQ364+AQ547+AQ687+AQ688</f>
        <v>359</v>
      </c>
      <c r="C1313" s="337"/>
      <c r="D1313" s="339"/>
      <c r="E1313" s="339"/>
      <c r="F1313" s="339"/>
      <c r="G1313" s="339"/>
      <c r="O1313" s="203" t="s">
        <v>2320</v>
      </c>
      <c r="W1313" s="208">
        <f t="shared" si="287"/>
        <v>0</v>
      </c>
      <c r="X1313" s="208">
        <f t="shared" si="288"/>
        <v>0</v>
      </c>
      <c r="Y1313" s="208">
        <f t="shared" si="289"/>
        <v>0</v>
      </c>
    </row>
    <row r="1314" spans="1:25">
      <c r="A1314" s="37" t="s">
        <v>986</v>
      </c>
      <c r="B1314" s="41">
        <f>AR155+AR363+AR369+AR692</f>
        <v>104</v>
      </c>
      <c r="C1314" s="337"/>
      <c r="D1314" s="339"/>
      <c r="E1314" s="339"/>
      <c r="F1314" s="339"/>
      <c r="G1314" s="339"/>
      <c r="R1314" s="208">
        <f>3385778715</f>
        <v>3385778715</v>
      </c>
    </row>
    <row r="1315" spans="1:25">
      <c r="A1315" s="37" t="s">
        <v>687</v>
      </c>
      <c r="B1315" s="41">
        <f>AS117+AS118+AS179+AS194+AS202+AS221+AS240+AS338+AS360+AS368+AS397+AS404+AS410+AS445+AS492+AS507+AS515+AS536+AS543+AS551+AS653+AS746+AS755+AS758+AS1136</f>
        <v>0</v>
      </c>
      <c r="C1315" s="337"/>
      <c r="D1315" s="339"/>
      <c r="E1315" s="339"/>
      <c r="F1315" s="339"/>
      <c r="G1315" s="339"/>
      <c r="R1315" s="208">
        <f>58331388632</f>
        <v>58331388632</v>
      </c>
      <c r="W1315" s="208"/>
    </row>
    <row r="1316" spans="1:25">
      <c r="A1316" s="372" t="s">
        <v>1052</v>
      </c>
      <c r="B1316" s="373">
        <f>SUM(B1310:B1315)</f>
        <v>2784</v>
      </c>
      <c r="C1316" s="382"/>
      <c r="D1316" s="383"/>
      <c r="E1316" s="383"/>
      <c r="F1316" s="383"/>
      <c r="G1316" s="383"/>
      <c r="R1316" s="208">
        <v>72560509597</v>
      </c>
    </row>
  </sheetData>
  <autoFilter ref="A6:XBT1249"/>
  <mergeCells count="9">
    <mergeCell ref="A5:BH5"/>
    <mergeCell ref="A1302:B1302"/>
    <mergeCell ref="A1309:B1309"/>
    <mergeCell ref="A1247:D1247"/>
    <mergeCell ref="A1:BG1"/>
    <mergeCell ref="A2:BG2"/>
    <mergeCell ref="D190:D191"/>
    <mergeCell ref="C1260:H1260"/>
    <mergeCell ref="C1251:H1251"/>
  </mergeCells>
  <hyperlinks>
    <hyperlink ref="I487" r:id="rId1" display="RES. N° 801-16 SE ANULO 1 SUBSIDIO Y RES. N° 1608-17 SE ANULO 11 SUBSIDIOS"/>
    <hyperlink ref="AV410" r:id="rId2"/>
    <hyperlink ref="AV118" r:id="rId3"/>
    <hyperlink ref="AV487" r:id="rId4"/>
    <hyperlink ref="AV397" r:id="rId5"/>
    <hyperlink ref="AV289" r:id="rId6"/>
    <hyperlink ref="AV276" r:id="rId7"/>
    <hyperlink ref="AV202" r:id="rId8"/>
    <hyperlink ref="AV179" r:id="rId9" display=" RES. DE ANULACION N° 1625-17 "/>
    <hyperlink ref="AV551" r:id="rId10"/>
    <hyperlink ref="AV515" r:id="rId11"/>
    <hyperlink ref="AV445" r:id="rId12"/>
    <hyperlink ref="AV755" r:id="rId13"/>
    <hyperlink ref="AV543" r:id="rId14"/>
    <hyperlink ref="AV492" r:id="rId15"/>
    <hyperlink ref="AV653" r:id="rId16"/>
    <hyperlink ref="AV586" r:id="rId17"/>
    <hyperlink ref="AV685" r:id="rId18" display="RES. DE ANULACION N° 146-18"/>
    <hyperlink ref="AV204" r:id="rId19"/>
    <hyperlink ref="AV221" r:id="rId20"/>
    <hyperlink ref="AV758" r:id="rId21"/>
  </hyperlinks>
  <printOptions horizontalCentered="1"/>
  <pageMargins left="0.70866141732283472" right="0.70866141732283472" top="0.74803149606299213" bottom="0.74803149606299213" header="0.31496062992125984" footer="0.31496062992125984"/>
  <pageSetup paperSize="14" scale="80" orientation="landscape" r:id="rId22"/>
  <headerFooter>
    <oddFooter>Página &amp;P</oddFooter>
  </headerFooter>
  <colBreaks count="2" manualBreakCount="2">
    <brk id="37" min="1" max="1267" man="1"/>
    <brk id="39" min="1" max="1267" man="1"/>
  </colBreaks>
  <ignoredErrors>
    <ignoredError sqref="AF298 AF614 AF117 AF586" formula="1"/>
    <ignoredError sqref="H1229:H1232" twoDigitTextYear="1"/>
  </ignoredErrors>
  <drawing r:id="rId23"/>
  <legacyDrawing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view="pageBreakPreview" zoomScaleNormal="100" zoomScaleSheetLayoutView="100" workbookViewId="0">
      <selection activeCell="B26" sqref="B26"/>
    </sheetView>
  </sheetViews>
  <sheetFormatPr baseColWidth="10" defaultRowHeight="15"/>
  <cols>
    <col min="1" max="1" width="47.28515625" bestFit="1" customWidth="1"/>
    <col min="4" max="4" width="13.7109375" bestFit="1" customWidth="1"/>
  </cols>
  <sheetData>
    <row r="1" spans="1:4" ht="19.5">
      <c r="A1" s="753" t="s">
        <v>1989</v>
      </c>
      <c r="B1" s="753"/>
      <c r="C1" s="753"/>
      <c r="D1" s="753"/>
    </row>
    <row r="2" spans="1:4" ht="19.5">
      <c r="A2" s="753" t="s">
        <v>1455</v>
      </c>
      <c r="B2" s="753"/>
      <c r="C2" s="753"/>
      <c r="D2" s="753"/>
    </row>
    <row r="3" spans="1:4">
      <c r="A3" s="754" t="s">
        <v>1990</v>
      </c>
      <c r="B3" s="755"/>
      <c r="C3" s="755"/>
      <c r="D3" s="755"/>
    </row>
    <row r="4" spans="1:4" ht="24">
      <c r="A4" s="356" t="s">
        <v>1991</v>
      </c>
      <c r="B4" s="356" t="s">
        <v>1992</v>
      </c>
      <c r="C4" s="357" t="s">
        <v>1993</v>
      </c>
      <c r="D4" s="357" t="s">
        <v>1994</v>
      </c>
    </row>
    <row r="5" spans="1:4">
      <c r="A5" s="358" t="s">
        <v>1995</v>
      </c>
      <c r="B5" s="359">
        <v>33</v>
      </c>
      <c r="C5" s="359">
        <f>(B5)</f>
        <v>33</v>
      </c>
      <c r="D5" s="360">
        <v>2461715949</v>
      </c>
    </row>
    <row r="6" spans="1:4" ht="15.75" thickBot="1">
      <c r="A6" s="358" t="s">
        <v>1996</v>
      </c>
      <c r="B6" s="361">
        <v>9</v>
      </c>
      <c r="C6" s="361">
        <f>(B6)</f>
        <v>9</v>
      </c>
      <c r="D6" s="360">
        <v>587876133</v>
      </c>
    </row>
    <row r="7" spans="1:4" ht="15.75" thickBot="1">
      <c r="A7" s="358" t="s">
        <v>1997</v>
      </c>
      <c r="B7" s="361">
        <v>4539</v>
      </c>
      <c r="C7" s="361">
        <f>(B7)</f>
        <v>4539</v>
      </c>
      <c r="D7" s="360">
        <v>349925778999</v>
      </c>
    </row>
    <row r="8" spans="1:4">
      <c r="A8" s="362" t="s">
        <v>1998</v>
      </c>
      <c r="B8" s="363">
        <f>SUM(B5:B7)</f>
        <v>4581</v>
      </c>
      <c r="C8" s="363">
        <f t="shared" ref="C8" si="0">SUM(C5:C7)</f>
        <v>4581</v>
      </c>
      <c r="D8" s="364">
        <f>SUM(D5:D7)</f>
        <v>352975371081</v>
      </c>
    </row>
    <row r="9" spans="1:4">
      <c r="A9" s="365" t="s">
        <v>1999</v>
      </c>
      <c r="B9" s="366"/>
      <c r="C9" s="366"/>
      <c r="D9" s="366"/>
    </row>
    <row r="10" spans="1:4">
      <c r="A10" s="367" t="s">
        <v>2000</v>
      </c>
    </row>
    <row r="11" spans="1:4">
      <c r="A11" s="367"/>
    </row>
    <row r="12" spans="1:4">
      <c r="A12" s="368" t="s">
        <v>2001</v>
      </c>
      <c r="B12" s="356" t="s">
        <v>1992</v>
      </c>
      <c r="C12" s="356"/>
      <c r="D12" s="357" t="s">
        <v>1994</v>
      </c>
    </row>
    <row r="13" spans="1:4">
      <c r="A13" s="368" t="s">
        <v>2002</v>
      </c>
      <c r="B13" s="360">
        <f>1060+10</f>
        <v>1070</v>
      </c>
      <c r="C13" s="360"/>
      <c r="D13" s="360">
        <v>79640532199</v>
      </c>
    </row>
    <row r="14" spans="1:4">
      <c r="A14" s="368" t="s">
        <v>2003</v>
      </c>
      <c r="B14" s="360">
        <f>(996+16)</f>
        <v>1012</v>
      </c>
      <c r="C14" s="360"/>
      <c r="D14" s="360">
        <v>77551523102</v>
      </c>
    </row>
    <row r="15" spans="1:4">
      <c r="A15" s="368" t="s">
        <v>2004</v>
      </c>
      <c r="B15" s="360">
        <f>(981+9)</f>
        <v>990</v>
      </c>
      <c r="C15" s="360"/>
      <c r="D15" s="360">
        <v>77224744839</v>
      </c>
    </row>
    <row r="16" spans="1:4">
      <c r="A16" s="368" t="s">
        <v>2005</v>
      </c>
      <c r="B16" s="360">
        <f>836+5</f>
        <v>841</v>
      </c>
      <c r="C16" s="360"/>
      <c r="D16" s="360">
        <v>66640115567</v>
      </c>
    </row>
    <row r="17" spans="1:4">
      <c r="A17" s="368" t="s">
        <v>2006</v>
      </c>
      <c r="B17" s="360">
        <f>2+666</f>
        <v>668</v>
      </c>
      <c r="C17" s="360"/>
      <c r="D17" s="360">
        <v>51918455374</v>
      </c>
    </row>
    <row r="18" spans="1:4">
      <c r="A18" s="369" t="s">
        <v>1998</v>
      </c>
      <c r="B18" s="363">
        <f>SUM(B13:B17)</f>
        <v>4581</v>
      </c>
      <c r="C18" s="363"/>
      <c r="D18" s="363">
        <f ca="1">SUM(D13:D18)</f>
        <v>352975371081</v>
      </c>
    </row>
  </sheetData>
  <mergeCells count="3">
    <mergeCell ref="A1:D1"/>
    <mergeCell ref="A2:D2"/>
    <mergeCell ref="A3:D3"/>
  </mergeCells>
  <pageMargins left="0.7" right="0.7" top="0.75" bottom="0.75" header="0.3" footer="0.3"/>
  <pageSetup paperSize="1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6"/>
  <sheetViews>
    <sheetView view="pageBreakPreview" zoomScaleNormal="100" zoomScaleSheetLayoutView="100" workbookViewId="0">
      <pane xSplit="5" ySplit="4" topLeftCell="F107" activePane="bottomRight" state="frozen"/>
      <selection pane="topRight" activeCell="F1" sqref="F1"/>
      <selection pane="bottomLeft" activeCell="A5" sqref="A5"/>
      <selection pane="bottomRight" activeCell="F123" sqref="F123"/>
    </sheetView>
  </sheetViews>
  <sheetFormatPr baseColWidth="10" defaultRowHeight="15"/>
  <cols>
    <col min="3" max="3" width="22.42578125" bestFit="1" customWidth="1"/>
    <col min="4" max="5" width="14.7109375" bestFit="1" customWidth="1"/>
    <col min="7" max="7" width="10.85546875" customWidth="1"/>
  </cols>
  <sheetData>
    <row r="1" spans="1:9">
      <c r="A1" s="760" t="s">
        <v>2155</v>
      </c>
      <c r="B1" s="760"/>
      <c r="C1" s="760"/>
      <c r="D1" s="760"/>
      <c r="E1" s="760"/>
      <c r="F1" s="760"/>
      <c r="G1" s="760"/>
      <c r="H1" s="760"/>
      <c r="I1" s="760"/>
    </row>
    <row r="2" spans="1:9">
      <c r="A2" s="760" t="s">
        <v>2007</v>
      </c>
      <c r="B2" s="760"/>
      <c r="C2" s="760"/>
      <c r="D2" s="760"/>
      <c r="E2" s="760"/>
      <c r="F2" s="760"/>
      <c r="G2" s="760"/>
      <c r="H2" s="760"/>
      <c r="I2" s="760"/>
    </row>
    <row r="3" spans="1:9">
      <c r="A3" s="763" t="s">
        <v>2008</v>
      </c>
      <c r="B3" s="763" t="s">
        <v>1287</v>
      </c>
      <c r="C3" s="763" t="s">
        <v>2009</v>
      </c>
      <c r="D3" s="761" t="s">
        <v>2010</v>
      </c>
      <c r="E3" s="761"/>
      <c r="F3" s="761"/>
      <c r="G3" s="761"/>
      <c r="H3" s="761"/>
      <c r="I3" s="761"/>
    </row>
    <row r="4" spans="1:9">
      <c r="A4" s="763"/>
      <c r="B4" s="763"/>
      <c r="C4" s="763"/>
      <c r="D4" s="402" t="s">
        <v>2011</v>
      </c>
      <c r="E4" s="402" t="s">
        <v>2012</v>
      </c>
      <c r="F4" s="402" t="s">
        <v>2013</v>
      </c>
      <c r="G4" s="402" t="s">
        <v>2014</v>
      </c>
      <c r="H4" s="402" t="s">
        <v>2015</v>
      </c>
      <c r="I4" s="402" t="s">
        <v>2016</v>
      </c>
    </row>
    <row r="5" spans="1:9">
      <c r="A5" s="403">
        <v>1</v>
      </c>
      <c r="B5" s="404" t="s">
        <v>2017</v>
      </c>
      <c r="C5" s="404" t="s">
        <v>2018</v>
      </c>
      <c r="D5" s="404">
        <f>63-63</f>
        <v>0</v>
      </c>
      <c r="E5" s="404">
        <f>67+63+50</f>
        <v>180</v>
      </c>
      <c r="F5" s="404"/>
      <c r="G5" s="404"/>
      <c r="H5" s="404"/>
      <c r="I5" s="404"/>
    </row>
    <row r="6" spans="1:9">
      <c r="A6" s="403"/>
      <c r="B6" s="404"/>
      <c r="C6" s="404" t="s">
        <v>2019</v>
      </c>
      <c r="D6" s="404">
        <f>198-197</f>
        <v>1</v>
      </c>
      <c r="E6" s="404">
        <f>197</f>
        <v>197</v>
      </c>
      <c r="F6" s="404"/>
      <c r="G6" s="404"/>
      <c r="H6" s="404"/>
      <c r="I6" s="404"/>
    </row>
    <row r="7" spans="1:9">
      <c r="A7" s="403"/>
      <c r="B7" s="404"/>
      <c r="C7" s="404" t="s">
        <v>2020</v>
      </c>
      <c r="D7" s="404"/>
      <c r="E7" s="404">
        <v>50</v>
      </c>
      <c r="F7" s="404"/>
      <c r="G7" s="404"/>
      <c r="H7" s="404"/>
      <c r="I7" s="404"/>
    </row>
    <row r="8" spans="1:9">
      <c r="A8" s="403"/>
      <c r="B8" s="404"/>
      <c r="C8" s="404" t="s">
        <v>2021</v>
      </c>
      <c r="D8" s="404">
        <f>40-40</f>
        <v>0</v>
      </c>
      <c r="E8" s="404">
        <f>32+13+55-32-13-55+40</f>
        <v>40</v>
      </c>
      <c r="F8" s="404"/>
      <c r="G8" s="404"/>
      <c r="H8" s="404"/>
      <c r="I8" s="404"/>
    </row>
    <row r="9" spans="1:9">
      <c r="A9" s="403"/>
      <c r="B9" s="404"/>
      <c r="C9" s="404" t="s">
        <v>2022</v>
      </c>
      <c r="D9" s="404">
        <f>57-55</f>
        <v>2</v>
      </c>
      <c r="E9" s="404">
        <f>55</f>
        <v>55</v>
      </c>
      <c r="F9" s="405"/>
      <c r="G9" s="405"/>
      <c r="H9" s="405"/>
      <c r="I9" s="404"/>
    </row>
    <row r="10" spans="1:9">
      <c r="A10" s="403"/>
      <c r="B10" s="404"/>
      <c r="C10" s="404" t="s">
        <v>2017</v>
      </c>
      <c r="D10" s="404">
        <f>42</f>
        <v>42</v>
      </c>
      <c r="E10" s="404">
        <f>39</f>
        <v>39</v>
      </c>
      <c r="F10" s="404"/>
      <c r="G10" s="404"/>
      <c r="H10" s="404"/>
      <c r="I10" s="404"/>
    </row>
    <row r="11" spans="1:9">
      <c r="A11" s="403"/>
      <c r="B11" s="404"/>
      <c r="C11" s="404" t="s">
        <v>2023</v>
      </c>
      <c r="D11" s="404">
        <f>60+1-59</f>
        <v>2</v>
      </c>
      <c r="E11" s="404">
        <f>59</f>
        <v>59</v>
      </c>
      <c r="F11" s="405"/>
      <c r="G11" s="404"/>
      <c r="H11" s="404"/>
      <c r="I11" s="404"/>
    </row>
    <row r="12" spans="1:9">
      <c r="A12" s="403"/>
      <c r="B12" s="404"/>
      <c r="C12" s="404" t="s">
        <v>2024</v>
      </c>
      <c r="D12" s="404"/>
      <c r="E12" s="404">
        <f>17+26</f>
        <v>43</v>
      </c>
      <c r="F12" s="405"/>
      <c r="G12" s="404"/>
      <c r="H12" s="404"/>
      <c r="I12" s="404"/>
    </row>
    <row r="13" spans="1:9">
      <c r="A13" s="403"/>
      <c r="B13" s="404"/>
      <c r="C13" s="404" t="s">
        <v>2303</v>
      </c>
      <c r="D13" s="404"/>
      <c r="E13" s="404">
        <v>60</v>
      </c>
      <c r="F13" s="405"/>
      <c r="G13" s="404"/>
      <c r="H13" s="404"/>
      <c r="I13" s="404"/>
    </row>
    <row r="14" spans="1:9">
      <c r="A14" s="403">
        <v>2</v>
      </c>
      <c r="B14" s="404" t="s">
        <v>2025</v>
      </c>
      <c r="C14" s="404" t="s">
        <v>2026</v>
      </c>
      <c r="D14" s="404">
        <f>6+2+26+34+50-26-34-50</f>
        <v>8</v>
      </c>
      <c r="E14" s="404">
        <f>70+26+34+50-70-26-34-50</f>
        <v>0</v>
      </c>
      <c r="F14" s="404"/>
      <c r="G14" s="404"/>
      <c r="H14" s="404"/>
      <c r="I14" s="404"/>
    </row>
    <row r="15" spans="1:9">
      <c r="A15" s="403"/>
      <c r="B15" s="404"/>
      <c r="C15" s="404" t="s">
        <v>2027</v>
      </c>
      <c r="D15" s="404"/>
      <c r="E15" s="404">
        <v>46</v>
      </c>
      <c r="F15" s="404"/>
      <c r="G15" s="404"/>
      <c r="H15" s="404"/>
      <c r="I15" s="404"/>
    </row>
    <row r="16" spans="1:9">
      <c r="A16" s="403"/>
      <c r="B16" s="404"/>
      <c r="C16" s="404" t="s">
        <v>2028</v>
      </c>
      <c r="D16" s="404"/>
      <c r="E16" s="404">
        <f>98</f>
        <v>98</v>
      </c>
      <c r="F16" s="404"/>
      <c r="G16" s="404"/>
      <c r="H16" s="404"/>
      <c r="I16" s="404"/>
    </row>
    <row r="17" spans="1:9">
      <c r="A17" s="403"/>
      <c r="B17" s="404"/>
      <c r="C17" s="404" t="s">
        <v>2029</v>
      </c>
      <c r="D17" s="404">
        <f>4+2-2+2</f>
        <v>6</v>
      </c>
      <c r="E17" s="404">
        <f>120+60+2-2-120-60+52</f>
        <v>52</v>
      </c>
      <c r="F17" s="404"/>
      <c r="G17" s="404"/>
      <c r="H17" s="404"/>
      <c r="I17" s="404"/>
    </row>
    <row r="18" spans="1:9">
      <c r="A18" s="403"/>
      <c r="B18" s="404"/>
      <c r="C18" s="404" t="s">
        <v>2030</v>
      </c>
      <c r="D18" s="404">
        <f>2+44-44</f>
        <v>2</v>
      </c>
      <c r="E18" s="404">
        <f>44</f>
        <v>44</v>
      </c>
      <c r="F18" s="404"/>
      <c r="G18" s="404"/>
      <c r="H18" s="404"/>
      <c r="I18" s="404"/>
    </row>
    <row r="19" spans="1:9">
      <c r="A19" s="403"/>
      <c r="B19" s="404"/>
      <c r="C19" s="404" t="s">
        <v>2031</v>
      </c>
      <c r="D19" s="404">
        <f>2-2</f>
        <v>0</v>
      </c>
      <c r="E19" s="404">
        <f>54+79</f>
        <v>133</v>
      </c>
      <c r="F19" s="404"/>
      <c r="G19" s="404"/>
      <c r="H19" s="404"/>
      <c r="I19" s="404"/>
    </row>
    <row r="20" spans="1:9">
      <c r="A20" s="403"/>
      <c r="B20" s="404"/>
      <c r="C20" s="404" t="s">
        <v>2032</v>
      </c>
      <c r="D20" s="404">
        <f>16</f>
        <v>16</v>
      </c>
      <c r="E20" s="404"/>
      <c r="F20" s="404"/>
      <c r="G20" s="404"/>
      <c r="H20" s="404"/>
      <c r="I20" s="404"/>
    </row>
    <row r="21" spans="1:9">
      <c r="A21" s="403"/>
      <c r="B21" s="404"/>
      <c r="C21" s="404" t="s">
        <v>2033</v>
      </c>
      <c r="D21" s="404">
        <f>70</f>
        <v>70</v>
      </c>
      <c r="E21" s="404">
        <f>13-13</f>
        <v>0</v>
      </c>
      <c r="F21" s="404"/>
      <c r="G21" s="404"/>
      <c r="H21" s="404"/>
      <c r="I21" s="404"/>
    </row>
    <row r="22" spans="1:9">
      <c r="A22" s="403"/>
      <c r="B22" s="404"/>
      <c r="C22" s="404" t="s">
        <v>2034</v>
      </c>
      <c r="D22" s="404">
        <f>13-13</f>
        <v>0</v>
      </c>
      <c r="E22" s="404">
        <f>13-13</f>
        <v>0</v>
      </c>
      <c r="F22" s="404"/>
      <c r="G22" s="404"/>
      <c r="H22" s="404"/>
      <c r="I22" s="404"/>
    </row>
    <row r="23" spans="1:9">
      <c r="A23" s="403"/>
      <c r="B23" s="404"/>
      <c r="C23" s="404" t="s">
        <v>2035</v>
      </c>
      <c r="D23" s="404">
        <f>1</f>
        <v>1</v>
      </c>
      <c r="E23" s="404">
        <f>68+1+40</f>
        <v>109</v>
      </c>
      <c r="F23" s="404"/>
      <c r="G23" s="404"/>
      <c r="H23" s="404"/>
      <c r="I23" s="404"/>
    </row>
    <row r="24" spans="1:9">
      <c r="A24" s="403">
        <v>3</v>
      </c>
      <c r="B24" s="404" t="s">
        <v>2036</v>
      </c>
      <c r="C24" s="404" t="s">
        <v>2037</v>
      </c>
      <c r="D24" s="404"/>
      <c r="E24" s="404">
        <f>2-2+38</f>
        <v>38</v>
      </c>
      <c r="F24" s="404"/>
      <c r="G24" s="404"/>
      <c r="H24" s="404"/>
      <c r="I24" s="404"/>
    </row>
    <row r="25" spans="1:9">
      <c r="A25" s="403"/>
      <c r="B25" s="404"/>
      <c r="C25" s="404" t="s">
        <v>2038</v>
      </c>
      <c r="D25" s="404">
        <f>1-1</f>
        <v>0</v>
      </c>
      <c r="E25" s="404">
        <f>24-24</f>
        <v>0</v>
      </c>
      <c r="F25" s="404"/>
      <c r="G25" s="404"/>
      <c r="H25" s="404"/>
      <c r="I25" s="404"/>
    </row>
    <row r="26" spans="1:9">
      <c r="A26" s="403"/>
      <c r="B26" s="404"/>
      <c r="C26" s="404" t="s">
        <v>2039</v>
      </c>
      <c r="D26" s="404">
        <f>10</f>
        <v>10</v>
      </c>
      <c r="E26" s="404"/>
      <c r="F26" s="404"/>
      <c r="G26" s="404"/>
      <c r="H26" s="404"/>
      <c r="I26" s="404"/>
    </row>
    <row r="27" spans="1:9">
      <c r="A27" s="403"/>
      <c r="B27" s="404"/>
      <c r="C27" s="404" t="s">
        <v>2040</v>
      </c>
      <c r="D27" s="404"/>
      <c r="E27" s="404"/>
      <c r="F27" s="404"/>
      <c r="G27" s="404"/>
      <c r="H27" s="404"/>
      <c r="I27" s="404"/>
    </row>
    <row r="28" spans="1:9">
      <c r="A28" s="403"/>
      <c r="B28" s="404"/>
      <c r="C28" s="404" t="s">
        <v>2041</v>
      </c>
      <c r="D28" s="404">
        <f>44-44</f>
        <v>0</v>
      </c>
      <c r="E28" s="404">
        <f>44-44</f>
        <v>0</v>
      </c>
      <c r="F28" s="404"/>
      <c r="G28" s="404"/>
      <c r="H28" s="404"/>
      <c r="I28" s="404"/>
    </row>
    <row r="29" spans="1:9">
      <c r="A29" s="403"/>
      <c r="B29" s="404"/>
      <c r="C29" s="404" t="s">
        <v>2042</v>
      </c>
      <c r="D29" s="404">
        <f>33-33</f>
        <v>0</v>
      </c>
      <c r="E29" s="404">
        <f>87+33+49-87-33</f>
        <v>49</v>
      </c>
      <c r="F29" s="404"/>
      <c r="G29" s="404"/>
      <c r="H29" s="404"/>
      <c r="I29" s="404"/>
    </row>
    <row r="30" spans="1:9">
      <c r="A30" s="403"/>
      <c r="B30" s="404"/>
      <c r="C30" s="404" t="s">
        <v>2043</v>
      </c>
      <c r="D30" s="404">
        <f>14-14</f>
        <v>0</v>
      </c>
      <c r="E30" s="404">
        <f>14-14</f>
        <v>0</v>
      </c>
      <c r="F30" s="404"/>
      <c r="G30" s="404"/>
      <c r="H30" s="404"/>
      <c r="I30" s="404"/>
    </row>
    <row r="31" spans="1:9">
      <c r="A31" s="403"/>
      <c r="B31" s="404"/>
      <c r="C31" s="404" t="s">
        <v>2044</v>
      </c>
      <c r="D31" s="404">
        <f>43-43</f>
        <v>0</v>
      </c>
      <c r="E31" s="404">
        <v>43</v>
      </c>
      <c r="F31" s="404"/>
      <c r="G31" s="404"/>
      <c r="H31" s="404"/>
      <c r="I31" s="404"/>
    </row>
    <row r="32" spans="1:9">
      <c r="A32" s="403"/>
      <c r="B32" s="404"/>
      <c r="C32" s="404" t="s">
        <v>2045</v>
      </c>
      <c r="D32" s="404">
        <f>19-19</f>
        <v>0</v>
      </c>
      <c r="E32" s="404">
        <v>19</v>
      </c>
      <c r="F32" s="404"/>
      <c r="G32" s="404"/>
      <c r="H32" s="404"/>
      <c r="I32" s="404"/>
    </row>
    <row r="33" spans="1:9">
      <c r="A33" s="403"/>
      <c r="B33" s="404"/>
      <c r="C33" s="404" t="s">
        <v>2046</v>
      </c>
      <c r="D33" s="404"/>
      <c r="E33" s="404">
        <f>46</f>
        <v>46</v>
      </c>
      <c r="F33" s="404"/>
      <c r="G33" s="404"/>
      <c r="H33" s="404"/>
      <c r="I33" s="404"/>
    </row>
    <row r="34" spans="1:9">
      <c r="A34" s="403"/>
      <c r="B34" s="404"/>
      <c r="C34" s="598" t="s">
        <v>2304</v>
      </c>
      <c r="D34" s="404"/>
      <c r="E34" s="404">
        <v>60</v>
      </c>
      <c r="F34" s="404"/>
      <c r="G34" s="404"/>
      <c r="H34" s="404"/>
      <c r="I34" s="404"/>
    </row>
    <row r="35" spans="1:9">
      <c r="A35" s="403">
        <v>4</v>
      </c>
      <c r="B35" s="404" t="s">
        <v>2047</v>
      </c>
      <c r="C35" s="404" t="s">
        <v>2048</v>
      </c>
      <c r="D35" s="404">
        <v>70</v>
      </c>
      <c r="E35" s="404">
        <f>50+40-50-40+56</f>
        <v>56</v>
      </c>
      <c r="F35" s="404"/>
      <c r="G35" s="404"/>
      <c r="H35" s="404"/>
      <c r="I35" s="404"/>
    </row>
    <row r="36" spans="1:9">
      <c r="A36" s="403"/>
      <c r="B36" s="404"/>
      <c r="C36" s="404" t="s">
        <v>2049</v>
      </c>
      <c r="D36" s="404">
        <f>1+1+1+21-21</f>
        <v>3</v>
      </c>
      <c r="E36" s="404">
        <f>78+69+1+31+97+40-97-69-1-78-31-40+37+21</f>
        <v>58</v>
      </c>
      <c r="F36" s="404"/>
      <c r="G36" s="404"/>
      <c r="H36" s="404"/>
      <c r="I36" s="404"/>
    </row>
    <row r="37" spans="1:9">
      <c r="A37" s="403"/>
      <c r="B37" s="404"/>
      <c r="C37" s="404" t="s">
        <v>2050</v>
      </c>
      <c r="D37" s="404">
        <f>6-6</f>
        <v>0</v>
      </c>
      <c r="E37" s="404">
        <f>101+2+37+20+2-101-2-37-20-2+6</f>
        <v>6</v>
      </c>
      <c r="F37" s="404"/>
      <c r="G37" s="404"/>
      <c r="H37" s="404"/>
      <c r="I37" s="404"/>
    </row>
    <row r="38" spans="1:9">
      <c r="A38" s="403"/>
      <c r="B38" s="404"/>
      <c r="C38" s="404" t="s">
        <v>2051</v>
      </c>
      <c r="D38" s="404"/>
      <c r="E38" s="404">
        <v>44</v>
      </c>
      <c r="F38" s="404"/>
      <c r="G38" s="404"/>
      <c r="H38" s="404"/>
      <c r="I38" s="404"/>
    </row>
    <row r="39" spans="1:9">
      <c r="A39" s="403">
        <v>5</v>
      </c>
      <c r="B39" s="404" t="s">
        <v>2052</v>
      </c>
      <c r="C39" s="404" t="s">
        <v>2053</v>
      </c>
      <c r="D39" s="404">
        <f>1-1+2+5+3-3+2+13-13+26-26+20+3+20-20+50+21+15-5+60-50-20-1-15-2</f>
        <v>85</v>
      </c>
      <c r="E39" s="404">
        <f>74+1+26-74-1+20-26-20+50+20+1+15+33+40+41+7</f>
        <v>207</v>
      </c>
      <c r="F39" s="404"/>
      <c r="G39" s="404"/>
      <c r="H39" s="404"/>
      <c r="I39" s="404">
        <v>2</v>
      </c>
    </row>
    <row r="40" spans="1:9">
      <c r="A40" s="403"/>
      <c r="B40" s="404"/>
      <c r="C40" s="404" t="s">
        <v>2052</v>
      </c>
      <c r="D40" s="404">
        <f>3+1</f>
        <v>4</v>
      </c>
      <c r="E40" s="404">
        <f>9-9+68+14-14</f>
        <v>68</v>
      </c>
      <c r="F40" s="404"/>
      <c r="G40" s="404"/>
      <c r="H40" s="404"/>
      <c r="I40" s="404"/>
    </row>
    <row r="41" spans="1:9">
      <c r="A41" s="403"/>
      <c r="B41" s="404"/>
      <c r="C41" s="404" t="s">
        <v>2054</v>
      </c>
      <c r="D41" s="404">
        <f>1-1</f>
        <v>0</v>
      </c>
      <c r="E41" s="404">
        <f>53+35</f>
        <v>88</v>
      </c>
      <c r="F41" s="404"/>
      <c r="G41" s="404"/>
      <c r="H41" s="404"/>
      <c r="I41" s="404"/>
    </row>
    <row r="42" spans="1:9">
      <c r="A42" s="403"/>
      <c r="B42" s="404"/>
      <c r="C42" s="404" t="s">
        <v>2055</v>
      </c>
      <c r="D42" s="404"/>
      <c r="E42" s="404"/>
      <c r="F42" s="404"/>
      <c r="G42" s="404"/>
      <c r="H42" s="404"/>
      <c r="I42" s="404"/>
    </row>
    <row r="43" spans="1:9">
      <c r="A43" s="403"/>
      <c r="B43" s="404"/>
      <c r="C43" s="404" t="s">
        <v>2056</v>
      </c>
      <c r="D43" s="404"/>
      <c r="E43" s="404">
        <f>51+1-51</f>
        <v>1</v>
      </c>
      <c r="F43" s="404"/>
      <c r="G43" s="404"/>
      <c r="H43" s="404"/>
      <c r="I43" s="404"/>
    </row>
    <row r="44" spans="1:9">
      <c r="A44" s="403"/>
      <c r="B44" s="404"/>
      <c r="C44" s="404" t="s">
        <v>2057</v>
      </c>
      <c r="D44" s="404">
        <f>4-4</f>
        <v>0</v>
      </c>
      <c r="E44" s="404"/>
      <c r="F44" s="404"/>
      <c r="G44" s="404"/>
      <c r="H44" s="404"/>
      <c r="I44" s="404"/>
    </row>
    <row r="45" spans="1:9">
      <c r="A45" s="403"/>
      <c r="B45" s="404"/>
      <c r="C45" s="404" t="s">
        <v>2058</v>
      </c>
      <c r="D45" s="404">
        <f>24+18-24-18</f>
        <v>0</v>
      </c>
      <c r="E45" s="404">
        <f>24-24</f>
        <v>0</v>
      </c>
      <c r="F45" s="404"/>
      <c r="G45" s="404"/>
      <c r="H45" s="404"/>
      <c r="I45" s="404"/>
    </row>
    <row r="46" spans="1:9">
      <c r="A46" s="403"/>
      <c r="B46" s="404"/>
      <c r="C46" s="404" t="s">
        <v>2059</v>
      </c>
      <c r="D46" s="404"/>
      <c r="E46" s="404">
        <f>50-50</f>
        <v>0</v>
      </c>
      <c r="F46" s="404"/>
      <c r="G46" s="404"/>
      <c r="H46" s="404"/>
      <c r="I46" s="404"/>
    </row>
    <row r="47" spans="1:9">
      <c r="A47" s="403"/>
      <c r="B47" s="404"/>
      <c r="C47" s="404" t="s">
        <v>2060</v>
      </c>
      <c r="D47" s="404"/>
      <c r="E47" s="404">
        <f>69+1</f>
        <v>70</v>
      </c>
      <c r="F47" s="404"/>
      <c r="G47" s="404"/>
      <c r="H47" s="404"/>
      <c r="I47" s="404"/>
    </row>
    <row r="48" spans="1:9">
      <c r="A48" s="403"/>
      <c r="B48" s="404"/>
      <c r="C48" s="404" t="s">
        <v>2061</v>
      </c>
      <c r="D48" s="404"/>
      <c r="E48" s="404">
        <f>63+5</f>
        <v>68</v>
      </c>
      <c r="F48" s="404"/>
      <c r="G48" s="404"/>
      <c r="H48" s="404"/>
      <c r="I48" s="404"/>
    </row>
    <row r="49" spans="1:9">
      <c r="A49" s="403"/>
      <c r="B49" s="404"/>
      <c r="C49" s="404" t="s">
        <v>2062</v>
      </c>
      <c r="D49" s="404"/>
      <c r="E49" s="404">
        <f>25</f>
        <v>25</v>
      </c>
      <c r="F49" s="404"/>
      <c r="G49" s="404"/>
      <c r="H49" s="404"/>
      <c r="I49" s="404"/>
    </row>
    <row r="50" spans="1:9">
      <c r="A50" s="403"/>
      <c r="B50" s="404"/>
      <c r="C50" s="404" t="s">
        <v>2063</v>
      </c>
      <c r="D50" s="404">
        <f>39+37-39-37</f>
        <v>0</v>
      </c>
      <c r="E50" s="404">
        <f>39+37</f>
        <v>76</v>
      </c>
      <c r="F50" s="404"/>
      <c r="G50" s="404"/>
      <c r="H50" s="404"/>
      <c r="I50" s="404"/>
    </row>
    <row r="51" spans="1:9">
      <c r="A51" s="403"/>
      <c r="B51" s="404"/>
      <c r="C51" s="598" t="s">
        <v>2305</v>
      </c>
      <c r="D51" s="404"/>
      <c r="E51" s="404">
        <v>61</v>
      </c>
      <c r="F51" s="404"/>
      <c r="G51" s="404"/>
      <c r="H51" s="404"/>
      <c r="I51" s="404"/>
    </row>
    <row r="52" spans="1:9">
      <c r="A52" s="403"/>
      <c r="B52" s="404"/>
      <c r="C52" s="598" t="s">
        <v>2306</v>
      </c>
      <c r="D52" s="404"/>
      <c r="E52" s="404">
        <v>40</v>
      </c>
      <c r="F52" s="404"/>
      <c r="G52" s="404"/>
      <c r="H52" s="404"/>
      <c r="I52" s="404"/>
    </row>
    <row r="53" spans="1:9">
      <c r="A53" s="403"/>
      <c r="B53" s="404"/>
      <c r="C53" s="598" t="s">
        <v>2308</v>
      </c>
      <c r="D53" s="404"/>
      <c r="E53" s="404">
        <v>38</v>
      </c>
      <c r="F53" s="404"/>
      <c r="G53" s="404"/>
      <c r="H53" s="404"/>
      <c r="I53" s="404"/>
    </row>
    <row r="54" spans="1:9">
      <c r="A54" s="403">
        <v>6</v>
      </c>
      <c r="B54" s="404" t="s">
        <v>755</v>
      </c>
      <c r="C54" s="404" t="s">
        <v>2064</v>
      </c>
      <c r="D54" s="404">
        <f>1+38+3-38</f>
        <v>4</v>
      </c>
      <c r="E54" s="404">
        <f>52-52+38-38</f>
        <v>0</v>
      </c>
      <c r="F54" s="404"/>
      <c r="G54" s="404"/>
      <c r="H54" s="404"/>
      <c r="I54" s="404"/>
    </row>
    <row r="55" spans="1:9">
      <c r="A55" s="403"/>
      <c r="B55" s="404"/>
      <c r="C55" s="404" t="s">
        <v>2065</v>
      </c>
      <c r="D55" s="404">
        <f>57+22-22-57</f>
        <v>0</v>
      </c>
      <c r="E55" s="404">
        <f>57+41</f>
        <v>98</v>
      </c>
      <c r="F55" s="404"/>
      <c r="G55" s="404"/>
      <c r="H55" s="404"/>
      <c r="I55" s="404"/>
    </row>
    <row r="56" spans="1:9">
      <c r="A56" s="403"/>
      <c r="B56" s="404"/>
      <c r="C56" s="404" t="s">
        <v>2066</v>
      </c>
      <c r="D56" s="404"/>
      <c r="E56" s="404">
        <f>30</f>
        <v>30</v>
      </c>
      <c r="F56" s="404"/>
      <c r="G56" s="404"/>
      <c r="H56" s="404"/>
      <c r="I56" s="404"/>
    </row>
    <row r="57" spans="1:9">
      <c r="A57" s="403"/>
      <c r="B57" s="404"/>
      <c r="C57" s="404" t="s">
        <v>2067</v>
      </c>
      <c r="D57" s="404">
        <f>11-11</f>
        <v>0</v>
      </c>
      <c r="E57" s="404">
        <f>11-11+34</f>
        <v>34</v>
      </c>
      <c r="F57" s="404"/>
      <c r="G57" s="404"/>
      <c r="H57" s="404"/>
      <c r="I57" s="404"/>
    </row>
    <row r="58" spans="1:9">
      <c r="A58" s="403"/>
      <c r="B58" s="404"/>
      <c r="C58" s="404" t="s">
        <v>2068</v>
      </c>
      <c r="D58" s="404">
        <f>1-1</f>
        <v>0</v>
      </c>
      <c r="E58" s="404">
        <f>44+1</f>
        <v>45</v>
      </c>
      <c r="F58" s="404"/>
      <c r="G58" s="404"/>
      <c r="H58" s="404"/>
      <c r="I58" s="404"/>
    </row>
    <row r="59" spans="1:9">
      <c r="A59" s="403"/>
      <c r="B59" s="404"/>
      <c r="C59" s="404" t="s">
        <v>2069</v>
      </c>
      <c r="D59" s="404"/>
      <c r="E59" s="404">
        <f>34</f>
        <v>34</v>
      </c>
      <c r="F59" s="404"/>
      <c r="G59" s="404"/>
      <c r="H59" s="404"/>
      <c r="I59" s="404"/>
    </row>
    <row r="60" spans="1:9">
      <c r="A60" s="403"/>
      <c r="B60" s="404"/>
      <c r="C60" s="404" t="s">
        <v>2070</v>
      </c>
      <c r="D60" s="404">
        <f>41-41</f>
        <v>0</v>
      </c>
      <c r="E60" s="404">
        <f>41+59</f>
        <v>100</v>
      </c>
      <c r="F60" s="404"/>
      <c r="G60" s="404"/>
      <c r="H60" s="404"/>
      <c r="I60" s="404"/>
    </row>
    <row r="61" spans="1:9">
      <c r="A61" s="403">
        <v>7</v>
      </c>
      <c r="B61" s="404" t="s">
        <v>2071</v>
      </c>
      <c r="C61" s="404" t="s">
        <v>2072</v>
      </c>
      <c r="D61" s="404">
        <f>25+45-45+19+2-2-19</f>
        <v>25</v>
      </c>
      <c r="E61" s="404">
        <v>19</v>
      </c>
      <c r="F61" s="404"/>
      <c r="G61" s="404"/>
      <c r="H61" s="404"/>
      <c r="I61" s="404"/>
    </row>
    <row r="62" spans="1:9">
      <c r="A62" s="403"/>
      <c r="B62" s="404"/>
      <c r="C62" s="404" t="s">
        <v>2073</v>
      </c>
      <c r="D62" s="404">
        <f>1+1-2</f>
        <v>0</v>
      </c>
      <c r="E62" s="404">
        <f>45-45+2</f>
        <v>2</v>
      </c>
      <c r="F62" s="404"/>
      <c r="G62" s="404"/>
      <c r="H62" s="404"/>
      <c r="I62" s="404"/>
    </row>
    <row r="63" spans="1:9">
      <c r="A63" s="403"/>
      <c r="B63" s="404"/>
      <c r="C63" s="404" t="s">
        <v>2074</v>
      </c>
      <c r="D63" s="404">
        <f>3+11+35-34-11</f>
        <v>4</v>
      </c>
      <c r="E63" s="404">
        <f>46+11+34+13+3-11-34</f>
        <v>62</v>
      </c>
      <c r="F63" s="404"/>
      <c r="G63" s="404"/>
      <c r="H63" s="404"/>
      <c r="I63" s="404"/>
    </row>
    <row r="64" spans="1:9">
      <c r="A64" s="403"/>
      <c r="B64" s="404"/>
      <c r="C64" s="404" t="s">
        <v>2075</v>
      </c>
      <c r="D64" s="404">
        <f>57-57</f>
        <v>0</v>
      </c>
      <c r="E64" s="404">
        <f>57+54</f>
        <v>111</v>
      </c>
      <c r="F64" s="404"/>
      <c r="G64" s="404"/>
      <c r="H64" s="404"/>
      <c r="I64" s="404"/>
    </row>
    <row r="65" spans="1:9">
      <c r="A65" s="403"/>
      <c r="B65" s="404"/>
      <c r="C65" s="404" t="s">
        <v>2076</v>
      </c>
      <c r="D65" s="404">
        <f>4+22-22</f>
        <v>4</v>
      </c>
      <c r="E65" s="404">
        <f>22-22</f>
        <v>0</v>
      </c>
      <c r="F65" s="404"/>
      <c r="G65" s="404"/>
      <c r="H65" s="404"/>
      <c r="I65" s="404"/>
    </row>
    <row r="66" spans="1:9">
      <c r="A66" s="403"/>
      <c r="B66" s="404"/>
      <c r="C66" s="404" t="s">
        <v>2077</v>
      </c>
      <c r="D66" s="404"/>
      <c r="E66" s="404">
        <f>45-45</f>
        <v>0</v>
      </c>
      <c r="F66" s="404"/>
      <c r="G66" s="404"/>
      <c r="H66" s="404"/>
      <c r="I66" s="404"/>
    </row>
    <row r="67" spans="1:9">
      <c r="A67" s="403"/>
      <c r="B67" s="404"/>
      <c r="C67" s="404" t="s">
        <v>2078</v>
      </c>
      <c r="D67" s="404"/>
      <c r="E67" s="404">
        <f>34-34</f>
        <v>0</v>
      </c>
      <c r="F67" s="404"/>
      <c r="G67" s="404"/>
      <c r="H67" s="404"/>
      <c r="I67" s="404"/>
    </row>
    <row r="68" spans="1:9">
      <c r="A68" s="403"/>
      <c r="B68" s="404"/>
      <c r="C68" s="404" t="s">
        <v>2079</v>
      </c>
      <c r="D68" s="404">
        <f>17-17</f>
        <v>0</v>
      </c>
      <c r="E68" s="404">
        <f>17-17</f>
        <v>0</v>
      </c>
      <c r="F68" s="404"/>
      <c r="G68" s="404"/>
      <c r="H68" s="404"/>
      <c r="I68" s="404"/>
    </row>
    <row r="69" spans="1:9">
      <c r="A69" s="403"/>
      <c r="B69" s="404"/>
      <c r="C69" s="404" t="s">
        <v>2080</v>
      </c>
      <c r="D69" s="404">
        <f>59-59</f>
        <v>0</v>
      </c>
      <c r="E69" s="404">
        <f>59</f>
        <v>59</v>
      </c>
      <c r="F69" s="404"/>
      <c r="G69" s="404"/>
      <c r="H69" s="404"/>
      <c r="I69" s="404"/>
    </row>
    <row r="70" spans="1:9">
      <c r="A70" s="403"/>
      <c r="B70" s="404"/>
      <c r="C70" s="404" t="s">
        <v>2081</v>
      </c>
      <c r="D70" s="404">
        <f>45-45</f>
        <v>0</v>
      </c>
      <c r="E70" s="404">
        <f>45-45</f>
        <v>0</v>
      </c>
      <c r="F70" s="404"/>
      <c r="G70" s="404"/>
      <c r="H70" s="404"/>
      <c r="I70" s="404"/>
    </row>
    <row r="71" spans="1:9">
      <c r="A71" s="403"/>
      <c r="B71" s="404"/>
      <c r="C71" s="404" t="s">
        <v>2082</v>
      </c>
      <c r="D71" s="404"/>
      <c r="E71" s="404">
        <f>38</f>
        <v>38</v>
      </c>
      <c r="F71" s="404"/>
      <c r="G71" s="404"/>
      <c r="H71" s="404"/>
      <c r="I71" s="404"/>
    </row>
    <row r="72" spans="1:9">
      <c r="A72" s="403">
        <v>8</v>
      </c>
      <c r="B72" s="404" t="s">
        <v>2083</v>
      </c>
      <c r="C72" s="404" t="s">
        <v>2084</v>
      </c>
      <c r="D72" s="404">
        <f>35-35+15-15</f>
        <v>0</v>
      </c>
      <c r="E72" s="404">
        <f>35-35+15</f>
        <v>15</v>
      </c>
      <c r="F72" s="404"/>
      <c r="G72" s="404"/>
      <c r="H72" s="404"/>
      <c r="I72" s="404"/>
    </row>
    <row r="73" spans="1:9">
      <c r="A73" s="403"/>
      <c r="B73" s="404"/>
      <c r="C73" s="404" t="s">
        <v>2085</v>
      </c>
      <c r="D73" s="404">
        <f>1</f>
        <v>1</v>
      </c>
      <c r="E73" s="404">
        <f>58+18</f>
        <v>76</v>
      </c>
      <c r="F73" s="404"/>
      <c r="G73" s="404"/>
      <c r="H73" s="404"/>
      <c r="I73" s="404"/>
    </row>
    <row r="74" spans="1:9">
      <c r="A74" s="403"/>
      <c r="B74" s="404"/>
      <c r="C74" s="404" t="s">
        <v>2086</v>
      </c>
      <c r="D74" s="404">
        <f>30-30</f>
        <v>0</v>
      </c>
      <c r="E74" s="404">
        <f>30</f>
        <v>30</v>
      </c>
      <c r="F74" s="404"/>
      <c r="G74" s="404"/>
      <c r="H74" s="404"/>
      <c r="I74" s="404"/>
    </row>
    <row r="75" spans="1:9">
      <c r="A75" s="403">
        <v>9</v>
      </c>
      <c r="B75" s="404" t="s">
        <v>2087</v>
      </c>
      <c r="C75" s="404" t="s">
        <v>2087</v>
      </c>
      <c r="D75" s="404">
        <f>4+1-4-1</f>
        <v>0</v>
      </c>
      <c r="E75" s="404">
        <v>29</v>
      </c>
      <c r="F75" s="404"/>
      <c r="G75" s="404"/>
      <c r="H75" s="404"/>
      <c r="I75" s="404"/>
    </row>
    <row r="76" spans="1:9">
      <c r="A76" s="403"/>
      <c r="B76" s="404"/>
      <c r="C76" s="404" t="s">
        <v>2088</v>
      </c>
      <c r="D76" s="404"/>
      <c r="E76" s="404">
        <f>2-2+27+31</f>
        <v>58</v>
      </c>
      <c r="F76" s="404"/>
      <c r="G76" s="404"/>
      <c r="H76" s="404"/>
      <c r="I76" s="404"/>
    </row>
    <row r="77" spans="1:9">
      <c r="A77" s="403"/>
      <c r="B77" s="404"/>
      <c r="C77" s="404" t="s">
        <v>2089</v>
      </c>
      <c r="D77" s="404">
        <f>1-1</f>
        <v>0</v>
      </c>
      <c r="E77" s="404"/>
      <c r="F77" s="404"/>
      <c r="G77" s="404"/>
      <c r="H77" s="404"/>
      <c r="I77" s="404"/>
    </row>
    <row r="78" spans="1:9">
      <c r="A78" s="403"/>
      <c r="B78" s="404"/>
      <c r="C78" s="404" t="s">
        <v>2090</v>
      </c>
      <c r="D78" s="404">
        <f>74-71</f>
        <v>3</v>
      </c>
      <c r="E78" s="404">
        <f>71-71</f>
        <v>0</v>
      </c>
      <c r="F78" s="404"/>
      <c r="G78" s="404"/>
      <c r="H78" s="404"/>
      <c r="I78" s="404"/>
    </row>
    <row r="79" spans="1:9">
      <c r="A79" s="403"/>
      <c r="B79" s="404"/>
      <c r="C79" s="404" t="s">
        <v>2091</v>
      </c>
      <c r="D79" s="404"/>
      <c r="E79" s="404"/>
      <c r="F79" s="404"/>
      <c r="G79" s="404"/>
      <c r="H79" s="404"/>
      <c r="I79" s="404"/>
    </row>
    <row r="80" spans="1:9">
      <c r="A80" s="403"/>
      <c r="B80" s="404"/>
      <c r="C80" s="404" t="s">
        <v>2092</v>
      </c>
      <c r="D80" s="404">
        <f>1</f>
        <v>1</v>
      </c>
      <c r="E80" s="404">
        <f>57</f>
        <v>57</v>
      </c>
      <c r="F80" s="404"/>
      <c r="G80" s="404"/>
      <c r="H80" s="404"/>
      <c r="I80" s="404"/>
    </row>
    <row r="81" spans="1:9">
      <c r="A81" s="403"/>
      <c r="B81" s="404"/>
      <c r="C81" s="404" t="s">
        <v>2309</v>
      </c>
      <c r="D81" s="404"/>
      <c r="E81" s="404">
        <v>41</v>
      </c>
      <c r="F81" s="404"/>
      <c r="G81" s="404"/>
      <c r="H81" s="404"/>
      <c r="I81" s="404"/>
    </row>
    <row r="82" spans="1:9">
      <c r="A82" s="403">
        <v>10</v>
      </c>
      <c r="B82" s="404" t="s">
        <v>2093</v>
      </c>
      <c r="C82" s="404" t="s">
        <v>2094</v>
      </c>
      <c r="D82" s="404">
        <f>70+1+1+22-22</f>
        <v>72</v>
      </c>
      <c r="E82" s="404">
        <f>33+33-33-33+22+33-22</f>
        <v>33</v>
      </c>
      <c r="F82" s="404"/>
      <c r="G82" s="404"/>
      <c r="H82" s="404"/>
      <c r="I82" s="404"/>
    </row>
    <row r="83" spans="1:9">
      <c r="A83" s="403"/>
      <c r="B83" s="404"/>
      <c r="C83" s="404" t="s">
        <v>2095</v>
      </c>
      <c r="D83" s="404">
        <f>3+1+1-1-3-1+38-38</f>
        <v>0</v>
      </c>
      <c r="E83" s="404">
        <f>51-51+66+38</f>
        <v>104</v>
      </c>
      <c r="F83" s="404"/>
      <c r="G83" s="404"/>
      <c r="H83" s="404"/>
      <c r="I83" s="404"/>
    </row>
    <row r="84" spans="1:9">
      <c r="A84" s="403"/>
      <c r="B84" s="404"/>
      <c r="C84" s="404" t="s">
        <v>2096</v>
      </c>
      <c r="D84" s="404">
        <f>3+1</f>
        <v>4</v>
      </c>
      <c r="E84" s="404">
        <f>97-95-2+43+13+31+14</f>
        <v>101</v>
      </c>
      <c r="F84" s="404"/>
      <c r="G84" s="404"/>
      <c r="H84" s="404"/>
      <c r="I84" s="404"/>
    </row>
    <row r="85" spans="1:9">
      <c r="A85" s="403"/>
      <c r="B85" s="404"/>
      <c r="C85" s="404" t="s">
        <v>2097</v>
      </c>
      <c r="D85" s="404">
        <f>54-54</f>
        <v>0</v>
      </c>
      <c r="E85" s="404">
        <f>54</f>
        <v>54</v>
      </c>
      <c r="F85" s="404"/>
      <c r="G85" s="404"/>
      <c r="H85" s="404"/>
      <c r="I85" s="404"/>
    </row>
    <row r="86" spans="1:9">
      <c r="A86" s="403"/>
      <c r="B86" s="404"/>
      <c r="C86" s="404" t="s">
        <v>2098</v>
      </c>
      <c r="D86" s="404">
        <f>1</f>
        <v>1</v>
      </c>
      <c r="E86" s="404">
        <f>3-3+60+52+44</f>
        <v>156</v>
      </c>
      <c r="F86" s="404"/>
      <c r="G86" s="404"/>
      <c r="H86" s="404"/>
      <c r="I86" s="404"/>
    </row>
    <row r="87" spans="1:9">
      <c r="A87" s="403"/>
      <c r="B87" s="404"/>
      <c r="C87" s="404" t="s">
        <v>2099</v>
      </c>
      <c r="D87" s="404">
        <f>71-71</f>
        <v>0</v>
      </c>
      <c r="E87" s="404">
        <f>71</f>
        <v>71</v>
      </c>
      <c r="F87" s="404"/>
      <c r="G87" s="404"/>
      <c r="H87" s="404"/>
      <c r="I87" s="404"/>
    </row>
    <row r="88" spans="1:9">
      <c r="A88" s="403"/>
      <c r="B88" s="404"/>
      <c r="C88" s="404" t="s">
        <v>2100</v>
      </c>
      <c r="D88" s="404">
        <f>43</f>
        <v>43</v>
      </c>
      <c r="E88" s="404"/>
      <c r="F88" s="404"/>
      <c r="G88" s="404"/>
      <c r="H88" s="404"/>
      <c r="I88" s="404"/>
    </row>
    <row r="89" spans="1:9">
      <c r="A89" s="403"/>
      <c r="B89" s="404"/>
      <c r="C89" s="404" t="s">
        <v>2101</v>
      </c>
      <c r="D89" s="404">
        <f>39+1-39</f>
        <v>1</v>
      </c>
      <c r="E89" s="404">
        <v>39</v>
      </c>
      <c r="F89" s="404"/>
      <c r="G89" s="404"/>
      <c r="H89" s="404"/>
      <c r="I89" s="404"/>
    </row>
    <row r="90" spans="1:9">
      <c r="A90" s="403"/>
      <c r="B90" s="404"/>
      <c r="C90" s="404" t="s">
        <v>2102</v>
      </c>
      <c r="D90" s="404">
        <f>15-15</f>
        <v>0</v>
      </c>
      <c r="E90" s="404">
        <f>15+51</f>
        <v>66</v>
      </c>
      <c r="F90" s="404"/>
      <c r="G90" s="404"/>
      <c r="H90" s="404"/>
      <c r="I90" s="404"/>
    </row>
    <row r="91" spans="1:9">
      <c r="A91" s="403">
        <v>11</v>
      </c>
      <c r="B91" s="404" t="s">
        <v>2103</v>
      </c>
      <c r="C91" s="404" t="s">
        <v>2104</v>
      </c>
      <c r="D91" s="404">
        <f>84+63-84-63</f>
        <v>0</v>
      </c>
      <c r="E91" s="404">
        <f>63</f>
        <v>63</v>
      </c>
      <c r="F91" s="404"/>
      <c r="G91" s="404"/>
      <c r="H91" s="404"/>
      <c r="I91" s="404"/>
    </row>
    <row r="92" spans="1:9">
      <c r="A92" s="403"/>
      <c r="B92" s="404"/>
      <c r="C92" s="404" t="s">
        <v>2105</v>
      </c>
      <c r="D92" s="404">
        <f>1</f>
        <v>1</v>
      </c>
      <c r="E92" s="404">
        <f>58</f>
        <v>58</v>
      </c>
      <c r="F92" s="404"/>
      <c r="G92" s="404"/>
      <c r="H92" s="404"/>
      <c r="I92" s="404"/>
    </row>
    <row r="93" spans="1:9">
      <c r="A93" s="403"/>
      <c r="B93" s="404"/>
      <c r="C93" s="404" t="s">
        <v>2106</v>
      </c>
      <c r="D93" s="404">
        <f>53-53</f>
        <v>0</v>
      </c>
      <c r="E93" s="404">
        <f>3+1+53</f>
        <v>57</v>
      </c>
      <c r="F93" s="404"/>
      <c r="G93" s="404"/>
      <c r="H93" s="404"/>
      <c r="I93" s="404"/>
    </row>
    <row r="94" spans="1:9">
      <c r="A94" s="403"/>
      <c r="B94" s="404"/>
      <c r="C94" s="404" t="s">
        <v>2107</v>
      </c>
      <c r="D94" s="404">
        <f>2+1+7+55-7-55-2-1</f>
        <v>0</v>
      </c>
      <c r="E94" s="404">
        <f>47+3+16+7-47-3-16+55-55-7</f>
        <v>0</v>
      </c>
      <c r="F94" s="404"/>
      <c r="G94" s="404"/>
      <c r="H94" s="404"/>
      <c r="I94" s="404"/>
    </row>
    <row r="95" spans="1:9">
      <c r="A95" s="403"/>
      <c r="B95" s="404"/>
      <c r="C95" s="404" t="s">
        <v>2108</v>
      </c>
      <c r="D95" s="404">
        <f>1-1+54+18</f>
        <v>72</v>
      </c>
      <c r="E95" s="404">
        <f>15+12-15-12</f>
        <v>0</v>
      </c>
      <c r="F95" s="404"/>
      <c r="G95" s="404"/>
      <c r="H95" s="404"/>
      <c r="I95" s="404"/>
    </row>
    <row r="96" spans="1:9">
      <c r="A96" s="403"/>
      <c r="B96" s="404"/>
      <c r="C96" s="404" t="s">
        <v>2109</v>
      </c>
      <c r="D96" s="404">
        <f>4+39-4-37+54-54+17-17</f>
        <v>2</v>
      </c>
      <c r="E96" s="404">
        <f>37+18-18+54+31+17</f>
        <v>139</v>
      </c>
      <c r="F96" s="404"/>
      <c r="G96" s="404"/>
      <c r="H96" s="404"/>
      <c r="I96" s="404"/>
    </row>
    <row r="97" spans="1:9">
      <c r="A97" s="403"/>
      <c r="B97" s="404"/>
      <c r="C97" s="404" t="s">
        <v>2110</v>
      </c>
      <c r="D97" s="404">
        <f>13+1+32+28-32-13-28-1</f>
        <v>0</v>
      </c>
      <c r="E97" s="404">
        <f>10-10+32+13+28-13-32-28+44+47+18+44</f>
        <v>153</v>
      </c>
      <c r="F97" s="404"/>
      <c r="G97" s="404"/>
      <c r="H97" s="404"/>
      <c r="I97" s="404"/>
    </row>
    <row r="98" spans="1:9">
      <c r="A98" s="403"/>
      <c r="B98" s="404"/>
      <c r="C98" s="404" t="s">
        <v>2111</v>
      </c>
      <c r="D98" s="404">
        <f>20-20+15-15+28</f>
        <v>28</v>
      </c>
      <c r="E98" s="404">
        <f>38+6+15+4+16+47+20-38-6-16+15-20-15-47-15-4+32</f>
        <v>32</v>
      </c>
      <c r="F98" s="404"/>
      <c r="G98" s="404"/>
      <c r="H98" s="404"/>
      <c r="I98" s="404"/>
    </row>
    <row r="99" spans="1:9">
      <c r="A99" s="403"/>
      <c r="B99" s="404"/>
      <c r="C99" s="404" t="s">
        <v>2112</v>
      </c>
      <c r="D99" s="404">
        <f>21+21+1+21+10-1-10-21+14-14</f>
        <v>42</v>
      </c>
      <c r="E99" s="404">
        <f>64+56+1+69+9+10+21-64-56-1-69-9-10-21+6+13+4+14</f>
        <v>37</v>
      </c>
      <c r="F99" s="404"/>
      <c r="G99" s="404"/>
      <c r="H99" s="404"/>
      <c r="I99" s="404"/>
    </row>
    <row r="100" spans="1:9">
      <c r="A100" s="403"/>
      <c r="B100" s="404"/>
      <c r="C100" s="404" t="s">
        <v>2113</v>
      </c>
      <c r="D100" s="404">
        <f>26+1+2+75+68+41+68-73-1-68-41-68+28+17-1-17-28-18</f>
        <v>11</v>
      </c>
      <c r="E100" s="404">
        <f>28+9+54+14+23+73+68+41-54-14-28-9-23-73-41+25+13+28+18+17+56</f>
        <v>225</v>
      </c>
      <c r="F100" s="404"/>
      <c r="G100" s="404"/>
      <c r="H100" s="404"/>
      <c r="I100" s="404"/>
    </row>
    <row r="101" spans="1:9">
      <c r="A101" s="403"/>
      <c r="B101" s="404"/>
      <c r="C101" s="404" t="s">
        <v>2114</v>
      </c>
      <c r="D101" s="404">
        <f>2-2</f>
        <v>0</v>
      </c>
      <c r="E101" s="404"/>
      <c r="F101" s="404"/>
      <c r="G101" s="404"/>
      <c r="H101" s="404"/>
      <c r="I101" s="404"/>
    </row>
    <row r="102" spans="1:9">
      <c r="A102" s="403"/>
      <c r="B102" s="404"/>
      <c r="C102" s="404" t="s">
        <v>2115</v>
      </c>
      <c r="D102" s="404">
        <f>10+1-11</f>
        <v>0</v>
      </c>
      <c r="E102" s="404">
        <f>10+1+40</f>
        <v>51</v>
      </c>
      <c r="F102" s="404"/>
      <c r="G102" s="404"/>
      <c r="H102" s="404"/>
      <c r="I102" s="404"/>
    </row>
    <row r="103" spans="1:9">
      <c r="A103" s="403"/>
      <c r="B103" s="404"/>
      <c r="C103" s="404" t="s">
        <v>2116</v>
      </c>
      <c r="D103" s="404"/>
      <c r="E103" s="404">
        <f>15</f>
        <v>15</v>
      </c>
      <c r="F103" s="404"/>
      <c r="G103" s="404"/>
      <c r="H103" s="404"/>
      <c r="I103" s="404"/>
    </row>
    <row r="104" spans="1:9">
      <c r="A104" s="403"/>
      <c r="B104" s="404"/>
      <c r="C104" s="404" t="s">
        <v>2117</v>
      </c>
      <c r="D104" s="404">
        <f>6-6</f>
        <v>0</v>
      </c>
      <c r="E104" s="404">
        <f>25+6</f>
        <v>31</v>
      </c>
      <c r="F104" s="404"/>
      <c r="G104" s="404"/>
      <c r="H104" s="404"/>
      <c r="I104" s="404"/>
    </row>
    <row r="105" spans="1:9">
      <c r="A105" s="403"/>
      <c r="B105" s="404"/>
      <c r="C105" s="404" t="s">
        <v>2118</v>
      </c>
      <c r="D105" s="404">
        <f>62</f>
        <v>62</v>
      </c>
      <c r="E105" s="404"/>
      <c r="F105" s="404"/>
      <c r="G105" s="404"/>
      <c r="H105" s="404"/>
      <c r="I105" s="404"/>
    </row>
    <row r="106" spans="1:9">
      <c r="A106" s="403"/>
      <c r="B106" s="404"/>
      <c r="C106" s="404" t="s">
        <v>2119</v>
      </c>
      <c r="D106" s="404">
        <f>31-31</f>
        <v>0</v>
      </c>
      <c r="E106" s="404">
        <f>31</f>
        <v>31</v>
      </c>
      <c r="F106" s="404"/>
      <c r="G106" s="404"/>
      <c r="H106" s="404"/>
      <c r="I106" s="404"/>
    </row>
    <row r="107" spans="1:9">
      <c r="A107" s="403">
        <v>12</v>
      </c>
      <c r="B107" s="404" t="s">
        <v>2120</v>
      </c>
      <c r="C107" s="404" t="s">
        <v>2121</v>
      </c>
      <c r="D107" s="404">
        <f>80+150</f>
        <v>230</v>
      </c>
      <c r="E107" s="404"/>
      <c r="F107" s="404"/>
      <c r="G107" s="404"/>
      <c r="H107" s="404"/>
      <c r="I107" s="404"/>
    </row>
    <row r="108" spans="1:9">
      <c r="A108" s="403">
        <v>13</v>
      </c>
      <c r="B108" s="404" t="s">
        <v>2122</v>
      </c>
      <c r="C108" s="404" t="s">
        <v>2123</v>
      </c>
      <c r="D108" s="404"/>
      <c r="E108" s="404">
        <f>28</f>
        <v>28</v>
      </c>
      <c r="F108" s="404"/>
      <c r="G108" s="404"/>
      <c r="H108" s="404"/>
      <c r="I108" s="404"/>
    </row>
    <row r="109" spans="1:9">
      <c r="A109" s="403"/>
      <c r="B109" s="404"/>
      <c r="C109" s="404" t="s">
        <v>2124</v>
      </c>
      <c r="D109" s="404"/>
      <c r="E109" s="404">
        <f>13+47</f>
        <v>60</v>
      </c>
      <c r="F109" s="404"/>
      <c r="G109" s="404"/>
      <c r="H109" s="404"/>
      <c r="I109" s="404"/>
    </row>
    <row r="110" spans="1:9">
      <c r="A110" s="403"/>
      <c r="B110" s="404"/>
      <c r="C110" s="404" t="s">
        <v>2125</v>
      </c>
      <c r="D110" s="404">
        <f>72-72</f>
        <v>0</v>
      </c>
      <c r="E110" s="404">
        <f>72</f>
        <v>72</v>
      </c>
      <c r="F110" s="404"/>
      <c r="G110" s="404"/>
      <c r="H110" s="404"/>
      <c r="I110" s="404"/>
    </row>
    <row r="111" spans="1:9">
      <c r="A111" s="403"/>
      <c r="B111" s="404"/>
      <c r="C111" s="404" t="s">
        <v>2126</v>
      </c>
      <c r="D111" s="404">
        <f>25-24+70-70</f>
        <v>1</v>
      </c>
      <c r="E111" s="404">
        <f>24-24+70</f>
        <v>70</v>
      </c>
      <c r="F111" s="404"/>
      <c r="G111" s="404"/>
      <c r="H111" s="404"/>
      <c r="I111" s="404"/>
    </row>
    <row r="112" spans="1:9">
      <c r="A112" s="403">
        <v>14</v>
      </c>
      <c r="B112" s="404" t="s">
        <v>2127</v>
      </c>
      <c r="C112" s="404" t="s">
        <v>2128</v>
      </c>
      <c r="D112" s="404">
        <f>22-22+5+1-5</f>
        <v>1</v>
      </c>
      <c r="E112" s="406">
        <f>41+21+22-41-1+5</f>
        <v>47</v>
      </c>
      <c r="F112" s="404"/>
      <c r="G112" s="404"/>
      <c r="H112" s="404"/>
      <c r="I112" s="404"/>
    </row>
    <row r="113" spans="1:9">
      <c r="A113" s="403"/>
      <c r="B113" s="404"/>
      <c r="C113" s="404" t="s">
        <v>2129</v>
      </c>
      <c r="D113" s="404">
        <f>3-3</f>
        <v>0</v>
      </c>
      <c r="E113" s="404">
        <f>11+12+3-12</f>
        <v>14</v>
      </c>
      <c r="F113" s="404"/>
      <c r="G113" s="404"/>
      <c r="H113" s="404"/>
      <c r="I113" s="404"/>
    </row>
    <row r="114" spans="1:9">
      <c r="A114" s="403"/>
      <c r="B114" s="404"/>
      <c r="C114" s="404" t="s">
        <v>2130</v>
      </c>
      <c r="D114" s="404">
        <f>3-3</f>
        <v>0</v>
      </c>
      <c r="E114" s="404">
        <f>17</f>
        <v>17</v>
      </c>
      <c r="F114" s="404"/>
      <c r="G114" s="404"/>
      <c r="H114" s="404"/>
      <c r="I114" s="404"/>
    </row>
    <row r="115" spans="1:9">
      <c r="A115" s="403"/>
      <c r="B115" s="404"/>
      <c r="C115" s="404" t="s">
        <v>2131</v>
      </c>
      <c r="D115" s="404"/>
      <c r="E115" s="404">
        <f>2+93-2</f>
        <v>93</v>
      </c>
      <c r="F115" s="404"/>
      <c r="G115" s="404"/>
      <c r="H115" s="404"/>
      <c r="I115" s="404"/>
    </row>
    <row r="116" spans="1:9">
      <c r="A116" s="404"/>
      <c r="B116" s="404"/>
      <c r="C116" s="404" t="s">
        <v>2132</v>
      </c>
      <c r="D116" s="404">
        <f>64-63-1</f>
        <v>0</v>
      </c>
      <c r="E116" s="404">
        <f>63+1</f>
        <v>64</v>
      </c>
      <c r="F116" s="404"/>
      <c r="G116" s="404"/>
      <c r="H116" s="404"/>
      <c r="I116" s="404"/>
    </row>
    <row r="117" spans="1:9">
      <c r="A117" s="404"/>
      <c r="B117" s="404"/>
      <c r="C117" s="404" t="s">
        <v>2133</v>
      </c>
      <c r="D117" s="404">
        <f>44-44</f>
        <v>0</v>
      </c>
      <c r="E117" s="404">
        <f>44-44+53</f>
        <v>53</v>
      </c>
      <c r="F117" s="404"/>
      <c r="G117" s="404"/>
      <c r="H117" s="404"/>
      <c r="I117" s="404"/>
    </row>
    <row r="118" spans="1:9">
      <c r="A118" s="404"/>
      <c r="B118" s="404"/>
      <c r="C118" s="404" t="s">
        <v>2134</v>
      </c>
      <c r="D118" s="404"/>
      <c r="E118" s="404">
        <f>13</f>
        <v>13</v>
      </c>
      <c r="F118" s="404"/>
      <c r="G118" s="404"/>
      <c r="H118" s="404"/>
      <c r="I118" s="404"/>
    </row>
    <row r="119" spans="1:9">
      <c r="A119" s="404"/>
      <c r="B119" s="404"/>
      <c r="C119" s="404" t="s">
        <v>2135</v>
      </c>
      <c r="D119" s="404"/>
      <c r="E119" s="404">
        <f>40</f>
        <v>40</v>
      </c>
      <c r="F119" s="404"/>
      <c r="G119" s="404"/>
      <c r="H119" s="404"/>
      <c r="I119" s="404"/>
    </row>
    <row r="120" spans="1:9">
      <c r="A120" s="407">
        <v>15</v>
      </c>
      <c r="B120" s="404" t="s">
        <v>2136</v>
      </c>
      <c r="C120" s="404" t="s">
        <v>2137</v>
      </c>
      <c r="D120" s="404">
        <f>43+2+3+4-1+1+34-1-1</f>
        <v>84</v>
      </c>
      <c r="E120" s="404">
        <f>45+132-45-132+74+77+1+1</f>
        <v>153</v>
      </c>
      <c r="F120" s="404"/>
      <c r="G120" s="404"/>
      <c r="H120" s="404"/>
      <c r="I120" s="404"/>
    </row>
    <row r="121" spans="1:9">
      <c r="A121" s="407"/>
      <c r="B121" s="404"/>
      <c r="C121" s="404" t="s">
        <v>2138</v>
      </c>
      <c r="D121" s="404">
        <f>2+16+29+37+85-84-16-29-37</f>
        <v>3</v>
      </c>
      <c r="E121" s="404">
        <f>1+100+61+89+123-100-1-61+84+57+61-89+29+16+37</f>
        <v>407</v>
      </c>
      <c r="F121" s="404"/>
      <c r="G121" s="404"/>
      <c r="H121" s="404"/>
      <c r="I121" s="404"/>
    </row>
    <row r="122" spans="1:9">
      <c r="A122" s="407"/>
      <c r="B122" s="404"/>
      <c r="C122" s="404" t="s">
        <v>2139</v>
      </c>
      <c r="D122" s="404"/>
      <c r="E122" s="404">
        <f>69+24</f>
        <v>93</v>
      </c>
      <c r="F122" s="404"/>
      <c r="G122" s="404"/>
      <c r="H122" s="404"/>
      <c r="I122" s="404"/>
    </row>
    <row r="123" spans="1:9">
      <c r="A123" s="407"/>
      <c r="B123" s="404"/>
      <c r="C123" s="404" t="s">
        <v>2140</v>
      </c>
      <c r="D123" s="404">
        <f>1-1</f>
        <v>0</v>
      </c>
      <c r="E123" s="404"/>
      <c r="F123" s="404"/>
      <c r="G123" s="404"/>
      <c r="H123" s="404"/>
      <c r="I123" s="404"/>
    </row>
    <row r="124" spans="1:9">
      <c r="A124" s="407"/>
      <c r="B124" s="404"/>
      <c r="C124" s="404" t="s">
        <v>2141</v>
      </c>
      <c r="D124" s="404">
        <f>40+85-85-40</f>
        <v>0</v>
      </c>
      <c r="E124" s="404">
        <f>40-40</f>
        <v>0</v>
      </c>
      <c r="F124" s="404"/>
      <c r="G124" s="404"/>
      <c r="H124" s="404"/>
      <c r="I124" s="404"/>
    </row>
    <row r="125" spans="1:9">
      <c r="A125" s="407">
        <v>16</v>
      </c>
      <c r="B125" s="404" t="s">
        <v>2142</v>
      </c>
      <c r="C125" s="404" t="s">
        <v>2143</v>
      </c>
      <c r="D125" s="404">
        <f>31-30</f>
        <v>1</v>
      </c>
      <c r="E125" s="404">
        <f>30-30+90</f>
        <v>90</v>
      </c>
      <c r="F125" s="404"/>
      <c r="G125" s="404"/>
      <c r="H125" s="404"/>
      <c r="I125" s="404"/>
    </row>
    <row r="126" spans="1:9">
      <c r="A126" s="407"/>
      <c r="B126" s="404"/>
      <c r="C126" s="404" t="s">
        <v>2144</v>
      </c>
      <c r="D126" s="404"/>
      <c r="E126" s="404">
        <f>70+23-23-70</f>
        <v>0</v>
      </c>
      <c r="F126" s="404"/>
      <c r="G126" s="404"/>
      <c r="H126" s="404"/>
      <c r="I126" s="404"/>
    </row>
    <row r="127" spans="1:9">
      <c r="A127" s="407">
        <v>17</v>
      </c>
      <c r="B127" s="404" t="s">
        <v>2145</v>
      </c>
      <c r="C127" s="404" t="s">
        <v>2146</v>
      </c>
      <c r="D127" s="404">
        <f>1-1</f>
        <v>0</v>
      </c>
      <c r="E127" s="404"/>
      <c r="F127" s="404"/>
      <c r="G127" s="404"/>
      <c r="H127" s="404"/>
      <c r="I127" s="404"/>
    </row>
    <row r="128" spans="1:9">
      <c r="A128" s="407"/>
      <c r="B128" s="404"/>
      <c r="C128" s="404" t="s">
        <v>2147</v>
      </c>
      <c r="D128" s="404">
        <f>3-3+66-66</f>
        <v>0</v>
      </c>
      <c r="E128" s="404">
        <f>54-54+66</f>
        <v>66</v>
      </c>
      <c r="F128" s="404"/>
      <c r="G128" s="404"/>
      <c r="H128" s="404"/>
      <c r="I128" s="404"/>
    </row>
    <row r="129" spans="1:9">
      <c r="A129" s="407">
        <v>99</v>
      </c>
      <c r="B129" s="404" t="s">
        <v>2148</v>
      </c>
      <c r="C129" s="404"/>
      <c r="D129" s="404">
        <f>27+80</f>
        <v>107</v>
      </c>
      <c r="E129" s="404">
        <f>31+2</f>
        <v>33</v>
      </c>
      <c r="F129" s="404"/>
      <c r="G129" s="404"/>
      <c r="H129" s="404"/>
      <c r="I129" s="404"/>
    </row>
    <row r="130" spans="1:9">
      <c r="A130" s="762" t="s">
        <v>2149</v>
      </c>
      <c r="B130" s="762"/>
      <c r="C130" s="762"/>
      <c r="D130" s="408">
        <f t="shared" ref="D130:I130" si="0">SUM(D5:D129)</f>
        <v>1130</v>
      </c>
      <c r="E130" s="408">
        <f t="shared" si="0"/>
        <v>6233</v>
      </c>
      <c r="F130" s="408">
        <f t="shared" si="0"/>
        <v>0</v>
      </c>
      <c r="G130" s="408">
        <f t="shared" si="0"/>
        <v>0</v>
      </c>
      <c r="H130" s="408">
        <f t="shared" si="0"/>
        <v>0</v>
      </c>
      <c r="I130" s="408">
        <f t="shared" si="0"/>
        <v>2</v>
      </c>
    </row>
    <row r="133" spans="1:9">
      <c r="C133" s="409" t="s">
        <v>2170</v>
      </c>
      <c r="D133" s="409" t="s">
        <v>2165</v>
      </c>
      <c r="E133" s="409" t="s">
        <v>2166</v>
      </c>
    </row>
    <row r="134" spans="1:9">
      <c r="A134" s="413" t="s">
        <v>2169</v>
      </c>
      <c r="B134" s="413"/>
      <c r="C134" s="414"/>
      <c r="D134" s="412">
        <v>125714339496</v>
      </c>
      <c r="E134" s="412">
        <v>176996320663</v>
      </c>
    </row>
    <row r="135" spans="1:9">
      <c r="A135" s="413" t="s">
        <v>2163</v>
      </c>
      <c r="B135" s="413"/>
      <c r="C135" s="414"/>
      <c r="D135" s="412"/>
      <c r="E135" s="412"/>
    </row>
    <row r="136" spans="1:9">
      <c r="A136" s="758" t="s">
        <v>2171</v>
      </c>
      <c r="B136" s="759"/>
      <c r="C136" s="412"/>
      <c r="D136" s="412"/>
      <c r="E136" s="412"/>
    </row>
    <row r="137" spans="1:9">
      <c r="A137" s="758" t="s">
        <v>2172</v>
      </c>
      <c r="B137" s="759"/>
      <c r="C137" s="412">
        <f>(2004+4233)</f>
        <v>6237</v>
      </c>
      <c r="D137" s="412">
        <v>51734386343</v>
      </c>
      <c r="E137" s="412">
        <v>96309034861</v>
      </c>
    </row>
    <row r="138" spans="1:9">
      <c r="A138" s="758" t="s">
        <v>2164</v>
      </c>
      <c r="B138" s="759"/>
      <c r="C138" s="412">
        <v>1162</v>
      </c>
      <c r="D138" s="412">
        <v>46132398672</v>
      </c>
      <c r="E138" s="412">
        <v>44490033224</v>
      </c>
    </row>
    <row r="139" spans="1:9">
      <c r="C139" s="408">
        <f>SUM(C136:C138)</f>
        <v>7399</v>
      </c>
      <c r="D139" s="408">
        <f>(D134-D137-D138)</f>
        <v>27847554481</v>
      </c>
      <c r="E139" s="408">
        <f>(E134-E137-E138)</f>
        <v>36197252578</v>
      </c>
    </row>
    <row r="144" spans="1:9">
      <c r="A144" s="410" t="s">
        <v>2167</v>
      </c>
      <c r="B144" s="410"/>
      <c r="C144" s="412">
        <v>90462831896.25</v>
      </c>
    </row>
    <row r="145" spans="1:4">
      <c r="A145" s="410" t="s">
        <v>2168</v>
      </c>
      <c r="B145" s="410"/>
      <c r="C145" s="412">
        <v>159600000</v>
      </c>
      <c r="D145">
        <v>20</v>
      </c>
    </row>
    <row r="146" spans="1:4">
      <c r="A146" s="756" t="s">
        <v>2164</v>
      </c>
      <c r="B146" s="757"/>
      <c r="C146" s="411">
        <f>SUM(C144:C145)</f>
        <v>90622431896.25</v>
      </c>
    </row>
  </sheetData>
  <autoFilter ref="A1:I130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</autoFilter>
  <mergeCells count="11">
    <mergeCell ref="A146:B146"/>
    <mergeCell ref="A136:B136"/>
    <mergeCell ref="A137:B137"/>
    <mergeCell ref="A138:B138"/>
    <mergeCell ref="A1:I1"/>
    <mergeCell ref="D3:I3"/>
    <mergeCell ref="A130:C130"/>
    <mergeCell ref="A3:A4"/>
    <mergeCell ref="B3:B4"/>
    <mergeCell ref="C3:C4"/>
    <mergeCell ref="A2:I2"/>
  </mergeCells>
  <pageMargins left="0.70866141732283472" right="0.70866141732283472" top="0.74803149606299213" bottom="0.74803149606299213" header="0.31496062992125984" footer="0.31496062992125984"/>
  <pageSetup paperSize="14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view="pageBreakPreview" zoomScaleNormal="100" zoomScaleSheetLayoutView="100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H16" sqref="H16"/>
    </sheetView>
  </sheetViews>
  <sheetFormatPr baseColWidth="10" defaultRowHeight="15"/>
  <cols>
    <col min="2" max="2" width="13.28515625" customWidth="1"/>
    <col min="3" max="3" width="22.42578125" bestFit="1" customWidth="1"/>
    <col min="4" max="5" width="14.7109375" bestFit="1" customWidth="1"/>
    <col min="7" max="7" width="10.85546875" customWidth="1"/>
  </cols>
  <sheetData>
    <row r="1" spans="1:9">
      <c r="A1" s="760" t="s">
        <v>2155</v>
      </c>
      <c r="B1" s="760"/>
      <c r="C1" s="760"/>
      <c r="D1" s="760"/>
      <c r="E1" s="760"/>
      <c r="F1" s="760"/>
      <c r="G1" s="760"/>
      <c r="H1" s="760"/>
      <c r="I1" s="760"/>
    </row>
    <row r="2" spans="1:9">
      <c r="A2" s="760" t="s">
        <v>2007</v>
      </c>
      <c r="B2" s="760"/>
      <c r="C2" s="760"/>
      <c r="D2" s="760"/>
      <c r="E2" s="760"/>
      <c r="F2" s="760"/>
      <c r="G2" s="760"/>
      <c r="H2" s="760"/>
      <c r="I2" s="760"/>
    </row>
    <row r="3" spans="1:9">
      <c r="A3" s="763" t="s">
        <v>2008</v>
      </c>
      <c r="B3" s="763" t="s">
        <v>1287</v>
      </c>
      <c r="C3" s="763" t="s">
        <v>2009</v>
      </c>
      <c r="D3" s="761" t="s">
        <v>2010</v>
      </c>
      <c r="E3" s="761"/>
      <c r="F3" s="761"/>
      <c r="G3" s="761"/>
      <c r="H3" s="761"/>
      <c r="I3" s="761"/>
    </row>
    <row r="4" spans="1:9">
      <c r="A4" s="763"/>
      <c r="B4" s="763"/>
      <c r="C4" s="763"/>
      <c r="D4" s="587" t="s">
        <v>2011</v>
      </c>
      <c r="E4" s="587" t="s">
        <v>2012</v>
      </c>
      <c r="F4" s="587" t="s">
        <v>2013</v>
      </c>
      <c r="G4" s="587" t="s">
        <v>2014</v>
      </c>
      <c r="H4" s="587" t="s">
        <v>2015</v>
      </c>
      <c r="I4" s="587" t="s">
        <v>2016</v>
      </c>
    </row>
    <row r="5" spans="1:9">
      <c r="A5" s="403">
        <v>1</v>
      </c>
      <c r="B5" s="404" t="s">
        <v>2017</v>
      </c>
      <c r="C5" s="404"/>
      <c r="D5" s="598">
        <f>87-40</f>
        <v>47</v>
      </c>
      <c r="E5" s="598">
        <f>623+40+60</f>
        <v>723</v>
      </c>
      <c r="F5" s="406"/>
      <c r="G5" s="404"/>
      <c r="H5" s="404"/>
      <c r="I5" s="404"/>
    </row>
    <row r="6" spans="1:9">
      <c r="A6" s="403">
        <v>2</v>
      </c>
      <c r="B6" s="404" t="s">
        <v>2025</v>
      </c>
      <c r="C6" s="404"/>
      <c r="D6" s="598">
        <v>103</v>
      </c>
      <c r="E6" s="598">
        <f>263+46+54+40+79</f>
        <v>482</v>
      </c>
      <c r="F6" s="404"/>
      <c r="G6" s="404"/>
      <c r="H6" s="404"/>
      <c r="I6" s="404"/>
    </row>
    <row r="7" spans="1:9">
      <c r="A7" s="403">
        <v>3</v>
      </c>
      <c r="B7" s="404" t="s">
        <v>2036</v>
      </c>
      <c r="C7" s="404"/>
      <c r="D7" s="598">
        <f>72-43-19</f>
        <v>10</v>
      </c>
      <c r="E7" s="598">
        <f>133+43+19+60</f>
        <v>255</v>
      </c>
      <c r="F7" s="404"/>
      <c r="G7" s="404"/>
      <c r="H7" s="404"/>
      <c r="I7" s="404"/>
    </row>
    <row r="8" spans="1:9">
      <c r="A8" s="403">
        <v>4</v>
      </c>
      <c r="B8" s="404" t="s">
        <v>2047</v>
      </c>
      <c r="C8" s="404"/>
      <c r="D8" s="598">
        <f>100-21-6</f>
        <v>73</v>
      </c>
      <c r="E8" s="598">
        <f>137+21+6</f>
        <v>164</v>
      </c>
      <c r="F8" s="404"/>
      <c r="G8" s="404"/>
      <c r="H8" s="404"/>
      <c r="I8" s="404"/>
    </row>
    <row r="9" spans="1:9">
      <c r="A9" s="403">
        <v>5</v>
      </c>
      <c r="B9" s="404" t="s">
        <v>2052</v>
      </c>
      <c r="C9" s="404"/>
      <c r="D9" s="598">
        <v>89</v>
      </c>
      <c r="E9" s="598">
        <v>742</v>
      </c>
      <c r="F9" s="404"/>
      <c r="G9" s="404"/>
      <c r="H9" s="404"/>
      <c r="I9" s="404">
        <v>2</v>
      </c>
    </row>
    <row r="10" spans="1:9">
      <c r="A10" s="403">
        <v>6</v>
      </c>
      <c r="B10" s="404" t="s">
        <v>755</v>
      </c>
      <c r="C10" s="404"/>
      <c r="D10" s="598">
        <f>46-1-41</f>
        <v>4</v>
      </c>
      <c r="E10" s="598">
        <f>240+1+41+59</f>
        <v>341</v>
      </c>
      <c r="F10" s="404"/>
      <c r="G10" s="404"/>
      <c r="H10" s="404"/>
      <c r="I10" s="404"/>
    </row>
    <row r="11" spans="1:9">
      <c r="A11" s="403">
        <v>7</v>
      </c>
      <c r="B11" s="404" t="s">
        <v>2071</v>
      </c>
      <c r="C11" s="404"/>
      <c r="D11" s="598">
        <f>111-2-19-57</f>
        <v>33</v>
      </c>
      <c r="E11" s="598">
        <f>159+2+19+57+54</f>
        <v>291</v>
      </c>
      <c r="F11" s="404"/>
      <c r="G11" s="404"/>
      <c r="H11" s="404"/>
      <c r="I11" s="404"/>
    </row>
    <row r="12" spans="1:9">
      <c r="A12" s="403">
        <v>8</v>
      </c>
      <c r="B12" s="404" t="s">
        <v>2083</v>
      </c>
      <c r="C12" s="404"/>
      <c r="D12" s="598">
        <f>31-30</f>
        <v>1</v>
      </c>
      <c r="E12" s="598">
        <f>91+30</f>
        <v>121</v>
      </c>
      <c r="F12" s="404"/>
      <c r="G12" s="404"/>
      <c r="H12" s="404"/>
      <c r="I12" s="404"/>
    </row>
    <row r="13" spans="1:9">
      <c r="A13" s="403">
        <v>9</v>
      </c>
      <c r="B13" s="404" t="s">
        <v>2087</v>
      </c>
      <c r="C13" s="404"/>
      <c r="D13" s="598">
        <v>4</v>
      </c>
      <c r="E13" s="598">
        <f>115+29+41</f>
        <v>185</v>
      </c>
      <c r="F13" s="404"/>
      <c r="G13" s="404"/>
      <c r="H13" s="404"/>
      <c r="I13" s="404"/>
    </row>
    <row r="14" spans="1:9">
      <c r="A14" s="403">
        <v>10</v>
      </c>
      <c r="B14" s="404" t="s">
        <v>2093</v>
      </c>
      <c r="C14" s="404"/>
      <c r="D14" s="598">
        <f>284-38-71-39-15</f>
        <v>121</v>
      </c>
      <c r="E14" s="598">
        <f>352+38+71+39+15+13+31+51+14</f>
        <v>624</v>
      </c>
      <c r="F14" s="404"/>
      <c r="G14" s="404"/>
      <c r="H14" s="404"/>
      <c r="I14" s="404"/>
    </row>
    <row r="15" spans="1:9">
      <c r="A15" s="403">
        <v>11</v>
      </c>
      <c r="B15" s="404" t="s">
        <v>2103</v>
      </c>
      <c r="C15" s="404"/>
      <c r="D15" s="598">
        <f>413-53-17-14-17-28-18-11-6-31</f>
        <v>218</v>
      </c>
      <c r="E15" s="598">
        <f>460+53+17+47+18+44+32+14+28+18+17+56+10+1+40+6+31</f>
        <v>892</v>
      </c>
      <c r="F15" s="404"/>
      <c r="G15" s="404"/>
      <c r="H15" s="404"/>
      <c r="I15" s="404"/>
    </row>
    <row r="16" spans="1:9">
      <c r="A16" s="403">
        <v>12</v>
      </c>
      <c r="B16" s="404" t="s">
        <v>2120</v>
      </c>
      <c r="C16" s="404"/>
      <c r="D16" s="598">
        <v>230</v>
      </c>
      <c r="E16" s="598"/>
      <c r="F16" s="404"/>
      <c r="G16" s="404"/>
      <c r="H16" s="404"/>
      <c r="I16" s="404"/>
    </row>
    <row r="17" spans="1:9">
      <c r="A17" s="403">
        <v>13</v>
      </c>
      <c r="B17" s="404" t="s">
        <v>2122</v>
      </c>
      <c r="C17" s="404"/>
      <c r="D17" s="598">
        <f>71-70</f>
        <v>1</v>
      </c>
      <c r="E17" s="598">
        <f>160+70</f>
        <v>230</v>
      </c>
      <c r="F17" s="404"/>
      <c r="G17" s="404"/>
      <c r="H17" s="404"/>
      <c r="I17" s="404"/>
    </row>
    <row r="18" spans="1:9">
      <c r="A18" s="403">
        <v>14</v>
      </c>
      <c r="B18" s="404" t="s">
        <v>2127</v>
      </c>
      <c r="C18" s="404"/>
      <c r="D18" s="598">
        <f>2-1</f>
        <v>1</v>
      </c>
      <c r="E18" s="598">
        <f>340+1</f>
        <v>341</v>
      </c>
      <c r="F18" s="404"/>
      <c r="G18" s="404"/>
      <c r="H18" s="404"/>
      <c r="I18" s="404"/>
    </row>
    <row r="19" spans="1:9">
      <c r="A19" s="407">
        <v>15</v>
      </c>
      <c r="B19" s="404" t="s">
        <v>2136</v>
      </c>
      <c r="C19" s="404"/>
      <c r="D19" s="598">
        <f>89-1-1</f>
        <v>87</v>
      </c>
      <c r="E19" s="598">
        <f>651+1+1</f>
        <v>653</v>
      </c>
      <c r="F19" s="404"/>
      <c r="G19" s="404"/>
      <c r="H19" s="404"/>
      <c r="I19" s="404"/>
    </row>
    <row r="20" spans="1:9">
      <c r="A20" s="407">
        <v>16</v>
      </c>
      <c r="B20" s="404" t="s">
        <v>2142</v>
      </c>
      <c r="C20" s="404"/>
      <c r="D20" s="404">
        <v>1</v>
      </c>
      <c r="E20" s="404">
        <v>90</v>
      </c>
      <c r="F20" s="404"/>
      <c r="G20" s="404"/>
      <c r="H20" s="404"/>
      <c r="I20" s="404"/>
    </row>
    <row r="21" spans="1:9">
      <c r="A21" s="407">
        <v>17</v>
      </c>
      <c r="B21" s="404" t="s">
        <v>2145</v>
      </c>
      <c r="C21" s="404"/>
      <c r="D21" s="404">
        <v>0</v>
      </c>
      <c r="E21" s="404">
        <v>66</v>
      </c>
      <c r="F21" s="404"/>
      <c r="G21" s="404"/>
      <c r="H21" s="404"/>
      <c r="I21" s="404"/>
    </row>
    <row r="22" spans="1:9">
      <c r="A22" s="407">
        <v>99</v>
      </c>
      <c r="B22" s="404" t="s">
        <v>2148</v>
      </c>
      <c r="C22" s="404"/>
      <c r="D22" s="404">
        <v>107</v>
      </c>
      <c r="E22" s="404">
        <v>33</v>
      </c>
      <c r="F22" s="404"/>
      <c r="G22" s="404"/>
      <c r="H22" s="404"/>
      <c r="I22" s="404"/>
    </row>
    <row r="23" spans="1:9">
      <c r="A23" s="762" t="s">
        <v>2149</v>
      </c>
      <c r="B23" s="762"/>
      <c r="C23" s="762"/>
      <c r="D23" s="408">
        <f t="shared" ref="D23:I23" si="0">SUM(D5:D22)</f>
        <v>1130</v>
      </c>
      <c r="E23" s="408">
        <f t="shared" si="0"/>
        <v>6233</v>
      </c>
      <c r="F23" s="408">
        <f t="shared" si="0"/>
        <v>0</v>
      </c>
      <c r="G23" s="408">
        <f t="shared" si="0"/>
        <v>0</v>
      </c>
      <c r="H23" s="408">
        <f t="shared" si="0"/>
        <v>0</v>
      </c>
      <c r="I23" s="408">
        <f t="shared" si="0"/>
        <v>2</v>
      </c>
    </row>
    <row r="26" spans="1:9">
      <c r="C26" s="587" t="s">
        <v>2170</v>
      </c>
      <c r="D26" s="587" t="s">
        <v>2165</v>
      </c>
      <c r="E26" s="587" t="s">
        <v>2166</v>
      </c>
    </row>
    <row r="27" spans="1:9">
      <c r="A27" s="413" t="s">
        <v>2169</v>
      </c>
      <c r="B27" s="413"/>
      <c r="C27" s="414"/>
      <c r="D27" s="412">
        <v>125714339496</v>
      </c>
      <c r="E27" s="412">
        <v>176996320663</v>
      </c>
    </row>
    <row r="28" spans="1:9">
      <c r="A28" s="413" t="s">
        <v>2163</v>
      </c>
      <c r="B28" s="413"/>
      <c r="C28" s="414"/>
      <c r="D28" s="412"/>
      <c r="E28" s="412"/>
    </row>
    <row r="29" spans="1:9">
      <c r="A29" s="758" t="s">
        <v>2171</v>
      </c>
      <c r="B29" s="759"/>
      <c r="C29" s="412"/>
      <c r="D29" s="412"/>
      <c r="E29" s="412"/>
    </row>
    <row r="30" spans="1:9">
      <c r="A30" s="758" t="s">
        <v>2172</v>
      </c>
      <c r="B30" s="759"/>
      <c r="C30" s="412">
        <f>(2004+4233)</f>
        <v>6237</v>
      </c>
      <c r="D30" s="412">
        <v>51734386343</v>
      </c>
      <c r="E30" s="412">
        <v>96309034861</v>
      </c>
    </row>
    <row r="31" spans="1:9">
      <c r="A31" s="758" t="s">
        <v>2164</v>
      </c>
      <c r="B31" s="759"/>
      <c r="C31" s="412">
        <v>1162</v>
      </c>
      <c r="D31" s="412">
        <v>46132398672</v>
      </c>
      <c r="E31" s="412">
        <v>44490033224</v>
      </c>
    </row>
    <row r="32" spans="1:9">
      <c r="C32" s="408">
        <f>SUM(C29:C31)</f>
        <v>7399</v>
      </c>
      <c r="D32" s="408">
        <f>(D27-D30-D31)</f>
        <v>27847554481</v>
      </c>
      <c r="E32" s="408">
        <f>(E27-E30-E31)</f>
        <v>36197252578</v>
      </c>
    </row>
    <row r="37" spans="1:4">
      <c r="A37" s="410" t="s">
        <v>2167</v>
      </c>
      <c r="B37" s="410"/>
      <c r="C37" s="412">
        <v>90462831896.25</v>
      </c>
    </row>
    <row r="38" spans="1:4">
      <c r="A38" s="410" t="s">
        <v>2168</v>
      </c>
      <c r="B38" s="410"/>
      <c r="C38" s="412">
        <v>159600000</v>
      </c>
      <c r="D38">
        <v>20</v>
      </c>
    </row>
    <row r="39" spans="1:4">
      <c r="A39" s="756" t="s">
        <v>2164</v>
      </c>
      <c r="B39" s="757"/>
      <c r="C39" s="411">
        <f>SUM(C37:C38)</f>
        <v>90622431896.25</v>
      </c>
    </row>
  </sheetData>
  <autoFilter ref="A1:I23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</autoFilter>
  <mergeCells count="11">
    <mergeCell ref="A23:C23"/>
    <mergeCell ref="A29:B29"/>
    <mergeCell ref="A30:B30"/>
    <mergeCell ref="A31:B31"/>
    <mergeCell ref="A39:B39"/>
    <mergeCell ref="A1:I1"/>
    <mergeCell ref="A2:I2"/>
    <mergeCell ref="A3:A4"/>
    <mergeCell ref="B3:B4"/>
    <mergeCell ref="C3:C4"/>
    <mergeCell ref="D3:I3"/>
  </mergeCells>
  <pageMargins left="0.70866141732283472" right="0.70866141732283472" top="0.74803149606299213" bottom="0.74803149606299213" header="0.31496062992125984" footer="0.31496062992125984"/>
  <pageSetup paperSize="14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400"/>
  <sheetViews>
    <sheetView zoomScale="55" zoomScaleNormal="55" workbookViewId="0">
      <selection activeCell="B215" sqref="B215"/>
    </sheetView>
  </sheetViews>
  <sheetFormatPr baseColWidth="10" defaultRowHeight="15"/>
  <sheetData>
    <row r="1" spans="1:70" s="203" customFormat="1" ht="75.75" customHeight="1">
      <c r="A1" s="765"/>
      <c r="B1" s="765"/>
      <c r="C1" s="765"/>
      <c r="D1" s="765"/>
      <c r="E1" s="765"/>
      <c r="F1" s="765"/>
      <c r="G1" s="765"/>
      <c r="H1" s="765"/>
      <c r="I1" s="765"/>
      <c r="J1" s="765"/>
      <c r="K1" s="765"/>
      <c r="L1" s="765"/>
      <c r="M1" s="765"/>
      <c r="N1" s="765"/>
      <c r="O1" s="765"/>
      <c r="P1" s="765"/>
      <c r="Q1" s="765"/>
      <c r="R1" s="765"/>
      <c r="S1" s="765"/>
      <c r="BI1" s="764"/>
      <c r="BJ1" s="764"/>
      <c r="BK1" s="764"/>
      <c r="BL1" s="764"/>
      <c r="BM1" s="764"/>
      <c r="BN1" s="764"/>
      <c r="BO1" s="764"/>
      <c r="BP1" s="764"/>
      <c r="BQ1" s="764"/>
      <c r="BR1" s="764"/>
    </row>
    <row r="2" spans="1:70" ht="63.75" customHeight="1">
      <c r="A2" s="766" t="s">
        <v>1332</v>
      </c>
      <c r="B2" s="767"/>
      <c r="C2" s="767"/>
      <c r="D2" s="767"/>
      <c r="E2" s="767"/>
      <c r="F2" s="767"/>
      <c r="G2" s="767"/>
      <c r="H2" s="767"/>
      <c r="I2" s="767"/>
      <c r="J2" s="767"/>
      <c r="K2" s="767"/>
      <c r="L2" s="767"/>
      <c r="M2" s="767"/>
      <c r="N2" s="767"/>
      <c r="O2" s="767"/>
      <c r="P2" s="767"/>
      <c r="Q2" s="767"/>
      <c r="R2" s="767"/>
      <c r="S2" s="767"/>
    </row>
    <row r="3" spans="1:70" ht="36">
      <c r="A3" s="137" t="s">
        <v>1049</v>
      </c>
      <c r="B3" s="137" t="s">
        <v>1050</v>
      </c>
      <c r="C3" s="136" t="s">
        <v>2</v>
      </c>
      <c r="D3" s="136" t="s">
        <v>921</v>
      </c>
      <c r="E3" s="136" t="s">
        <v>629</v>
      </c>
      <c r="F3" s="195" t="s">
        <v>1053</v>
      </c>
      <c r="G3" s="195" t="s">
        <v>1054</v>
      </c>
      <c r="H3" s="195" t="s">
        <v>1293</v>
      </c>
      <c r="I3" s="195" t="s">
        <v>521</v>
      </c>
      <c r="J3" s="198" t="s">
        <v>1229</v>
      </c>
      <c r="K3" s="199" t="s">
        <v>1230</v>
      </c>
      <c r="L3" s="190" t="s">
        <v>703</v>
      </c>
      <c r="M3" s="195" t="s">
        <v>1263</v>
      </c>
      <c r="N3" s="195" t="s">
        <v>1264</v>
      </c>
      <c r="O3" s="195" t="s">
        <v>1265</v>
      </c>
      <c r="P3" s="195" t="s">
        <v>1266</v>
      </c>
      <c r="Q3" s="195" t="s">
        <v>1282</v>
      </c>
      <c r="R3" s="195" t="s">
        <v>1288</v>
      </c>
      <c r="S3" s="195" t="s">
        <v>1289</v>
      </c>
    </row>
    <row r="4" spans="1:70">
      <c r="A4" s="117" t="s">
        <v>500</v>
      </c>
      <c r="B4" s="138"/>
      <c r="C4" s="138"/>
      <c r="D4" s="138"/>
      <c r="E4" s="138"/>
      <c r="F4" s="19">
        <v>368</v>
      </c>
      <c r="G4" s="19">
        <v>316</v>
      </c>
      <c r="H4" s="19">
        <v>307</v>
      </c>
      <c r="I4" s="19">
        <v>249</v>
      </c>
      <c r="J4" s="73"/>
      <c r="K4" s="200"/>
      <c r="L4" s="189"/>
      <c r="M4" s="19">
        <v>260</v>
      </c>
      <c r="N4" s="19">
        <v>304</v>
      </c>
      <c r="O4" s="19">
        <v>272</v>
      </c>
      <c r="P4" s="19">
        <v>0</v>
      </c>
      <c r="Q4" s="19">
        <v>171</v>
      </c>
      <c r="S4" s="187">
        <v>2019</v>
      </c>
    </row>
    <row r="5" spans="1:70" ht="56.25">
      <c r="A5" s="160" t="s">
        <v>500</v>
      </c>
      <c r="B5" s="125" t="s">
        <v>717</v>
      </c>
      <c r="C5" s="15" t="s">
        <v>69</v>
      </c>
      <c r="D5" s="88" t="s">
        <v>936</v>
      </c>
      <c r="E5" s="30" t="s">
        <v>715</v>
      </c>
      <c r="F5" s="158"/>
      <c r="G5" s="158">
        <v>60</v>
      </c>
      <c r="H5" s="158"/>
      <c r="I5" s="11"/>
      <c r="J5" s="170">
        <v>0</v>
      </c>
      <c r="K5" s="58" t="s">
        <v>38</v>
      </c>
      <c r="L5" s="103"/>
      <c r="M5" s="158"/>
      <c r="N5" s="158"/>
      <c r="O5" s="158"/>
      <c r="P5" s="158"/>
      <c r="Q5" s="158"/>
      <c r="S5" s="184">
        <v>2019</v>
      </c>
    </row>
    <row r="6" spans="1:70" ht="45">
      <c r="A6" s="160" t="s">
        <v>500</v>
      </c>
      <c r="B6" s="125" t="s">
        <v>718</v>
      </c>
      <c r="C6" s="15" t="s">
        <v>54</v>
      </c>
      <c r="D6" s="88" t="s">
        <v>719</v>
      </c>
      <c r="E6" s="30" t="s">
        <v>720</v>
      </c>
      <c r="F6" s="158"/>
      <c r="G6" s="158">
        <v>13</v>
      </c>
      <c r="H6" s="158"/>
      <c r="I6" s="158"/>
      <c r="J6" s="2">
        <v>0.1</v>
      </c>
      <c r="K6" s="58" t="s">
        <v>38</v>
      </c>
      <c r="L6" s="103"/>
      <c r="M6" s="158"/>
      <c r="N6" s="158"/>
      <c r="O6" s="158"/>
      <c r="P6" s="158"/>
      <c r="Q6" s="158"/>
      <c r="S6" s="184">
        <v>2019</v>
      </c>
    </row>
    <row r="7" spans="1:70" ht="67.5">
      <c r="A7" s="160" t="s">
        <v>500</v>
      </c>
      <c r="B7" s="125" t="s">
        <v>1056</v>
      </c>
      <c r="C7" s="15" t="s">
        <v>54</v>
      </c>
      <c r="D7" s="88" t="s">
        <v>719</v>
      </c>
      <c r="E7" s="30" t="s">
        <v>720</v>
      </c>
      <c r="F7" s="158"/>
      <c r="G7" s="158">
        <v>55</v>
      </c>
      <c r="H7" s="158"/>
      <c r="I7" s="158"/>
      <c r="J7" s="2">
        <v>0.06</v>
      </c>
      <c r="K7" s="58" t="s">
        <v>38</v>
      </c>
      <c r="L7" s="103"/>
      <c r="M7" s="158"/>
      <c r="N7" s="158"/>
      <c r="O7" s="158"/>
      <c r="P7" s="158"/>
      <c r="Q7" s="158"/>
      <c r="S7" s="184">
        <v>2019</v>
      </c>
    </row>
    <row r="8" spans="1:70" ht="45">
      <c r="A8" s="160" t="s">
        <v>500</v>
      </c>
      <c r="B8" s="125" t="s">
        <v>1109</v>
      </c>
      <c r="C8" s="15" t="s">
        <v>16</v>
      </c>
      <c r="D8" s="88" t="s">
        <v>987</v>
      </c>
      <c r="E8" s="30" t="s">
        <v>968</v>
      </c>
      <c r="F8" s="94">
        <v>78</v>
      </c>
      <c r="G8" s="94"/>
      <c r="H8" s="94">
        <v>78</v>
      </c>
      <c r="I8" s="158"/>
      <c r="J8" s="2">
        <v>0.93320000000000003</v>
      </c>
      <c r="K8" s="58" t="s">
        <v>38</v>
      </c>
      <c r="L8" s="103"/>
      <c r="M8" s="158"/>
      <c r="N8" s="158"/>
      <c r="O8" s="158"/>
      <c r="P8" s="158"/>
      <c r="Q8" s="75"/>
      <c r="S8" s="184">
        <v>2019</v>
      </c>
    </row>
    <row r="9" spans="1:70" ht="45">
      <c r="A9" s="160" t="s">
        <v>500</v>
      </c>
      <c r="B9" s="125" t="s">
        <v>1057</v>
      </c>
      <c r="C9" s="15" t="s">
        <v>16</v>
      </c>
      <c r="D9" s="88" t="s">
        <v>11</v>
      </c>
      <c r="E9" s="30" t="s">
        <v>1058</v>
      </c>
      <c r="F9" s="94">
        <v>197</v>
      </c>
      <c r="G9" s="94"/>
      <c r="H9" s="94">
        <v>197</v>
      </c>
      <c r="I9" s="158"/>
      <c r="J9" s="14">
        <v>0.50070000000000003</v>
      </c>
      <c r="K9" s="58" t="s">
        <v>38</v>
      </c>
      <c r="L9" s="103"/>
      <c r="M9" s="158"/>
      <c r="N9" s="158"/>
      <c r="O9" s="158"/>
      <c r="P9" s="158"/>
      <c r="Q9" s="158"/>
      <c r="S9" s="184">
        <v>2019</v>
      </c>
    </row>
    <row r="10" spans="1:70" ht="45">
      <c r="A10" s="160" t="s">
        <v>500</v>
      </c>
      <c r="B10" s="125" t="s">
        <v>1057</v>
      </c>
      <c r="C10" s="15" t="s">
        <v>16</v>
      </c>
      <c r="D10" s="88" t="s">
        <v>11</v>
      </c>
      <c r="E10" s="30" t="s">
        <v>1058</v>
      </c>
      <c r="F10" s="175">
        <v>1</v>
      </c>
      <c r="G10" s="94"/>
      <c r="H10" s="94"/>
      <c r="I10" s="75">
        <v>1</v>
      </c>
      <c r="J10" s="2">
        <v>0</v>
      </c>
      <c r="K10" s="58" t="s">
        <v>521</v>
      </c>
      <c r="L10" s="103"/>
      <c r="M10" s="158"/>
      <c r="N10" s="158"/>
      <c r="O10" s="158"/>
      <c r="P10" s="158"/>
      <c r="Q10" s="158"/>
      <c r="S10" s="184">
        <v>2019</v>
      </c>
    </row>
    <row r="11" spans="1:70" ht="33.75">
      <c r="A11" s="160" t="s">
        <v>500</v>
      </c>
      <c r="B11" s="125" t="s">
        <v>1130</v>
      </c>
      <c r="C11" s="15" t="s">
        <v>46</v>
      </c>
      <c r="D11" s="88" t="s">
        <v>719</v>
      </c>
      <c r="E11" s="30" t="s">
        <v>1113</v>
      </c>
      <c r="F11" s="94">
        <v>32</v>
      </c>
      <c r="G11" s="94"/>
      <c r="H11" s="94">
        <v>32</v>
      </c>
      <c r="I11" s="94"/>
      <c r="J11" s="2">
        <v>9.8500000000000004E-2</v>
      </c>
      <c r="K11" s="58" t="s">
        <v>38</v>
      </c>
      <c r="L11" s="103"/>
      <c r="M11" s="158"/>
      <c r="N11" s="158"/>
      <c r="O11" s="158"/>
      <c r="P11" s="158"/>
      <c r="Q11" s="158"/>
      <c r="S11" s="184">
        <v>2019</v>
      </c>
    </row>
    <row r="12" spans="1:70" ht="33.75">
      <c r="A12" s="160" t="s">
        <v>500</v>
      </c>
      <c r="B12" s="125" t="s">
        <v>1171</v>
      </c>
      <c r="C12" s="192" t="s">
        <v>524</v>
      </c>
      <c r="D12" s="88" t="s">
        <v>1114</v>
      </c>
      <c r="E12" s="30" t="s">
        <v>1113</v>
      </c>
      <c r="F12" s="175">
        <v>60</v>
      </c>
      <c r="G12" s="94"/>
      <c r="H12" s="94"/>
      <c r="I12" s="191">
        <v>60</v>
      </c>
      <c r="J12" s="2">
        <v>0</v>
      </c>
      <c r="K12" s="58" t="s">
        <v>521</v>
      </c>
      <c r="L12" s="103"/>
      <c r="M12" s="158"/>
      <c r="N12" s="158"/>
      <c r="O12" s="158"/>
      <c r="P12" s="158"/>
      <c r="Q12" s="158"/>
      <c r="S12" s="184">
        <v>2019</v>
      </c>
    </row>
    <row r="13" spans="1:70" ht="33.75">
      <c r="A13" s="160" t="s">
        <v>500</v>
      </c>
      <c r="B13" s="125" t="s">
        <v>1171</v>
      </c>
      <c r="C13" s="15" t="s">
        <v>1172</v>
      </c>
      <c r="D13" s="88" t="s">
        <v>1114</v>
      </c>
      <c r="E13" s="30" t="s">
        <v>1113</v>
      </c>
      <c r="F13" s="94"/>
      <c r="G13" s="94">
        <v>1</v>
      </c>
      <c r="H13" s="94"/>
      <c r="I13" s="191">
        <v>1</v>
      </c>
      <c r="J13" s="2">
        <v>0</v>
      </c>
      <c r="K13" s="58" t="s">
        <v>521</v>
      </c>
      <c r="L13" s="103"/>
      <c r="M13" s="158"/>
      <c r="N13" s="158"/>
      <c r="O13" s="158"/>
      <c r="P13" s="158"/>
      <c r="Q13" s="158"/>
      <c r="S13" s="184">
        <v>2019</v>
      </c>
    </row>
    <row r="14" spans="1:70" ht="67.5">
      <c r="A14" s="160" t="s">
        <v>500</v>
      </c>
      <c r="B14" s="125" t="s">
        <v>1231</v>
      </c>
      <c r="C14" s="15" t="s">
        <v>16</v>
      </c>
      <c r="D14" s="88" t="s">
        <v>4</v>
      </c>
      <c r="E14" s="30" t="s">
        <v>1232</v>
      </c>
      <c r="F14" s="94"/>
      <c r="G14" s="94">
        <v>67</v>
      </c>
      <c r="H14" s="94"/>
      <c r="I14" s="191">
        <v>67</v>
      </c>
      <c r="J14" s="2">
        <v>0</v>
      </c>
      <c r="K14" s="58" t="s">
        <v>521</v>
      </c>
      <c r="L14" s="103"/>
      <c r="M14" s="158"/>
      <c r="N14" s="158"/>
      <c r="O14" s="158"/>
      <c r="P14" s="158"/>
      <c r="Q14" s="158"/>
      <c r="S14" s="184">
        <v>2019</v>
      </c>
    </row>
    <row r="15" spans="1:70" ht="67.5">
      <c r="A15" s="160" t="s">
        <v>500</v>
      </c>
      <c r="B15" s="125" t="s">
        <v>1233</v>
      </c>
      <c r="C15" s="15" t="s">
        <v>1234</v>
      </c>
      <c r="D15" s="88" t="s">
        <v>1235</v>
      </c>
      <c r="E15" s="30" t="s">
        <v>1232</v>
      </c>
      <c r="F15" s="94"/>
      <c r="G15" s="94">
        <v>57</v>
      </c>
      <c r="H15" s="94"/>
      <c r="I15" s="191">
        <v>57</v>
      </c>
      <c r="J15" s="2">
        <v>0</v>
      </c>
      <c r="K15" s="58" t="s">
        <v>521</v>
      </c>
      <c r="L15" s="103"/>
      <c r="M15" s="158"/>
      <c r="N15" s="158"/>
      <c r="O15" s="158"/>
      <c r="P15" s="158"/>
      <c r="Q15" s="158"/>
      <c r="S15" s="184">
        <v>2019</v>
      </c>
    </row>
    <row r="16" spans="1:70" ht="56.25">
      <c r="A16" s="160" t="s">
        <v>500</v>
      </c>
      <c r="B16" s="125" t="s">
        <v>1236</v>
      </c>
      <c r="C16" s="15" t="s">
        <v>1237</v>
      </c>
      <c r="D16" s="88" t="s">
        <v>4</v>
      </c>
      <c r="E16" s="30" t="s">
        <v>1232</v>
      </c>
      <c r="F16" s="94"/>
      <c r="G16" s="94">
        <v>63</v>
      </c>
      <c r="H16" s="94"/>
      <c r="I16" s="191">
        <v>63</v>
      </c>
      <c r="J16" s="2">
        <v>0</v>
      </c>
      <c r="K16" s="58" t="s">
        <v>521</v>
      </c>
      <c r="L16" s="103"/>
      <c r="M16" s="158"/>
      <c r="N16" s="158"/>
      <c r="O16" s="158"/>
      <c r="P16" s="158"/>
      <c r="Q16" s="158"/>
      <c r="S16" s="184">
        <v>2019</v>
      </c>
    </row>
    <row r="17" spans="1:19">
      <c r="A17" s="117" t="s">
        <v>501</v>
      </c>
      <c r="B17" s="117"/>
      <c r="C17" s="117"/>
      <c r="D17" s="117"/>
      <c r="E17" s="138"/>
      <c r="F17" s="19">
        <v>597</v>
      </c>
      <c r="G17" s="19">
        <v>209</v>
      </c>
      <c r="H17" s="19">
        <v>630</v>
      </c>
      <c r="I17" s="19">
        <v>158</v>
      </c>
      <c r="J17" s="20"/>
      <c r="K17" s="62"/>
      <c r="L17" s="103"/>
      <c r="M17" s="19">
        <v>197</v>
      </c>
      <c r="N17" s="19">
        <v>277</v>
      </c>
      <c r="O17" s="19">
        <v>436</v>
      </c>
      <c r="P17" s="19">
        <v>55</v>
      </c>
      <c r="Q17" s="19">
        <v>397</v>
      </c>
      <c r="R17" s="185"/>
      <c r="S17" s="187">
        <v>2019</v>
      </c>
    </row>
    <row r="18" spans="1:19" ht="56.25">
      <c r="A18" s="160" t="s">
        <v>501</v>
      </c>
      <c r="B18" s="59" t="s">
        <v>722</v>
      </c>
      <c r="C18" s="86" t="s">
        <v>170</v>
      </c>
      <c r="D18" s="27" t="s">
        <v>32</v>
      </c>
      <c r="E18" s="30" t="s">
        <v>648</v>
      </c>
      <c r="F18" s="158"/>
      <c r="G18" s="158">
        <v>2</v>
      </c>
      <c r="H18" s="158"/>
      <c r="I18" s="158">
        <v>2</v>
      </c>
      <c r="J18" s="2">
        <v>0</v>
      </c>
      <c r="K18" s="58" t="s">
        <v>521</v>
      </c>
      <c r="L18" s="104" t="s">
        <v>1222</v>
      </c>
      <c r="M18" s="158"/>
      <c r="N18" s="158"/>
      <c r="O18" s="158"/>
      <c r="P18" s="158"/>
      <c r="Q18" s="158"/>
      <c r="S18" s="184">
        <v>2019</v>
      </c>
    </row>
    <row r="19" spans="1:19" ht="101.25">
      <c r="A19" s="160" t="s">
        <v>501</v>
      </c>
      <c r="B19" s="86" t="s">
        <v>721</v>
      </c>
      <c r="C19" s="86" t="s">
        <v>170</v>
      </c>
      <c r="D19" s="77" t="s">
        <v>727</v>
      </c>
      <c r="E19" s="30" t="s">
        <v>648</v>
      </c>
      <c r="F19" s="158"/>
      <c r="G19" s="158">
        <v>70</v>
      </c>
      <c r="H19" s="158">
        <v>70</v>
      </c>
      <c r="I19" s="158"/>
      <c r="J19" s="2">
        <v>0.88780000000000003</v>
      </c>
      <c r="K19" s="58" t="s">
        <v>38</v>
      </c>
      <c r="L19" s="104"/>
      <c r="M19" s="158" t="s">
        <v>0</v>
      </c>
      <c r="N19" s="158"/>
      <c r="O19" s="158"/>
      <c r="P19" s="158"/>
      <c r="Q19" s="158"/>
      <c r="S19" s="184">
        <v>2019</v>
      </c>
    </row>
    <row r="20" spans="1:19" ht="101.25">
      <c r="A20" s="160" t="s">
        <v>501</v>
      </c>
      <c r="B20" s="86" t="s">
        <v>1060</v>
      </c>
      <c r="C20" s="86" t="s">
        <v>170</v>
      </c>
      <c r="D20" s="77" t="s">
        <v>727</v>
      </c>
      <c r="E20" s="30" t="s">
        <v>648</v>
      </c>
      <c r="F20" s="158"/>
      <c r="G20" s="158">
        <v>6</v>
      </c>
      <c r="H20" s="158"/>
      <c r="I20" s="158">
        <v>6</v>
      </c>
      <c r="J20" s="2">
        <v>0</v>
      </c>
      <c r="K20" s="58" t="s">
        <v>521</v>
      </c>
      <c r="L20" s="104"/>
      <c r="M20" s="158"/>
      <c r="N20" s="158"/>
      <c r="O20" s="158"/>
      <c r="P20" s="158"/>
      <c r="Q20" s="158"/>
      <c r="S20" s="184">
        <v>2019</v>
      </c>
    </row>
    <row r="21" spans="1:19" ht="33.75">
      <c r="A21" s="160" t="s">
        <v>501</v>
      </c>
      <c r="B21" s="180" t="s">
        <v>42</v>
      </c>
      <c r="C21" s="86" t="s">
        <v>43</v>
      </c>
      <c r="D21" s="77" t="s">
        <v>727</v>
      </c>
      <c r="E21" s="30" t="s">
        <v>650</v>
      </c>
      <c r="F21" s="158"/>
      <c r="G21" s="158">
        <v>2</v>
      </c>
      <c r="H21" s="158"/>
      <c r="I21" s="158">
        <v>2</v>
      </c>
      <c r="J21" s="45">
        <v>0</v>
      </c>
      <c r="K21" s="58" t="s">
        <v>521</v>
      </c>
      <c r="L21" s="104"/>
      <c r="M21" s="158"/>
      <c r="N21" s="158"/>
      <c r="O21" s="158"/>
      <c r="P21" s="158"/>
      <c r="Q21" s="158"/>
      <c r="S21" s="184">
        <v>2019</v>
      </c>
    </row>
    <row r="22" spans="1:19" ht="45">
      <c r="A22" s="160" t="s">
        <v>501</v>
      </c>
      <c r="B22" s="77" t="s">
        <v>1014</v>
      </c>
      <c r="C22" s="88" t="s">
        <v>1015</v>
      </c>
      <c r="D22" s="88" t="s">
        <v>37</v>
      </c>
      <c r="E22" s="30" t="s">
        <v>968</v>
      </c>
      <c r="F22" s="94">
        <v>54</v>
      </c>
      <c r="G22" s="94"/>
      <c r="H22" s="94">
        <v>54</v>
      </c>
      <c r="I22" s="158"/>
      <c r="J22" s="2">
        <v>1</v>
      </c>
      <c r="K22" s="58" t="s">
        <v>646</v>
      </c>
      <c r="L22" s="104"/>
      <c r="M22" s="158"/>
      <c r="N22" s="158"/>
      <c r="O22" s="158"/>
      <c r="P22" s="158">
        <v>54</v>
      </c>
      <c r="Q22" s="158">
        <v>54</v>
      </c>
      <c r="R22">
        <v>2019</v>
      </c>
      <c r="S22" s="184">
        <v>2019</v>
      </c>
    </row>
    <row r="23" spans="1:19" ht="45">
      <c r="A23" s="160" t="s">
        <v>501</v>
      </c>
      <c r="B23" s="77" t="s">
        <v>1014</v>
      </c>
      <c r="C23" s="88" t="s">
        <v>1015</v>
      </c>
      <c r="D23" s="88" t="s">
        <v>37</v>
      </c>
      <c r="E23" s="30" t="s">
        <v>968</v>
      </c>
      <c r="F23" s="94">
        <v>1</v>
      </c>
      <c r="G23" s="94"/>
      <c r="H23" s="94">
        <v>1</v>
      </c>
      <c r="I23" s="158"/>
      <c r="J23" s="2">
        <v>1</v>
      </c>
      <c r="K23" s="58" t="s">
        <v>646</v>
      </c>
      <c r="L23" s="104"/>
      <c r="M23" s="158"/>
      <c r="N23" s="158"/>
      <c r="O23" s="158"/>
      <c r="P23" s="158">
        <v>1</v>
      </c>
      <c r="Q23" s="158">
        <v>1</v>
      </c>
      <c r="R23">
        <v>2019</v>
      </c>
      <c r="S23" s="184">
        <v>2019</v>
      </c>
    </row>
    <row r="24" spans="1:19" ht="45">
      <c r="A24" s="160" t="s">
        <v>501</v>
      </c>
      <c r="B24" s="77" t="s">
        <v>1089</v>
      </c>
      <c r="C24" s="88" t="s">
        <v>16</v>
      </c>
      <c r="D24" s="88" t="s">
        <v>1068</v>
      </c>
      <c r="E24" s="30" t="s">
        <v>1058</v>
      </c>
      <c r="F24" s="94">
        <v>152</v>
      </c>
      <c r="G24" s="94"/>
      <c r="H24" s="94">
        <v>152</v>
      </c>
      <c r="I24" s="158"/>
      <c r="J24" s="2">
        <v>0.58599999999999997</v>
      </c>
      <c r="K24" s="58" t="s">
        <v>38</v>
      </c>
      <c r="L24" s="104"/>
      <c r="M24" s="158"/>
      <c r="N24" s="158"/>
      <c r="O24" s="158"/>
      <c r="P24" s="158"/>
      <c r="Q24" s="158"/>
      <c r="S24" s="184">
        <v>2019</v>
      </c>
    </row>
    <row r="25" spans="1:19" ht="45">
      <c r="A25" s="160" t="s">
        <v>501</v>
      </c>
      <c r="B25" s="77" t="s">
        <v>1089</v>
      </c>
      <c r="C25" s="88" t="s">
        <v>16</v>
      </c>
      <c r="D25" s="88" t="s">
        <v>1068</v>
      </c>
      <c r="E25" s="30" t="s">
        <v>1058</v>
      </c>
      <c r="F25" s="94"/>
      <c r="G25" s="94">
        <v>2</v>
      </c>
      <c r="H25" s="94"/>
      <c r="I25" s="75">
        <v>2</v>
      </c>
      <c r="J25" s="2">
        <v>0</v>
      </c>
      <c r="K25" s="58" t="s">
        <v>521</v>
      </c>
      <c r="L25" s="104"/>
      <c r="M25" s="158"/>
      <c r="N25" s="158"/>
      <c r="O25" s="158"/>
      <c r="P25" s="158"/>
      <c r="Q25" s="158"/>
      <c r="S25" s="184">
        <v>2019</v>
      </c>
    </row>
    <row r="26" spans="1:19" ht="56.25">
      <c r="A26" s="160" t="s">
        <v>501</v>
      </c>
      <c r="B26" s="77" t="s">
        <v>1066</v>
      </c>
      <c r="C26" s="88" t="s">
        <v>1067</v>
      </c>
      <c r="D26" s="88" t="s">
        <v>1068</v>
      </c>
      <c r="E26" s="30" t="s">
        <v>1058</v>
      </c>
      <c r="F26" s="94">
        <v>37</v>
      </c>
      <c r="G26" s="94"/>
      <c r="H26" s="94">
        <v>37</v>
      </c>
      <c r="I26" s="158"/>
      <c r="J26" s="2">
        <v>0.50039999999999996</v>
      </c>
      <c r="K26" s="58" t="s">
        <v>38</v>
      </c>
      <c r="L26" s="104"/>
      <c r="M26" s="158"/>
      <c r="N26" s="158"/>
      <c r="O26" s="158"/>
      <c r="P26" s="158"/>
      <c r="Q26" s="158"/>
      <c r="S26" s="184">
        <v>2019</v>
      </c>
    </row>
    <row r="27" spans="1:19" ht="90">
      <c r="A27" s="160" t="s">
        <v>501</v>
      </c>
      <c r="B27" s="77" t="s">
        <v>1088</v>
      </c>
      <c r="C27" s="88" t="s">
        <v>67</v>
      </c>
      <c r="D27" s="88" t="s">
        <v>1090</v>
      </c>
      <c r="E27" s="30" t="s">
        <v>1058</v>
      </c>
      <c r="F27" s="94">
        <v>120</v>
      </c>
      <c r="G27" s="94"/>
      <c r="H27" s="94">
        <v>120</v>
      </c>
      <c r="I27" s="158"/>
      <c r="J27" s="2">
        <v>0.38850000000000001</v>
      </c>
      <c r="K27" s="58" t="s">
        <v>38</v>
      </c>
      <c r="L27" s="104"/>
      <c r="M27" s="158"/>
      <c r="N27" s="158"/>
      <c r="O27" s="158"/>
      <c r="P27" s="158"/>
      <c r="Q27" s="158"/>
      <c r="S27" s="184">
        <v>2019</v>
      </c>
    </row>
    <row r="28" spans="1:19" ht="90">
      <c r="A28" s="160" t="s">
        <v>501</v>
      </c>
      <c r="B28" s="77" t="s">
        <v>1088</v>
      </c>
      <c r="C28" s="88" t="s">
        <v>67</v>
      </c>
      <c r="D28" s="88" t="s">
        <v>1090</v>
      </c>
      <c r="E28" s="30" t="s">
        <v>1058</v>
      </c>
      <c r="F28" s="175">
        <v>4</v>
      </c>
      <c r="G28" s="94"/>
      <c r="H28" s="94"/>
      <c r="I28" s="75">
        <v>4</v>
      </c>
      <c r="J28" s="2">
        <v>0</v>
      </c>
      <c r="K28" s="58" t="s">
        <v>521</v>
      </c>
      <c r="L28" s="104"/>
      <c r="M28" s="158"/>
      <c r="N28" s="158"/>
      <c r="O28" s="158"/>
      <c r="P28" s="158"/>
      <c r="Q28" s="158"/>
      <c r="S28" s="184">
        <v>2019</v>
      </c>
    </row>
    <row r="29" spans="1:19" ht="78.75">
      <c r="A29" s="160" t="s">
        <v>501</v>
      </c>
      <c r="B29" s="77" t="s">
        <v>1069</v>
      </c>
      <c r="C29" s="88" t="s">
        <v>67</v>
      </c>
      <c r="D29" s="88" t="s">
        <v>1070</v>
      </c>
      <c r="E29" s="30" t="s">
        <v>1058</v>
      </c>
      <c r="F29" s="94">
        <v>60</v>
      </c>
      <c r="G29" s="94"/>
      <c r="H29" s="94">
        <v>60</v>
      </c>
      <c r="I29" s="158"/>
      <c r="J29" s="2">
        <v>0.48359999999999997</v>
      </c>
      <c r="K29" s="134" t="s">
        <v>986</v>
      </c>
      <c r="L29" s="104"/>
      <c r="M29" s="158"/>
      <c r="N29" s="158"/>
      <c r="O29" s="158"/>
      <c r="P29" s="158"/>
      <c r="Q29" s="158"/>
      <c r="S29" s="184">
        <v>2019</v>
      </c>
    </row>
    <row r="30" spans="1:19" ht="78.75">
      <c r="A30" s="160" t="s">
        <v>501</v>
      </c>
      <c r="B30" s="77" t="s">
        <v>1069</v>
      </c>
      <c r="C30" s="88" t="s">
        <v>67</v>
      </c>
      <c r="D30" s="88" t="s">
        <v>1070</v>
      </c>
      <c r="E30" s="30" t="s">
        <v>1058</v>
      </c>
      <c r="F30" s="175">
        <v>2</v>
      </c>
      <c r="G30" s="94"/>
      <c r="H30" s="94"/>
      <c r="I30" s="75">
        <v>2</v>
      </c>
      <c r="J30" s="133">
        <v>0</v>
      </c>
      <c r="K30" s="134" t="s">
        <v>38</v>
      </c>
      <c r="L30" s="104"/>
      <c r="M30" s="158"/>
      <c r="N30" s="158"/>
      <c r="O30" s="158"/>
      <c r="P30" s="158"/>
      <c r="Q30" s="158"/>
      <c r="S30" s="184">
        <v>2019</v>
      </c>
    </row>
    <row r="31" spans="1:19" ht="101.25">
      <c r="A31" s="160" t="s">
        <v>501</v>
      </c>
      <c r="B31" s="172" t="s">
        <v>1262</v>
      </c>
      <c r="C31" s="88" t="s">
        <v>1117</v>
      </c>
      <c r="D31" s="77" t="s">
        <v>727</v>
      </c>
      <c r="E31" s="30" t="s">
        <v>1116</v>
      </c>
      <c r="F31" s="94">
        <v>26</v>
      </c>
      <c r="G31" s="94"/>
      <c r="H31" s="94">
        <v>26</v>
      </c>
      <c r="I31" s="158"/>
      <c r="J31" s="2">
        <v>3.0000000000000001E-3</v>
      </c>
      <c r="K31" s="58" t="s">
        <v>38</v>
      </c>
      <c r="L31" s="104"/>
      <c r="M31" s="158"/>
      <c r="N31" s="158"/>
      <c r="O31" s="158"/>
      <c r="P31" s="158"/>
      <c r="Q31" s="158"/>
      <c r="S31" s="184">
        <v>2019</v>
      </c>
    </row>
    <row r="32" spans="1:19" ht="56.25">
      <c r="A32" s="160" t="s">
        <v>501</v>
      </c>
      <c r="B32" s="77" t="s">
        <v>722</v>
      </c>
      <c r="C32" s="88" t="s">
        <v>1133</v>
      </c>
      <c r="D32" s="88" t="s">
        <v>32</v>
      </c>
      <c r="E32" s="30" t="s">
        <v>1113</v>
      </c>
      <c r="F32" s="175">
        <v>44</v>
      </c>
      <c r="G32" s="158"/>
      <c r="H32" s="158"/>
      <c r="I32" s="158"/>
      <c r="J32" s="2">
        <v>4.0000000000000001E-3</v>
      </c>
      <c r="K32" s="58" t="s">
        <v>38</v>
      </c>
      <c r="L32" s="104"/>
      <c r="M32" s="158"/>
      <c r="N32" s="158"/>
      <c r="O32" s="158"/>
      <c r="P32" s="158"/>
      <c r="Q32" s="158"/>
      <c r="S32" s="184">
        <v>2019</v>
      </c>
    </row>
    <row r="33" spans="1:19" ht="78.75">
      <c r="A33" s="160" t="s">
        <v>501</v>
      </c>
      <c r="B33" s="77" t="s">
        <v>1131</v>
      </c>
      <c r="C33" s="88" t="s">
        <v>1134</v>
      </c>
      <c r="D33" s="88" t="s">
        <v>28</v>
      </c>
      <c r="E33" s="30" t="s">
        <v>1113</v>
      </c>
      <c r="F33" s="158">
        <v>13</v>
      </c>
      <c r="G33" s="158"/>
      <c r="H33" s="158">
        <v>13</v>
      </c>
      <c r="I33" s="176">
        <v>13</v>
      </c>
      <c r="J33" s="2">
        <v>0</v>
      </c>
      <c r="K33" s="58" t="s">
        <v>521</v>
      </c>
      <c r="L33" s="104"/>
      <c r="M33" s="158"/>
      <c r="N33" s="158"/>
      <c r="O33" s="158"/>
      <c r="P33" s="158"/>
      <c r="Q33" s="158"/>
      <c r="S33" s="184">
        <v>2019</v>
      </c>
    </row>
    <row r="34" spans="1:19" ht="45">
      <c r="A34" s="160" t="s">
        <v>501</v>
      </c>
      <c r="B34" s="77" t="s">
        <v>1132</v>
      </c>
      <c r="C34" s="88" t="s">
        <v>16</v>
      </c>
      <c r="D34" s="77" t="s">
        <v>727</v>
      </c>
      <c r="E34" s="30" t="s">
        <v>1113</v>
      </c>
      <c r="F34" s="155">
        <v>34</v>
      </c>
      <c r="G34" s="155"/>
      <c r="H34" s="155">
        <v>34</v>
      </c>
      <c r="I34" s="155"/>
      <c r="J34" s="2">
        <v>0.1171</v>
      </c>
      <c r="K34" s="58" t="s">
        <v>38</v>
      </c>
      <c r="L34" s="104"/>
      <c r="M34" s="158"/>
      <c r="N34" s="158"/>
      <c r="O34" s="158"/>
      <c r="P34" s="158"/>
      <c r="Q34" s="158"/>
      <c r="S34" s="184">
        <v>2019</v>
      </c>
    </row>
    <row r="35" spans="1:19" ht="33.75">
      <c r="A35" s="160" t="s">
        <v>501</v>
      </c>
      <c r="B35" s="77" t="s">
        <v>1215</v>
      </c>
      <c r="C35" s="88" t="s">
        <v>16</v>
      </c>
      <c r="D35" s="77" t="s">
        <v>727</v>
      </c>
      <c r="E35" s="30" t="s">
        <v>1116</v>
      </c>
      <c r="F35" s="158">
        <v>50</v>
      </c>
      <c r="G35" s="94"/>
      <c r="H35" s="94">
        <v>50</v>
      </c>
      <c r="I35" s="158"/>
      <c r="J35" s="2">
        <v>0.16239999999999999</v>
      </c>
      <c r="K35" s="58" t="s">
        <v>38</v>
      </c>
      <c r="L35" s="104"/>
      <c r="M35" s="158"/>
      <c r="N35" s="158"/>
      <c r="O35" s="158"/>
      <c r="P35" s="158"/>
      <c r="Q35" s="158"/>
      <c r="S35" s="184">
        <v>2019</v>
      </c>
    </row>
    <row r="36" spans="1:19" ht="78.75">
      <c r="A36" s="160" t="s">
        <v>501</v>
      </c>
      <c r="B36" s="77" t="s">
        <v>1238</v>
      </c>
      <c r="C36" s="88" t="s">
        <v>919</v>
      </c>
      <c r="D36" s="88" t="s">
        <v>31</v>
      </c>
      <c r="E36" s="30" t="s">
        <v>1232</v>
      </c>
      <c r="F36" s="94"/>
      <c r="G36" s="94">
        <v>13</v>
      </c>
      <c r="H36" s="94">
        <v>13</v>
      </c>
      <c r="I36" s="176">
        <v>13</v>
      </c>
      <c r="J36" s="2">
        <v>0</v>
      </c>
      <c r="K36" s="58" t="s">
        <v>521</v>
      </c>
      <c r="L36" s="104"/>
      <c r="M36" s="158"/>
      <c r="N36" s="158"/>
      <c r="O36" s="158"/>
      <c r="P36" s="158"/>
      <c r="Q36" s="158"/>
      <c r="S36" s="184">
        <v>2019</v>
      </c>
    </row>
    <row r="37" spans="1:19" ht="45">
      <c r="A37" s="160" t="s">
        <v>501</v>
      </c>
      <c r="B37" s="77" t="s">
        <v>1270</v>
      </c>
      <c r="C37" s="88" t="s">
        <v>772</v>
      </c>
      <c r="D37" s="88" t="s">
        <v>1271</v>
      </c>
      <c r="E37" s="30" t="s">
        <v>1232</v>
      </c>
      <c r="F37" s="94"/>
      <c r="G37" s="94">
        <v>16</v>
      </c>
      <c r="H37" s="94"/>
      <c r="I37" s="176">
        <v>16</v>
      </c>
      <c r="J37" s="2">
        <v>0</v>
      </c>
      <c r="K37" s="58" t="s">
        <v>521</v>
      </c>
      <c r="L37" s="104"/>
      <c r="M37" s="158"/>
      <c r="N37" s="158"/>
      <c r="O37" s="158"/>
      <c r="P37" s="158"/>
      <c r="Q37" s="158"/>
      <c r="S37" s="184">
        <v>2019</v>
      </c>
    </row>
    <row r="38" spans="1:19" ht="67.5">
      <c r="A38" s="160" t="s">
        <v>501</v>
      </c>
      <c r="B38" s="77" t="s">
        <v>1239</v>
      </c>
      <c r="C38" s="88" t="s">
        <v>16</v>
      </c>
      <c r="D38" s="88" t="s">
        <v>25</v>
      </c>
      <c r="E38" s="30" t="s">
        <v>1232</v>
      </c>
      <c r="F38" s="94"/>
      <c r="G38" s="94">
        <v>98</v>
      </c>
      <c r="H38" s="94"/>
      <c r="I38" s="176">
        <v>98</v>
      </c>
      <c r="J38" s="2">
        <v>0</v>
      </c>
      <c r="K38" s="58" t="s">
        <v>521</v>
      </c>
      <c r="L38" s="104"/>
      <c r="M38" s="158"/>
      <c r="N38" s="158"/>
      <c r="O38" s="158"/>
      <c r="P38" s="158"/>
      <c r="Q38" s="158"/>
      <c r="S38" s="184">
        <v>2019</v>
      </c>
    </row>
    <row r="39" spans="1:19">
      <c r="A39" s="138" t="s">
        <v>502</v>
      </c>
      <c r="B39" s="138"/>
      <c r="C39" s="117"/>
      <c r="D39" s="117"/>
      <c r="E39" s="138"/>
      <c r="F39" s="21">
        <v>178</v>
      </c>
      <c r="G39" s="21">
        <v>108</v>
      </c>
      <c r="H39" s="21">
        <v>127</v>
      </c>
      <c r="I39" s="21">
        <v>107</v>
      </c>
      <c r="J39" s="20"/>
      <c r="K39" s="62"/>
      <c r="L39" s="104"/>
      <c r="M39" s="21">
        <v>283</v>
      </c>
      <c r="N39" s="21">
        <v>86</v>
      </c>
      <c r="O39" s="21">
        <v>106</v>
      </c>
      <c r="P39" s="21">
        <v>26</v>
      </c>
      <c r="Q39" s="21">
        <v>94</v>
      </c>
      <c r="S39" s="187">
        <v>2019</v>
      </c>
    </row>
    <row r="40" spans="1:19" ht="112.5">
      <c r="A40" s="131" t="s">
        <v>502</v>
      </c>
      <c r="B40" s="29" t="s">
        <v>58</v>
      </c>
      <c r="C40" s="88" t="s">
        <v>54</v>
      </c>
      <c r="D40" s="88" t="s">
        <v>51</v>
      </c>
      <c r="E40" s="30" t="s">
        <v>653</v>
      </c>
      <c r="F40" s="159"/>
      <c r="G40" s="159">
        <v>10</v>
      </c>
      <c r="H40" s="159"/>
      <c r="I40" s="159">
        <v>10</v>
      </c>
      <c r="J40" s="2">
        <v>0</v>
      </c>
      <c r="K40" s="58" t="s">
        <v>521</v>
      </c>
      <c r="L40" s="104"/>
      <c r="M40" s="159" t="s">
        <v>0</v>
      </c>
      <c r="N40" s="159"/>
      <c r="O40" s="159"/>
      <c r="P40" s="159"/>
      <c r="Q40" s="159"/>
      <c r="S40" s="184">
        <v>2019</v>
      </c>
    </row>
    <row r="41" spans="1:19" ht="210">
      <c r="A41" s="131" t="s">
        <v>502</v>
      </c>
      <c r="B41" s="27" t="s">
        <v>551</v>
      </c>
      <c r="C41" s="27" t="s">
        <v>46</v>
      </c>
      <c r="D41" s="27" t="s">
        <v>552</v>
      </c>
      <c r="E41" s="30" t="s">
        <v>647</v>
      </c>
      <c r="F41" s="158"/>
      <c r="G41" s="158">
        <v>1</v>
      </c>
      <c r="H41" s="158"/>
      <c r="I41" s="158">
        <v>1</v>
      </c>
      <c r="J41" s="2">
        <v>0</v>
      </c>
      <c r="K41" s="58" t="s">
        <v>521</v>
      </c>
      <c r="L41" s="166" t="s">
        <v>1108</v>
      </c>
      <c r="M41" s="158"/>
      <c r="N41" s="158"/>
      <c r="O41" s="158"/>
      <c r="P41" s="158"/>
      <c r="Q41" s="158"/>
      <c r="S41" s="184">
        <v>2019</v>
      </c>
    </row>
    <row r="42" spans="1:19" ht="204">
      <c r="A42" s="131" t="s">
        <v>502</v>
      </c>
      <c r="B42" s="27" t="s">
        <v>733</v>
      </c>
      <c r="C42" s="88" t="s">
        <v>734</v>
      </c>
      <c r="D42" s="88" t="s">
        <v>52</v>
      </c>
      <c r="E42" s="30" t="s">
        <v>713</v>
      </c>
      <c r="F42" s="158"/>
      <c r="G42" s="158">
        <v>24</v>
      </c>
      <c r="H42" s="158"/>
      <c r="I42" s="158"/>
      <c r="J42" s="2">
        <v>0.51</v>
      </c>
      <c r="K42" s="58" t="s">
        <v>942</v>
      </c>
      <c r="L42" s="154" t="s">
        <v>1226</v>
      </c>
      <c r="M42" s="158"/>
      <c r="N42" s="158"/>
      <c r="O42" s="158"/>
      <c r="P42" s="158"/>
      <c r="Q42" s="158"/>
      <c r="S42" s="184">
        <v>2019</v>
      </c>
    </row>
    <row r="43" spans="1:19" ht="78.75">
      <c r="A43" s="131" t="s">
        <v>502</v>
      </c>
      <c r="B43" s="27" t="s">
        <v>1063</v>
      </c>
      <c r="C43" s="88" t="s">
        <v>735</v>
      </c>
      <c r="D43" s="88" t="s">
        <v>736</v>
      </c>
      <c r="E43" s="30" t="s">
        <v>715</v>
      </c>
      <c r="F43" s="158"/>
      <c r="G43" s="158" t="s">
        <v>1292</v>
      </c>
      <c r="H43" s="158">
        <v>2</v>
      </c>
      <c r="I43" s="158"/>
      <c r="J43" s="2">
        <v>1</v>
      </c>
      <c r="K43" s="58" t="s">
        <v>646</v>
      </c>
      <c r="L43" s="105"/>
      <c r="M43" s="158"/>
      <c r="N43" s="158"/>
      <c r="O43" s="158"/>
      <c r="P43" s="158">
        <v>2</v>
      </c>
      <c r="Q43" s="158">
        <v>2</v>
      </c>
      <c r="R43">
        <v>2019</v>
      </c>
      <c r="S43" s="184">
        <v>2019</v>
      </c>
    </row>
    <row r="44" spans="1:19" ht="67.5">
      <c r="A44" s="131" t="s">
        <v>502</v>
      </c>
      <c r="B44" s="27" t="s">
        <v>932</v>
      </c>
      <c r="C44" s="88" t="s">
        <v>919</v>
      </c>
      <c r="D44" s="88" t="s">
        <v>552</v>
      </c>
      <c r="E44" s="30" t="s">
        <v>720</v>
      </c>
      <c r="F44" s="158"/>
      <c r="G44" s="158">
        <v>24</v>
      </c>
      <c r="H44" s="158">
        <v>24</v>
      </c>
      <c r="I44" s="158"/>
      <c r="J44" s="2">
        <v>1</v>
      </c>
      <c r="K44" s="58" t="s">
        <v>646</v>
      </c>
      <c r="L44" s="105"/>
      <c r="M44" s="158"/>
      <c r="N44" s="158"/>
      <c r="O44" s="158"/>
      <c r="P44" s="179">
        <v>24</v>
      </c>
      <c r="Q44" s="179">
        <v>24</v>
      </c>
      <c r="R44">
        <v>2019</v>
      </c>
      <c r="S44" s="184">
        <v>2019</v>
      </c>
    </row>
    <row r="45" spans="1:19" ht="56.25">
      <c r="A45" s="131" t="s">
        <v>502</v>
      </c>
      <c r="B45" s="27" t="s">
        <v>943</v>
      </c>
      <c r="C45" s="88" t="s">
        <v>54</v>
      </c>
      <c r="D45" s="88" t="s">
        <v>988</v>
      </c>
      <c r="E45" s="30" t="s">
        <v>968</v>
      </c>
      <c r="F45" s="72">
        <v>44</v>
      </c>
      <c r="G45" s="158"/>
      <c r="H45" s="158"/>
      <c r="I45" s="158"/>
      <c r="J45" s="2">
        <v>0.46250000000000002</v>
      </c>
      <c r="K45" s="58" t="s">
        <v>38</v>
      </c>
      <c r="L45" s="105"/>
      <c r="M45" s="158"/>
      <c r="N45" s="158"/>
      <c r="O45" s="158"/>
      <c r="P45" s="158"/>
      <c r="Q45" s="158"/>
      <c r="S45" s="184">
        <v>2019</v>
      </c>
    </row>
    <row r="46" spans="1:19" ht="90">
      <c r="A46" s="131" t="s">
        <v>502</v>
      </c>
      <c r="B46" s="88" t="s">
        <v>1016</v>
      </c>
      <c r="C46" s="88" t="s">
        <v>45</v>
      </c>
      <c r="D46" s="88" t="s">
        <v>1017</v>
      </c>
      <c r="E46" s="30" t="s">
        <v>968</v>
      </c>
      <c r="F46" s="158">
        <v>87</v>
      </c>
      <c r="G46" s="158"/>
      <c r="H46" s="158">
        <v>87</v>
      </c>
      <c r="I46" s="158"/>
      <c r="J46" s="2">
        <v>0.45619999999999999</v>
      </c>
      <c r="K46" s="58" t="s">
        <v>986</v>
      </c>
      <c r="L46" s="105"/>
      <c r="M46" s="158"/>
      <c r="N46" s="158"/>
      <c r="O46" s="158"/>
      <c r="P46" s="158"/>
      <c r="Q46" s="158"/>
      <c r="S46" s="184">
        <v>2019</v>
      </c>
    </row>
    <row r="47" spans="1:19" ht="56.25">
      <c r="A47" s="131" t="s">
        <v>502</v>
      </c>
      <c r="B47" s="88" t="s">
        <v>1135</v>
      </c>
      <c r="C47" s="88" t="s">
        <v>566</v>
      </c>
      <c r="D47" s="88" t="s">
        <v>1137</v>
      </c>
      <c r="E47" s="30" t="s">
        <v>1113</v>
      </c>
      <c r="F47" s="158">
        <v>14</v>
      </c>
      <c r="G47" s="158"/>
      <c r="H47" s="158">
        <v>14</v>
      </c>
      <c r="I47" s="75">
        <v>14</v>
      </c>
      <c r="J47" s="2">
        <v>0</v>
      </c>
      <c r="K47" s="58" t="s">
        <v>521</v>
      </c>
      <c r="L47" s="105"/>
      <c r="M47" s="158"/>
      <c r="N47" s="158"/>
      <c r="O47" s="158"/>
      <c r="P47" s="158"/>
      <c r="Q47" s="158"/>
      <c r="S47" s="184">
        <v>2019</v>
      </c>
    </row>
    <row r="48" spans="1:19" ht="45">
      <c r="A48" s="131" t="s">
        <v>502</v>
      </c>
      <c r="B48" s="88" t="s">
        <v>1136</v>
      </c>
      <c r="C48" s="88" t="s">
        <v>1138</v>
      </c>
      <c r="D48" s="88" t="s">
        <v>1017</v>
      </c>
      <c r="E48" s="30" t="s">
        <v>1113</v>
      </c>
      <c r="F48" s="72">
        <v>33</v>
      </c>
      <c r="G48" s="158"/>
      <c r="H48" s="158"/>
      <c r="I48" s="75">
        <v>33</v>
      </c>
      <c r="J48" s="2">
        <v>0</v>
      </c>
      <c r="K48" s="58" t="s">
        <v>521</v>
      </c>
      <c r="L48" s="105"/>
      <c r="M48" s="158"/>
      <c r="N48" s="158"/>
      <c r="O48" s="158"/>
      <c r="P48" s="158"/>
      <c r="Q48" s="158"/>
      <c r="S48" s="184">
        <v>2019</v>
      </c>
    </row>
    <row r="49" spans="1:19" ht="56.25">
      <c r="A49" s="131" t="s">
        <v>502</v>
      </c>
      <c r="B49" s="88" t="s">
        <v>1240</v>
      </c>
      <c r="C49" s="88" t="s">
        <v>1320</v>
      </c>
      <c r="D49" s="88" t="s">
        <v>1017</v>
      </c>
      <c r="E49" s="30" t="s">
        <v>1232</v>
      </c>
      <c r="F49" s="158"/>
      <c r="G49" s="158">
        <v>49</v>
      </c>
      <c r="H49" s="158"/>
      <c r="I49" s="176">
        <v>49</v>
      </c>
      <c r="J49" s="2">
        <v>0</v>
      </c>
      <c r="K49" s="58" t="s">
        <v>521</v>
      </c>
      <c r="L49" s="105"/>
      <c r="M49" s="158"/>
      <c r="N49" s="158"/>
      <c r="O49" s="158"/>
      <c r="P49" s="158"/>
      <c r="Q49" s="158"/>
      <c r="S49" s="184">
        <v>2019</v>
      </c>
    </row>
    <row r="50" spans="1:19">
      <c r="A50" s="117" t="s">
        <v>503</v>
      </c>
      <c r="B50" s="117"/>
      <c r="C50" s="117"/>
      <c r="D50" s="117"/>
      <c r="E50" s="138"/>
      <c r="F50" s="19">
        <v>187</v>
      </c>
      <c r="G50" s="19">
        <v>405</v>
      </c>
      <c r="H50" s="19">
        <v>550</v>
      </c>
      <c r="I50" s="19">
        <v>42</v>
      </c>
      <c r="J50" s="18"/>
      <c r="K50" s="119"/>
      <c r="L50" s="105"/>
      <c r="M50" s="19">
        <v>148</v>
      </c>
      <c r="N50" s="19">
        <v>78</v>
      </c>
      <c r="O50" s="19">
        <v>17</v>
      </c>
      <c r="P50" s="19">
        <v>310</v>
      </c>
      <c r="Q50" s="19">
        <v>327</v>
      </c>
      <c r="S50" s="187">
        <v>2019</v>
      </c>
    </row>
    <row r="51" spans="1:19" ht="45">
      <c r="A51" s="160" t="s">
        <v>503</v>
      </c>
      <c r="B51" s="88" t="s">
        <v>1064</v>
      </c>
      <c r="C51" s="77" t="s">
        <v>157</v>
      </c>
      <c r="D51" s="77" t="s">
        <v>62</v>
      </c>
      <c r="E51" s="82" t="s">
        <v>713</v>
      </c>
      <c r="F51" s="158"/>
      <c r="G51" s="158">
        <v>22</v>
      </c>
      <c r="H51" s="158">
        <v>22</v>
      </c>
      <c r="I51" s="11"/>
      <c r="J51" s="2">
        <v>1</v>
      </c>
      <c r="K51" s="58" t="s">
        <v>646</v>
      </c>
      <c r="L51" s="104"/>
      <c r="M51" s="158"/>
      <c r="N51" s="11"/>
      <c r="O51" s="11"/>
      <c r="P51" s="158">
        <v>22</v>
      </c>
      <c r="Q51" s="158">
        <v>22</v>
      </c>
      <c r="R51">
        <v>2019</v>
      </c>
      <c r="S51" s="184">
        <v>2019</v>
      </c>
    </row>
    <row r="52" spans="1:19" ht="101.25">
      <c r="A52" s="160" t="s">
        <v>503</v>
      </c>
      <c r="B52" s="29" t="s">
        <v>745</v>
      </c>
      <c r="C52" s="55" t="s">
        <v>738</v>
      </c>
      <c r="D52" s="88" t="s">
        <v>63</v>
      </c>
      <c r="E52" s="30" t="s">
        <v>715</v>
      </c>
      <c r="F52" s="158"/>
      <c r="G52" s="158">
        <v>78</v>
      </c>
      <c r="H52" s="158">
        <v>78</v>
      </c>
      <c r="I52" s="158"/>
      <c r="J52" s="2">
        <v>1</v>
      </c>
      <c r="K52" s="58" t="s">
        <v>646</v>
      </c>
      <c r="L52" s="104"/>
      <c r="M52" s="51"/>
      <c r="N52" s="158"/>
      <c r="O52" s="158"/>
      <c r="P52" s="179">
        <v>78</v>
      </c>
      <c r="Q52" s="179">
        <v>78</v>
      </c>
      <c r="R52">
        <v>2019</v>
      </c>
      <c r="S52" s="184">
        <v>2019</v>
      </c>
    </row>
    <row r="53" spans="1:19" ht="78.75">
      <c r="A53" s="160" t="s">
        <v>503</v>
      </c>
      <c r="B53" s="29" t="s">
        <v>739</v>
      </c>
      <c r="C53" s="55" t="s">
        <v>740</v>
      </c>
      <c r="D53" s="88" t="s">
        <v>63</v>
      </c>
      <c r="E53" s="30" t="s">
        <v>715</v>
      </c>
      <c r="F53" s="158"/>
      <c r="G53" s="158">
        <v>69</v>
      </c>
      <c r="H53" s="158">
        <v>69</v>
      </c>
      <c r="I53" s="11"/>
      <c r="J53" s="2">
        <v>1</v>
      </c>
      <c r="K53" s="58" t="s">
        <v>646</v>
      </c>
      <c r="L53" s="104"/>
      <c r="M53" s="51"/>
      <c r="N53" s="11"/>
      <c r="O53" s="11"/>
      <c r="P53" s="179">
        <v>69</v>
      </c>
      <c r="Q53" s="179">
        <v>69</v>
      </c>
      <c r="R53">
        <v>2019</v>
      </c>
      <c r="S53" s="184">
        <v>2019</v>
      </c>
    </row>
    <row r="54" spans="1:19" ht="78.75">
      <c r="A54" s="160" t="s">
        <v>503</v>
      </c>
      <c r="B54" s="29" t="s">
        <v>739</v>
      </c>
      <c r="C54" s="55" t="s">
        <v>740</v>
      </c>
      <c r="D54" s="88" t="s">
        <v>63</v>
      </c>
      <c r="E54" s="30" t="s">
        <v>715</v>
      </c>
      <c r="F54" s="158"/>
      <c r="G54" s="158">
        <v>1</v>
      </c>
      <c r="H54" s="158">
        <v>1</v>
      </c>
      <c r="I54" s="158"/>
      <c r="J54" s="2">
        <v>1</v>
      </c>
      <c r="K54" s="58" t="s">
        <v>646</v>
      </c>
      <c r="L54" s="104"/>
      <c r="M54" s="51"/>
      <c r="N54" s="11"/>
      <c r="O54" s="11"/>
      <c r="P54" s="179">
        <v>1</v>
      </c>
      <c r="Q54" s="179">
        <v>1</v>
      </c>
      <c r="R54">
        <v>2019</v>
      </c>
      <c r="S54" s="184">
        <v>2019</v>
      </c>
    </row>
    <row r="55" spans="1:19" ht="78.75">
      <c r="A55" s="160" t="s">
        <v>503</v>
      </c>
      <c r="B55" s="29" t="s">
        <v>741</v>
      </c>
      <c r="C55" s="55" t="s">
        <v>740</v>
      </c>
      <c r="D55" s="55" t="s">
        <v>915</v>
      </c>
      <c r="E55" s="30" t="s">
        <v>715</v>
      </c>
      <c r="F55" s="158"/>
      <c r="G55" s="158">
        <v>101</v>
      </c>
      <c r="H55" s="158">
        <v>101</v>
      </c>
      <c r="I55" s="11"/>
      <c r="J55" s="2">
        <v>1</v>
      </c>
      <c r="K55" s="58" t="s">
        <v>646</v>
      </c>
      <c r="L55" s="104"/>
      <c r="M55" s="51"/>
      <c r="N55" s="11"/>
      <c r="O55" s="11"/>
      <c r="P55" s="179">
        <v>101</v>
      </c>
      <c r="Q55" s="179">
        <v>101</v>
      </c>
      <c r="R55">
        <v>2019</v>
      </c>
      <c r="S55" s="184">
        <v>2019</v>
      </c>
    </row>
    <row r="56" spans="1:19" ht="78.75">
      <c r="A56" s="160" t="s">
        <v>503</v>
      </c>
      <c r="B56" s="29" t="s">
        <v>741</v>
      </c>
      <c r="C56" s="55" t="s">
        <v>740</v>
      </c>
      <c r="D56" s="55" t="s">
        <v>915</v>
      </c>
      <c r="E56" s="30" t="s">
        <v>715</v>
      </c>
      <c r="F56" s="158"/>
      <c r="G56" s="158">
        <v>2</v>
      </c>
      <c r="H56" s="158">
        <v>2</v>
      </c>
      <c r="I56" s="12"/>
      <c r="J56" s="2">
        <v>1</v>
      </c>
      <c r="K56" s="58" t="s">
        <v>646</v>
      </c>
      <c r="L56" s="104"/>
      <c r="M56" s="51"/>
      <c r="N56" s="11"/>
      <c r="O56" s="11"/>
      <c r="P56" s="179">
        <v>2</v>
      </c>
      <c r="Q56" s="179">
        <v>2</v>
      </c>
      <c r="R56">
        <v>2019</v>
      </c>
      <c r="S56" s="184">
        <v>2019</v>
      </c>
    </row>
    <row r="57" spans="1:19" ht="45">
      <c r="A57" s="160" t="s">
        <v>503</v>
      </c>
      <c r="B57" s="29" t="s">
        <v>742</v>
      </c>
      <c r="C57" s="55" t="s">
        <v>746</v>
      </c>
      <c r="D57" s="55" t="s">
        <v>915</v>
      </c>
      <c r="E57" s="30" t="s">
        <v>720</v>
      </c>
      <c r="F57" s="158"/>
      <c r="G57" s="158">
        <v>37</v>
      </c>
      <c r="H57" s="158">
        <v>37</v>
      </c>
      <c r="I57" s="158"/>
      <c r="J57" s="2">
        <v>1</v>
      </c>
      <c r="K57" s="58" t="s">
        <v>646</v>
      </c>
      <c r="L57" s="104"/>
      <c r="M57" s="51"/>
      <c r="N57" s="158"/>
      <c r="O57" s="158"/>
      <c r="P57" s="179">
        <v>37</v>
      </c>
      <c r="Q57" s="179">
        <v>37</v>
      </c>
      <c r="R57">
        <v>2019</v>
      </c>
      <c r="S57" s="184">
        <v>2019</v>
      </c>
    </row>
    <row r="58" spans="1:19" ht="56.25">
      <c r="A58" s="160" t="s">
        <v>503</v>
      </c>
      <c r="B58" s="29" t="s">
        <v>744</v>
      </c>
      <c r="C58" s="55" t="s">
        <v>746</v>
      </c>
      <c r="D58" s="55" t="s">
        <v>915</v>
      </c>
      <c r="E58" s="30" t="s">
        <v>720</v>
      </c>
      <c r="F58" s="158"/>
      <c r="G58" s="158">
        <v>20</v>
      </c>
      <c r="H58" s="158">
        <v>20</v>
      </c>
      <c r="I58" s="158"/>
      <c r="J58" s="2">
        <v>0.85250000000000004</v>
      </c>
      <c r="K58" s="58" t="s">
        <v>38</v>
      </c>
      <c r="L58" s="104"/>
      <c r="M58" s="51"/>
      <c r="N58" s="158"/>
      <c r="O58" s="158"/>
      <c r="P58" s="158"/>
      <c r="Q58" s="158"/>
      <c r="S58" s="184">
        <v>2019</v>
      </c>
    </row>
    <row r="59" spans="1:19" ht="56.25">
      <c r="A59" s="160" t="s">
        <v>503</v>
      </c>
      <c r="B59" s="29" t="s">
        <v>744</v>
      </c>
      <c r="C59" s="55" t="s">
        <v>746</v>
      </c>
      <c r="D59" s="55" t="s">
        <v>915</v>
      </c>
      <c r="E59" s="30" t="s">
        <v>720</v>
      </c>
      <c r="F59" s="158"/>
      <c r="G59" s="158">
        <v>2</v>
      </c>
      <c r="H59" s="158">
        <v>2</v>
      </c>
      <c r="I59" s="158"/>
      <c r="J59" s="2">
        <v>0.85250000000000004</v>
      </c>
      <c r="K59" s="58" t="s">
        <v>38</v>
      </c>
      <c r="L59" s="104"/>
      <c r="M59" s="51"/>
      <c r="N59" s="158"/>
      <c r="O59" s="158"/>
      <c r="P59" s="158"/>
      <c r="Q59" s="158"/>
      <c r="S59" s="184">
        <v>2019</v>
      </c>
    </row>
    <row r="60" spans="1:19" ht="56.25">
      <c r="A60" s="160" t="s">
        <v>503</v>
      </c>
      <c r="B60" s="29" t="s">
        <v>747</v>
      </c>
      <c r="C60" s="55" t="s">
        <v>69</v>
      </c>
      <c r="D60" s="88" t="s">
        <v>63</v>
      </c>
      <c r="E60" s="30" t="s">
        <v>731</v>
      </c>
      <c r="F60" s="158"/>
      <c r="G60" s="158">
        <v>31</v>
      </c>
      <c r="H60" s="158">
        <v>31</v>
      </c>
      <c r="I60" s="158"/>
      <c r="J60" s="2">
        <v>0.63519999999999999</v>
      </c>
      <c r="K60" s="58" t="s">
        <v>38</v>
      </c>
      <c r="L60" s="104"/>
      <c r="M60" s="51"/>
      <c r="N60" s="158"/>
      <c r="O60" s="158"/>
      <c r="P60" s="158"/>
      <c r="Q60" s="158"/>
      <c r="S60" s="184">
        <v>2019</v>
      </c>
    </row>
    <row r="61" spans="1:19" ht="78.75">
      <c r="A61" s="160" t="s">
        <v>503</v>
      </c>
      <c r="B61" s="88" t="s">
        <v>989</v>
      </c>
      <c r="C61" s="55" t="s">
        <v>67</v>
      </c>
      <c r="D61" s="88" t="s">
        <v>63</v>
      </c>
      <c r="E61" s="30" t="s">
        <v>968</v>
      </c>
      <c r="F61" s="158">
        <v>97</v>
      </c>
      <c r="G61" s="158"/>
      <c r="H61" s="158">
        <v>97</v>
      </c>
      <c r="I61" s="158"/>
      <c r="J61" s="2">
        <v>0.82279999999999998</v>
      </c>
      <c r="K61" s="58" t="s">
        <v>38</v>
      </c>
      <c r="L61" s="104"/>
      <c r="M61" s="51"/>
      <c r="N61" s="158"/>
      <c r="O61" s="158"/>
      <c r="P61" s="158"/>
      <c r="Q61" s="158"/>
      <c r="S61" s="184">
        <v>2019</v>
      </c>
    </row>
    <row r="62" spans="1:19" ht="78.75">
      <c r="A62" s="160" t="s">
        <v>503</v>
      </c>
      <c r="B62" s="88" t="s">
        <v>989</v>
      </c>
      <c r="C62" s="55" t="s">
        <v>67</v>
      </c>
      <c r="D62" s="88" t="s">
        <v>63</v>
      </c>
      <c r="E62" s="30" t="s">
        <v>968</v>
      </c>
      <c r="F62" s="158"/>
      <c r="G62" s="158">
        <v>1</v>
      </c>
      <c r="H62" s="158"/>
      <c r="I62" s="158">
        <v>1</v>
      </c>
      <c r="J62" s="2">
        <v>0</v>
      </c>
      <c r="K62" s="58" t="s">
        <v>521</v>
      </c>
      <c r="L62" s="104"/>
      <c r="M62" s="51"/>
      <c r="N62" s="158"/>
      <c r="O62" s="158"/>
      <c r="P62" s="158"/>
      <c r="Q62" s="158"/>
      <c r="S62" s="184">
        <v>2019</v>
      </c>
    </row>
    <row r="63" spans="1:19" ht="78.75">
      <c r="A63" s="160" t="s">
        <v>503</v>
      </c>
      <c r="B63" s="88" t="s">
        <v>989</v>
      </c>
      <c r="C63" s="55" t="s">
        <v>67</v>
      </c>
      <c r="D63" s="88" t="s">
        <v>63</v>
      </c>
      <c r="E63" s="30" t="s">
        <v>968</v>
      </c>
      <c r="F63" s="158"/>
      <c r="G63" s="158">
        <v>1</v>
      </c>
      <c r="H63" s="158"/>
      <c r="I63" s="158">
        <v>1</v>
      </c>
      <c r="J63" s="2">
        <v>0</v>
      </c>
      <c r="K63" s="58" t="s">
        <v>521</v>
      </c>
      <c r="L63" s="104"/>
      <c r="M63" s="51"/>
      <c r="N63" s="158"/>
      <c r="O63" s="158"/>
      <c r="P63" s="158"/>
      <c r="Q63" s="158"/>
      <c r="S63" s="184">
        <v>2019</v>
      </c>
    </row>
    <row r="64" spans="1:19" ht="67.5">
      <c r="A64" s="160" t="s">
        <v>503</v>
      </c>
      <c r="B64" s="88" t="s">
        <v>1018</v>
      </c>
      <c r="C64" s="55" t="s">
        <v>1019</v>
      </c>
      <c r="D64" s="55" t="s">
        <v>1020</v>
      </c>
      <c r="E64" s="30" t="s">
        <v>968</v>
      </c>
      <c r="F64" s="158">
        <v>50</v>
      </c>
      <c r="G64" s="158"/>
      <c r="H64" s="158">
        <v>50</v>
      </c>
      <c r="I64" s="158"/>
      <c r="J64" s="2">
        <v>0.67710000000000004</v>
      </c>
      <c r="K64" s="58" t="s">
        <v>38</v>
      </c>
      <c r="L64" s="104"/>
      <c r="M64" s="51"/>
      <c r="N64" s="158"/>
      <c r="O64" s="158"/>
      <c r="P64" s="158"/>
      <c r="Q64" s="75"/>
      <c r="S64" s="184">
        <v>2019</v>
      </c>
    </row>
    <row r="65" spans="1:19" ht="67.5">
      <c r="A65" s="160" t="s">
        <v>503</v>
      </c>
      <c r="B65" s="88" t="s">
        <v>1065</v>
      </c>
      <c r="C65" s="55" t="s">
        <v>1019</v>
      </c>
      <c r="D65" s="55" t="s">
        <v>1020</v>
      </c>
      <c r="E65" s="30" t="s">
        <v>1058</v>
      </c>
      <c r="F65" s="158">
        <v>40</v>
      </c>
      <c r="G65" s="158"/>
      <c r="H65" s="158">
        <v>40</v>
      </c>
      <c r="I65" s="158"/>
      <c r="J65" s="2">
        <v>0.45019999999999999</v>
      </c>
      <c r="K65" s="58" t="s">
        <v>986</v>
      </c>
      <c r="L65" s="104"/>
      <c r="M65" s="51"/>
      <c r="N65" s="158"/>
      <c r="O65" s="158"/>
      <c r="P65" s="158"/>
      <c r="Q65" s="158"/>
      <c r="S65" s="184">
        <v>2019</v>
      </c>
    </row>
    <row r="66" spans="1:19" ht="45">
      <c r="A66" s="160" t="s">
        <v>503</v>
      </c>
      <c r="B66" s="88" t="s">
        <v>1241</v>
      </c>
      <c r="C66" s="55" t="s">
        <v>1021</v>
      </c>
      <c r="D66" s="55" t="s">
        <v>63</v>
      </c>
      <c r="E66" s="30" t="s">
        <v>1232</v>
      </c>
      <c r="F66" s="158"/>
      <c r="G66" s="158">
        <v>40</v>
      </c>
      <c r="H66" s="158"/>
      <c r="I66" s="176">
        <v>40</v>
      </c>
      <c r="J66" s="2">
        <v>0</v>
      </c>
      <c r="K66" s="58" t="s">
        <v>521</v>
      </c>
      <c r="L66" s="104"/>
      <c r="M66" s="51"/>
      <c r="N66" s="158"/>
      <c r="O66" s="158"/>
      <c r="P66" s="158"/>
      <c r="Q66" s="158"/>
      <c r="S66" s="184">
        <v>2019</v>
      </c>
    </row>
    <row r="67" spans="1:19">
      <c r="A67" s="117" t="s">
        <v>504</v>
      </c>
      <c r="B67" s="117"/>
      <c r="C67" s="117"/>
      <c r="D67" s="117"/>
      <c r="E67" s="138"/>
      <c r="F67" s="21">
        <v>212</v>
      </c>
      <c r="G67" s="21">
        <v>417</v>
      </c>
      <c r="H67" s="21">
        <v>427</v>
      </c>
      <c r="I67" s="21">
        <v>185</v>
      </c>
      <c r="J67" s="21"/>
      <c r="K67" s="62"/>
      <c r="L67" s="104"/>
      <c r="M67" s="21">
        <v>825</v>
      </c>
      <c r="N67" s="21">
        <v>249</v>
      </c>
      <c r="O67" s="21">
        <v>177</v>
      </c>
      <c r="P67" s="21">
        <v>75</v>
      </c>
      <c r="Q67" s="21">
        <v>80</v>
      </c>
      <c r="S67" s="187">
        <v>2019</v>
      </c>
    </row>
    <row r="68" spans="1:19" ht="45">
      <c r="A68" s="160" t="s">
        <v>504</v>
      </c>
      <c r="B68" s="27" t="s">
        <v>632</v>
      </c>
      <c r="C68" s="27" t="s">
        <v>61</v>
      </c>
      <c r="D68" s="27" t="s">
        <v>89</v>
      </c>
      <c r="E68" s="30" t="s">
        <v>659</v>
      </c>
      <c r="F68" s="158"/>
      <c r="G68" s="158">
        <v>3</v>
      </c>
      <c r="H68" s="158"/>
      <c r="I68" s="12">
        <v>3</v>
      </c>
      <c r="J68" s="2">
        <v>0</v>
      </c>
      <c r="K68" s="58" t="s">
        <v>521</v>
      </c>
      <c r="L68" s="88" t="s">
        <v>1071</v>
      </c>
      <c r="M68" s="158"/>
      <c r="N68" s="11"/>
      <c r="O68" s="11"/>
      <c r="P68" s="11"/>
      <c r="Q68" s="11"/>
      <c r="S68" s="184">
        <v>2019</v>
      </c>
    </row>
    <row r="69" spans="1:19" ht="78.75">
      <c r="A69" s="160" t="s">
        <v>504</v>
      </c>
      <c r="B69" s="27" t="s">
        <v>79</v>
      </c>
      <c r="C69" s="27" t="s">
        <v>77</v>
      </c>
      <c r="D69" s="83" t="s">
        <v>89</v>
      </c>
      <c r="E69" s="30" t="s">
        <v>647</v>
      </c>
      <c r="F69" s="158"/>
      <c r="G69" s="158">
        <v>1</v>
      </c>
      <c r="H69" s="158"/>
      <c r="I69" s="158">
        <v>1</v>
      </c>
      <c r="J69" s="2">
        <v>0</v>
      </c>
      <c r="K69" s="58" t="s">
        <v>521</v>
      </c>
      <c r="L69" s="88" t="s">
        <v>1072</v>
      </c>
      <c r="M69" s="158"/>
      <c r="N69" s="11"/>
      <c r="O69" s="11"/>
      <c r="P69" s="11"/>
      <c r="Q69" s="11"/>
      <c r="S69" s="184">
        <v>2019</v>
      </c>
    </row>
    <row r="70" spans="1:19" ht="33.75">
      <c r="A70" s="160" t="s">
        <v>504</v>
      </c>
      <c r="B70" s="58" t="s">
        <v>82</v>
      </c>
      <c r="C70" s="88" t="s">
        <v>77</v>
      </c>
      <c r="D70" s="88" t="s">
        <v>84</v>
      </c>
      <c r="E70" s="30" t="s">
        <v>647</v>
      </c>
      <c r="F70" s="188">
        <v>2</v>
      </c>
      <c r="G70" s="10"/>
      <c r="H70" s="10"/>
      <c r="I70" s="10">
        <v>2</v>
      </c>
      <c r="J70" s="13">
        <v>0</v>
      </c>
      <c r="K70" s="120" t="s">
        <v>521</v>
      </c>
      <c r="L70" s="88" t="s">
        <v>1294</v>
      </c>
      <c r="M70" s="10" t="s">
        <v>0</v>
      </c>
      <c r="N70" s="52"/>
      <c r="O70" s="52"/>
      <c r="P70" s="52"/>
      <c r="Q70" s="52"/>
      <c r="S70" s="184">
        <v>2019</v>
      </c>
    </row>
    <row r="71" spans="1:19" ht="45">
      <c r="A71" s="160" t="s">
        <v>504</v>
      </c>
      <c r="B71" s="27" t="s">
        <v>662</v>
      </c>
      <c r="C71" s="132" t="s">
        <v>557</v>
      </c>
      <c r="D71" s="27" t="s">
        <v>84</v>
      </c>
      <c r="E71" s="30" t="s">
        <v>663</v>
      </c>
      <c r="F71" s="158"/>
      <c r="G71" s="158">
        <v>74</v>
      </c>
      <c r="H71" s="158">
        <v>74</v>
      </c>
      <c r="I71" s="12"/>
      <c r="J71" s="2">
        <v>1</v>
      </c>
      <c r="K71" s="58" t="s">
        <v>646</v>
      </c>
      <c r="L71" s="106"/>
      <c r="M71" s="158"/>
      <c r="N71" s="12"/>
      <c r="O71" s="12"/>
      <c r="P71" s="12">
        <v>74</v>
      </c>
      <c r="Q71" s="158">
        <v>74</v>
      </c>
      <c r="R71">
        <v>2019</v>
      </c>
      <c r="S71" s="184">
        <v>2019</v>
      </c>
    </row>
    <row r="72" spans="1:19" ht="45">
      <c r="A72" s="160" t="s">
        <v>504</v>
      </c>
      <c r="B72" s="27" t="s">
        <v>662</v>
      </c>
      <c r="C72" s="132" t="s">
        <v>557</v>
      </c>
      <c r="D72" s="27" t="s">
        <v>84</v>
      </c>
      <c r="E72" s="30" t="s">
        <v>663</v>
      </c>
      <c r="F72" s="158"/>
      <c r="G72" s="158">
        <v>5</v>
      </c>
      <c r="H72" s="158"/>
      <c r="I72" s="12">
        <v>5</v>
      </c>
      <c r="J72" s="14">
        <v>0</v>
      </c>
      <c r="K72" s="58" t="s">
        <v>521</v>
      </c>
      <c r="L72" s="106" t="s">
        <v>1295</v>
      </c>
      <c r="M72" s="158"/>
      <c r="N72" s="11"/>
      <c r="O72" s="11"/>
      <c r="P72" s="11"/>
      <c r="Q72" s="11"/>
      <c r="S72" s="184">
        <v>2019</v>
      </c>
    </row>
    <row r="73" spans="1:19" ht="78.75">
      <c r="A73" s="160" t="s">
        <v>504</v>
      </c>
      <c r="B73" s="27" t="s">
        <v>106</v>
      </c>
      <c r="C73" s="83" t="s">
        <v>570</v>
      </c>
      <c r="D73" s="83" t="s">
        <v>86</v>
      </c>
      <c r="E73" s="30" t="s">
        <v>664</v>
      </c>
      <c r="F73" s="72">
        <v>1</v>
      </c>
      <c r="G73" s="158"/>
      <c r="H73" s="158"/>
      <c r="I73" s="158">
        <v>1</v>
      </c>
      <c r="J73" s="14">
        <v>0</v>
      </c>
      <c r="K73" s="1" t="s">
        <v>521</v>
      </c>
      <c r="L73" s="27" t="s">
        <v>1218</v>
      </c>
      <c r="M73" s="1"/>
      <c r="N73" s="141"/>
      <c r="O73" s="141"/>
      <c r="P73" s="141"/>
      <c r="Q73" s="141"/>
      <c r="S73" s="184">
        <v>2019</v>
      </c>
    </row>
    <row r="74" spans="1:19" ht="33.75">
      <c r="A74" s="160" t="s">
        <v>504</v>
      </c>
      <c r="B74" s="125" t="s">
        <v>559</v>
      </c>
      <c r="C74" s="15" t="s">
        <v>560</v>
      </c>
      <c r="D74" s="31" t="s">
        <v>579</v>
      </c>
      <c r="E74" s="30" t="s">
        <v>657</v>
      </c>
      <c r="F74" s="158"/>
      <c r="G74" s="158">
        <v>70</v>
      </c>
      <c r="H74" s="158"/>
      <c r="I74" s="158"/>
      <c r="J74" s="2">
        <v>0.73780000000000001</v>
      </c>
      <c r="K74" s="58" t="s">
        <v>942</v>
      </c>
      <c r="L74" s="106"/>
      <c r="M74" s="158"/>
      <c r="N74" s="158"/>
      <c r="O74" s="158"/>
      <c r="P74" s="158"/>
      <c r="Q74" s="158"/>
      <c r="S74" s="184">
        <v>2019</v>
      </c>
    </row>
    <row r="75" spans="1:19" ht="67.5">
      <c r="A75" s="160" t="s">
        <v>504</v>
      </c>
      <c r="B75" s="15" t="s">
        <v>748</v>
      </c>
      <c r="C75" s="15" t="s">
        <v>105</v>
      </c>
      <c r="D75" s="31" t="s">
        <v>84</v>
      </c>
      <c r="E75" s="30" t="s">
        <v>713</v>
      </c>
      <c r="F75" s="158">
        <v>1</v>
      </c>
      <c r="G75" s="158"/>
      <c r="H75" s="158">
        <v>1</v>
      </c>
      <c r="I75" s="158"/>
      <c r="J75" s="2">
        <v>1</v>
      </c>
      <c r="K75" s="58" t="s">
        <v>646</v>
      </c>
      <c r="L75" s="106"/>
      <c r="M75" s="158"/>
      <c r="N75" s="158"/>
      <c r="O75" s="158"/>
      <c r="P75" s="158">
        <v>1</v>
      </c>
      <c r="Q75" s="158">
        <v>1</v>
      </c>
      <c r="R75">
        <v>2019</v>
      </c>
      <c r="S75" s="184">
        <v>2019</v>
      </c>
    </row>
    <row r="76" spans="1:19" ht="33.75">
      <c r="A76" s="160" t="s">
        <v>504</v>
      </c>
      <c r="B76" s="15" t="s">
        <v>749</v>
      </c>
      <c r="C76" s="15" t="s">
        <v>524</v>
      </c>
      <c r="D76" s="31" t="s">
        <v>84</v>
      </c>
      <c r="E76" s="30" t="s">
        <v>713</v>
      </c>
      <c r="F76" s="158"/>
      <c r="G76" s="158">
        <v>3</v>
      </c>
      <c r="H76" s="158"/>
      <c r="I76" s="158">
        <v>3</v>
      </c>
      <c r="J76" s="2">
        <v>0</v>
      </c>
      <c r="K76" s="58" t="s">
        <v>521</v>
      </c>
      <c r="L76" s="27" t="s">
        <v>1294</v>
      </c>
      <c r="M76" s="158"/>
      <c r="N76" s="158"/>
      <c r="O76" s="158"/>
      <c r="P76" s="158"/>
      <c r="Q76" s="158"/>
      <c r="S76" s="184">
        <v>2019</v>
      </c>
    </row>
    <row r="77" spans="1:19" ht="67.5">
      <c r="A77" s="160" t="s">
        <v>504</v>
      </c>
      <c r="B77" s="15" t="s">
        <v>750</v>
      </c>
      <c r="C77" s="15" t="s">
        <v>751</v>
      </c>
      <c r="D77" s="84" t="s">
        <v>76</v>
      </c>
      <c r="E77" s="30" t="s">
        <v>713</v>
      </c>
      <c r="F77" s="158"/>
      <c r="G77" s="158">
        <v>51</v>
      </c>
      <c r="H77" s="158">
        <v>51</v>
      </c>
      <c r="I77" s="158"/>
      <c r="J77" s="2">
        <v>0.8105</v>
      </c>
      <c r="K77" s="58" t="s">
        <v>38</v>
      </c>
      <c r="L77" s="106"/>
      <c r="M77" s="158"/>
      <c r="N77" s="158"/>
      <c r="O77" s="158"/>
      <c r="P77" s="158"/>
      <c r="Q77" s="158"/>
      <c r="S77" s="184">
        <v>2019</v>
      </c>
    </row>
    <row r="78" spans="1:19" ht="67.5">
      <c r="A78" s="160" t="s">
        <v>504</v>
      </c>
      <c r="B78" s="15" t="s">
        <v>750</v>
      </c>
      <c r="C78" s="15" t="s">
        <v>751</v>
      </c>
      <c r="D78" s="84" t="s">
        <v>76</v>
      </c>
      <c r="E78" s="30" t="s">
        <v>713</v>
      </c>
      <c r="F78" s="158"/>
      <c r="G78" s="158">
        <v>1</v>
      </c>
      <c r="H78" s="158">
        <v>1</v>
      </c>
      <c r="I78" s="158"/>
      <c r="J78" s="2">
        <v>0.8105</v>
      </c>
      <c r="K78" s="58" t="s">
        <v>38</v>
      </c>
      <c r="L78" s="106"/>
      <c r="M78" s="158"/>
      <c r="N78" s="158"/>
      <c r="O78" s="158"/>
      <c r="P78" s="158"/>
      <c r="Q78" s="158"/>
      <c r="S78" s="184">
        <v>2019</v>
      </c>
    </row>
    <row r="79" spans="1:19" ht="33.75">
      <c r="A79" s="160" t="s">
        <v>504</v>
      </c>
      <c r="B79" s="15" t="s">
        <v>752</v>
      </c>
      <c r="C79" s="15" t="s">
        <v>1296</v>
      </c>
      <c r="D79" s="84" t="s">
        <v>84</v>
      </c>
      <c r="E79" s="30" t="s">
        <v>715</v>
      </c>
      <c r="F79" s="158"/>
      <c r="G79" s="158">
        <v>54</v>
      </c>
      <c r="H79" s="158">
        <v>54</v>
      </c>
      <c r="I79" s="158"/>
      <c r="J79" s="2">
        <v>0.90400000000000003</v>
      </c>
      <c r="K79" s="58" t="s">
        <v>38</v>
      </c>
      <c r="L79" s="108" t="s">
        <v>1223</v>
      </c>
      <c r="M79" s="158"/>
      <c r="N79" s="158"/>
      <c r="O79" s="158"/>
      <c r="P79" s="158"/>
      <c r="Q79" s="158"/>
      <c r="S79" s="184">
        <v>2019</v>
      </c>
    </row>
    <row r="80" spans="1:19" ht="56.25">
      <c r="A80" s="160" t="s">
        <v>504</v>
      </c>
      <c r="B80" s="85" t="s">
        <v>753</v>
      </c>
      <c r="C80" s="85" t="s">
        <v>149</v>
      </c>
      <c r="D80" s="84" t="s">
        <v>754</v>
      </c>
      <c r="E80" s="30" t="s">
        <v>715</v>
      </c>
      <c r="F80" s="158"/>
      <c r="G80" s="158">
        <v>38</v>
      </c>
      <c r="H80" s="158"/>
      <c r="I80" s="12"/>
      <c r="J80" s="2">
        <v>8.3599999999999994E-2</v>
      </c>
      <c r="K80" s="58" t="s">
        <v>942</v>
      </c>
      <c r="L80" s="106"/>
      <c r="M80" s="158"/>
      <c r="N80" s="11"/>
      <c r="O80" s="11"/>
      <c r="P80" s="11"/>
      <c r="Q80" s="11"/>
      <c r="S80" s="184">
        <v>2019</v>
      </c>
    </row>
    <row r="81" spans="1:19" ht="56.25">
      <c r="A81" s="160" t="s">
        <v>504</v>
      </c>
      <c r="B81" s="85" t="s">
        <v>753</v>
      </c>
      <c r="C81" s="85" t="s">
        <v>149</v>
      </c>
      <c r="D81" s="84" t="s">
        <v>754</v>
      </c>
      <c r="E81" s="30" t="s">
        <v>715</v>
      </c>
      <c r="F81" s="158"/>
      <c r="G81" s="158">
        <v>4</v>
      </c>
      <c r="H81" s="158"/>
      <c r="I81" s="12"/>
      <c r="J81" s="2">
        <v>8.3599999999999994E-2</v>
      </c>
      <c r="K81" s="58" t="s">
        <v>942</v>
      </c>
      <c r="L81" s="106"/>
      <c r="M81" s="158"/>
      <c r="N81" s="11"/>
      <c r="O81" s="11"/>
      <c r="P81" s="11"/>
      <c r="Q81" s="11"/>
      <c r="S81" s="184">
        <v>2019</v>
      </c>
    </row>
    <row r="82" spans="1:19" ht="45">
      <c r="A82" s="160" t="s">
        <v>504</v>
      </c>
      <c r="B82" s="88" t="s">
        <v>1034</v>
      </c>
      <c r="C82" s="55" t="s">
        <v>105</v>
      </c>
      <c r="D82" s="84" t="s">
        <v>84</v>
      </c>
      <c r="E82" s="82" t="s">
        <v>661</v>
      </c>
      <c r="F82" s="158"/>
      <c r="G82" s="158">
        <v>2</v>
      </c>
      <c r="H82" s="158"/>
      <c r="I82" s="158">
        <v>2</v>
      </c>
      <c r="J82" s="2">
        <v>0</v>
      </c>
      <c r="K82" s="58" t="s">
        <v>521</v>
      </c>
      <c r="L82" s="88" t="s">
        <v>1037</v>
      </c>
      <c r="M82" s="158"/>
      <c r="N82" s="11"/>
      <c r="O82" s="11"/>
      <c r="P82" s="11"/>
      <c r="Q82" s="11"/>
      <c r="S82" s="184">
        <v>2019</v>
      </c>
    </row>
    <row r="83" spans="1:19" ht="56.25">
      <c r="A83" s="160" t="s">
        <v>504</v>
      </c>
      <c r="B83" s="88" t="s">
        <v>94</v>
      </c>
      <c r="C83" s="55" t="s">
        <v>1067</v>
      </c>
      <c r="D83" s="84" t="s">
        <v>89</v>
      </c>
      <c r="E83" s="82" t="s">
        <v>1058</v>
      </c>
      <c r="F83" s="158">
        <v>9</v>
      </c>
      <c r="G83" s="158"/>
      <c r="H83" s="158">
        <v>9</v>
      </c>
      <c r="I83" s="158"/>
      <c r="J83" s="2">
        <v>0.57279999999999998</v>
      </c>
      <c r="K83" s="58" t="s">
        <v>38</v>
      </c>
      <c r="L83" s="106"/>
      <c r="M83" s="158"/>
      <c r="N83" s="11"/>
      <c r="O83" s="11"/>
      <c r="P83" s="11"/>
      <c r="Q83" s="11"/>
      <c r="S83" s="184">
        <v>2019</v>
      </c>
    </row>
    <row r="84" spans="1:19" ht="67.5">
      <c r="A84" s="160" t="s">
        <v>504</v>
      </c>
      <c r="B84" s="88" t="s">
        <v>1085</v>
      </c>
      <c r="C84" s="55" t="s">
        <v>16</v>
      </c>
      <c r="D84" s="84" t="s">
        <v>83</v>
      </c>
      <c r="E84" s="82" t="s">
        <v>1058</v>
      </c>
      <c r="F84" s="158">
        <v>50</v>
      </c>
      <c r="G84" s="158"/>
      <c r="H84" s="158">
        <v>50</v>
      </c>
      <c r="I84" s="158"/>
      <c r="J84" s="2">
        <v>0.54710000000000003</v>
      </c>
      <c r="K84" s="58" t="s">
        <v>38</v>
      </c>
      <c r="L84" s="106"/>
      <c r="M84" s="158"/>
      <c r="N84" s="11"/>
      <c r="O84" s="11"/>
      <c r="P84" s="11"/>
      <c r="Q84" s="11"/>
      <c r="S84" s="184">
        <v>2019</v>
      </c>
    </row>
    <row r="85" spans="1:19" ht="78.75">
      <c r="A85" s="160" t="s">
        <v>504</v>
      </c>
      <c r="B85" s="88" t="s">
        <v>1086</v>
      </c>
      <c r="C85" s="55" t="s">
        <v>1087</v>
      </c>
      <c r="D85" s="83" t="s">
        <v>86</v>
      </c>
      <c r="E85" s="82" t="s">
        <v>1058</v>
      </c>
      <c r="F85" s="72">
        <v>53</v>
      </c>
      <c r="G85" s="158"/>
      <c r="H85" s="158"/>
      <c r="I85" s="158"/>
      <c r="J85" s="2">
        <v>0.4476</v>
      </c>
      <c r="K85" s="58" t="s">
        <v>38</v>
      </c>
      <c r="L85" s="106"/>
      <c r="M85" s="158"/>
      <c r="N85" s="11"/>
      <c r="O85" s="11"/>
      <c r="P85" s="11"/>
      <c r="Q85" s="11"/>
      <c r="S85" s="184">
        <v>2019</v>
      </c>
    </row>
    <row r="86" spans="1:19" ht="56.25">
      <c r="A86" s="160" t="s">
        <v>504</v>
      </c>
      <c r="B86" s="88" t="s">
        <v>1139</v>
      </c>
      <c r="C86" s="55" t="s">
        <v>109</v>
      </c>
      <c r="D86" s="84" t="s">
        <v>84</v>
      </c>
      <c r="E86" s="82" t="s">
        <v>1113</v>
      </c>
      <c r="F86" s="158">
        <v>13</v>
      </c>
      <c r="G86" s="158"/>
      <c r="H86" s="158">
        <v>13</v>
      </c>
      <c r="I86" s="158"/>
      <c r="J86" s="2">
        <v>0.45019999999999999</v>
      </c>
      <c r="K86" s="58" t="s">
        <v>38</v>
      </c>
      <c r="L86" s="106"/>
      <c r="M86" s="158"/>
      <c r="N86" s="11"/>
      <c r="O86" s="11"/>
      <c r="P86" s="11"/>
      <c r="Q86" s="11"/>
      <c r="S86" s="184">
        <v>2019</v>
      </c>
    </row>
    <row r="87" spans="1:19" ht="112.5">
      <c r="A87" s="160" t="s">
        <v>504</v>
      </c>
      <c r="B87" s="88" t="s">
        <v>1140</v>
      </c>
      <c r="C87" s="55" t="s">
        <v>1143</v>
      </c>
      <c r="D87" s="84" t="s">
        <v>89</v>
      </c>
      <c r="E87" s="82" t="s">
        <v>1113</v>
      </c>
      <c r="F87" s="158">
        <v>14</v>
      </c>
      <c r="G87" s="158"/>
      <c r="H87" s="158">
        <v>14</v>
      </c>
      <c r="I87" s="176">
        <v>14</v>
      </c>
      <c r="J87" s="2">
        <v>0</v>
      </c>
      <c r="K87" s="58" t="s">
        <v>521</v>
      </c>
      <c r="L87" s="106"/>
      <c r="M87" s="158"/>
      <c r="N87" s="11"/>
      <c r="O87" s="11"/>
      <c r="P87" s="11"/>
      <c r="Q87" s="11"/>
      <c r="S87" s="184">
        <v>2019</v>
      </c>
    </row>
    <row r="88" spans="1:19" ht="56.25">
      <c r="A88" s="160" t="s">
        <v>504</v>
      </c>
      <c r="B88" s="88" t="s">
        <v>1141</v>
      </c>
      <c r="C88" s="55" t="s">
        <v>109</v>
      </c>
      <c r="D88" s="84" t="s">
        <v>84</v>
      </c>
      <c r="E88" s="82" t="s">
        <v>1113</v>
      </c>
      <c r="F88" s="158">
        <v>26</v>
      </c>
      <c r="G88" s="158"/>
      <c r="H88" s="158">
        <v>26</v>
      </c>
      <c r="I88" s="158"/>
      <c r="J88" s="2">
        <v>0.1804</v>
      </c>
      <c r="K88" s="58" t="s">
        <v>38</v>
      </c>
      <c r="L88" s="106"/>
      <c r="M88" s="158"/>
      <c r="N88" s="11"/>
      <c r="O88" s="11"/>
      <c r="P88" s="11"/>
      <c r="Q88" s="11"/>
      <c r="S88" s="184">
        <v>2019</v>
      </c>
    </row>
    <row r="89" spans="1:19" ht="78.75">
      <c r="A89" s="160" t="s">
        <v>504</v>
      </c>
      <c r="B89" s="88" t="s">
        <v>1142</v>
      </c>
      <c r="C89" s="55" t="s">
        <v>1144</v>
      </c>
      <c r="D89" s="84" t="s">
        <v>84</v>
      </c>
      <c r="E89" s="82" t="s">
        <v>1113</v>
      </c>
      <c r="F89" s="158">
        <v>23</v>
      </c>
      <c r="G89" s="158"/>
      <c r="H89" s="158">
        <v>23</v>
      </c>
      <c r="I89" s="75">
        <v>23</v>
      </c>
      <c r="J89" s="2">
        <v>0</v>
      </c>
      <c r="K89" s="58" t="s">
        <v>521</v>
      </c>
      <c r="L89" s="106"/>
      <c r="M89" s="158"/>
      <c r="N89" s="11"/>
      <c r="O89" s="11"/>
      <c r="P89" s="11"/>
      <c r="Q89" s="11"/>
      <c r="S89" s="184">
        <v>2019</v>
      </c>
    </row>
    <row r="90" spans="1:19" ht="78.75">
      <c r="A90" s="160" t="s">
        <v>504</v>
      </c>
      <c r="B90" s="88" t="s">
        <v>1173</v>
      </c>
      <c r="C90" s="55" t="s">
        <v>1169</v>
      </c>
      <c r="D90" s="84" t="s">
        <v>84</v>
      </c>
      <c r="E90" s="82" t="s">
        <v>1113</v>
      </c>
      <c r="F90" s="72">
        <v>20</v>
      </c>
      <c r="G90" s="158"/>
      <c r="H90" s="158"/>
      <c r="I90" s="176">
        <v>20</v>
      </c>
      <c r="J90" s="2">
        <v>0</v>
      </c>
      <c r="K90" s="58" t="s">
        <v>521</v>
      </c>
      <c r="L90" s="106"/>
      <c r="M90" s="158"/>
      <c r="N90" s="11"/>
      <c r="O90" s="11"/>
      <c r="P90" s="11"/>
      <c r="Q90" s="11"/>
      <c r="S90" s="184">
        <v>2019</v>
      </c>
    </row>
    <row r="91" spans="1:19" ht="90">
      <c r="A91" s="160" t="s">
        <v>504</v>
      </c>
      <c r="B91" s="88" t="s">
        <v>1259</v>
      </c>
      <c r="C91" s="55" t="s">
        <v>1078</v>
      </c>
      <c r="D91" s="84" t="s">
        <v>1242</v>
      </c>
      <c r="E91" s="82" t="s">
        <v>1232</v>
      </c>
      <c r="F91" s="158"/>
      <c r="G91" s="158">
        <v>69</v>
      </c>
      <c r="H91" s="158">
        <v>69</v>
      </c>
      <c r="I91" s="176">
        <v>69</v>
      </c>
      <c r="J91" s="2">
        <v>0</v>
      </c>
      <c r="K91" s="58" t="s">
        <v>521</v>
      </c>
      <c r="L91" s="106"/>
      <c r="M91" s="158"/>
      <c r="N91" s="11"/>
      <c r="O91" s="11"/>
      <c r="P91" s="11"/>
      <c r="Q91" s="11"/>
      <c r="S91" s="184">
        <v>2019</v>
      </c>
    </row>
    <row r="92" spans="1:19" ht="90">
      <c r="A92" s="160" t="s">
        <v>504</v>
      </c>
      <c r="B92" s="88" t="s">
        <v>1260</v>
      </c>
      <c r="C92" s="55" t="s">
        <v>919</v>
      </c>
      <c r="D92" s="84" t="s">
        <v>1243</v>
      </c>
      <c r="E92" s="82" t="s">
        <v>1232</v>
      </c>
      <c r="F92" s="158"/>
      <c r="G92" s="158">
        <v>18</v>
      </c>
      <c r="H92" s="158">
        <v>18</v>
      </c>
      <c r="I92" s="176">
        <v>18</v>
      </c>
      <c r="J92" s="2">
        <v>0</v>
      </c>
      <c r="K92" s="58" t="s">
        <v>521</v>
      </c>
      <c r="L92" s="106"/>
      <c r="M92" s="158"/>
      <c r="N92" s="11"/>
      <c r="O92" s="11"/>
      <c r="P92" s="11"/>
      <c r="Q92" s="11"/>
      <c r="S92" s="184">
        <v>2019</v>
      </c>
    </row>
    <row r="93" spans="1:19" ht="78.75">
      <c r="A93" s="160" t="s">
        <v>504</v>
      </c>
      <c r="B93" s="88" t="s">
        <v>1261</v>
      </c>
      <c r="C93" s="55" t="s">
        <v>919</v>
      </c>
      <c r="D93" s="84" t="s">
        <v>1243</v>
      </c>
      <c r="E93" s="82" t="s">
        <v>1232</v>
      </c>
      <c r="F93" s="158"/>
      <c r="G93" s="158">
        <v>24</v>
      </c>
      <c r="H93" s="158">
        <v>24</v>
      </c>
      <c r="I93" s="176">
        <v>24</v>
      </c>
      <c r="J93" s="2">
        <v>0</v>
      </c>
      <c r="K93" s="58" t="s">
        <v>521</v>
      </c>
      <c r="L93" s="106"/>
      <c r="M93" s="158"/>
      <c r="N93" s="11"/>
      <c r="O93" s="11"/>
      <c r="P93" s="11"/>
      <c r="Q93" s="11"/>
      <c r="S93" s="184">
        <v>2019</v>
      </c>
    </row>
    <row r="94" spans="1:19">
      <c r="A94" s="117" t="s">
        <v>505</v>
      </c>
      <c r="B94" s="117"/>
      <c r="C94" s="117"/>
      <c r="D94" s="117"/>
      <c r="E94" s="138"/>
      <c r="F94" s="19">
        <v>131</v>
      </c>
      <c r="G94" s="19">
        <v>126</v>
      </c>
      <c r="H94" s="19">
        <v>101</v>
      </c>
      <c r="I94" s="19">
        <v>121</v>
      </c>
      <c r="J94" s="18"/>
      <c r="K94" s="119"/>
      <c r="L94" s="106"/>
      <c r="M94" s="19">
        <v>367</v>
      </c>
      <c r="N94" s="19">
        <v>335</v>
      </c>
      <c r="O94" s="19">
        <v>122</v>
      </c>
      <c r="P94" s="19">
        <v>52</v>
      </c>
      <c r="Q94" s="19">
        <v>66</v>
      </c>
      <c r="S94" s="187">
        <v>2019</v>
      </c>
    </row>
    <row r="95" spans="1:19" ht="76.5">
      <c r="A95" s="160" t="s">
        <v>505</v>
      </c>
      <c r="B95" s="1" t="s">
        <v>124</v>
      </c>
      <c r="C95" s="27" t="s">
        <v>13</v>
      </c>
      <c r="D95" s="27" t="s">
        <v>544</v>
      </c>
      <c r="E95" s="30" t="s">
        <v>674</v>
      </c>
      <c r="F95" s="158"/>
      <c r="G95" s="158">
        <v>1</v>
      </c>
      <c r="H95" s="158"/>
      <c r="I95" s="158">
        <v>1</v>
      </c>
      <c r="J95" s="2">
        <v>0</v>
      </c>
      <c r="K95" s="58" t="s">
        <v>521</v>
      </c>
      <c r="L95" s="152" t="s">
        <v>1074</v>
      </c>
      <c r="M95" s="158" t="s">
        <v>0</v>
      </c>
      <c r="N95" s="11"/>
      <c r="O95" s="11"/>
      <c r="P95" s="11"/>
      <c r="Q95" s="11"/>
      <c r="S95" s="184">
        <v>2019</v>
      </c>
    </row>
    <row r="96" spans="1:19" ht="67.5">
      <c r="A96" s="160" t="s">
        <v>505</v>
      </c>
      <c r="B96" s="29" t="s">
        <v>665</v>
      </c>
      <c r="C96" s="173" t="s">
        <v>102</v>
      </c>
      <c r="D96" s="88" t="s">
        <v>123</v>
      </c>
      <c r="E96" s="30" t="s">
        <v>635</v>
      </c>
      <c r="F96" s="158"/>
      <c r="G96" s="158">
        <v>43</v>
      </c>
      <c r="H96" s="158"/>
      <c r="I96" s="158"/>
      <c r="J96" s="2">
        <v>0.1211</v>
      </c>
      <c r="K96" s="58" t="s">
        <v>942</v>
      </c>
      <c r="L96" s="105" t="s">
        <v>1299</v>
      </c>
      <c r="M96" s="158"/>
      <c r="N96" s="158"/>
      <c r="O96" s="158"/>
      <c r="P96" s="158"/>
      <c r="Q96" s="158"/>
      <c r="S96" s="184">
        <v>2019</v>
      </c>
    </row>
    <row r="97" spans="1:19" ht="67.5">
      <c r="A97" s="160" t="s">
        <v>505</v>
      </c>
      <c r="B97" s="88" t="s">
        <v>835</v>
      </c>
      <c r="C97" s="88" t="s">
        <v>723</v>
      </c>
      <c r="D97" s="88" t="s">
        <v>544</v>
      </c>
      <c r="E97" s="30" t="s">
        <v>715</v>
      </c>
      <c r="F97" s="158"/>
      <c r="G97" s="158">
        <v>52</v>
      </c>
      <c r="H97" s="158">
        <v>52</v>
      </c>
      <c r="I97" s="158"/>
      <c r="J97" s="2">
        <v>1</v>
      </c>
      <c r="K97" s="58" t="s">
        <v>646</v>
      </c>
      <c r="L97" s="105"/>
      <c r="M97" s="158"/>
      <c r="N97" s="158"/>
      <c r="O97" s="11"/>
      <c r="P97" s="179">
        <v>52</v>
      </c>
      <c r="Q97" s="179">
        <v>52</v>
      </c>
      <c r="R97">
        <v>2019</v>
      </c>
      <c r="S97" s="184">
        <v>2019</v>
      </c>
    </row>
    <row r="98" spans="1:19" ht="101.25">
      <c r="A98" s="160" t="s">
        <v>505</v>
      </c>
      <c r="B98" s="88" t="s">
        <v>1073</v>
      </c>
      <c r="C98" s="88" t="s">
        <v>149</v>
      </c>
      <c r="D98" s="88" t="s">
        <v>132</v>
      </c>
      <c r="E98" s="30" t="s">
        <v>715</v>
      </c>
      <c r="F98" s="158"/>
      <c r="G98" s="158">
        <v>30</v>
      </c>
      <c r="H98" s="158"/>
      <c r="I98" s="158"/>
      <c r="J98" s="2">
        <v>0.44679999999999997</v>
      </c>
      <c r="K98" s="58" t="s">
        <v>986</v>
      </c>
      <c r="L98" s="105"/>
      <c r="M98" s="158"/>
      <c r="N98" s="158"/>
      <c r="O98" s="158"/>
      <c r="P98" s="158"/>
      <c r="Q98" s="158"/>
      <c r="S98" s="184">
        <v>2019</v>
      </c>
    </row>
    <row r="99" spans="1:19" ht="56.25">
      <c r="A99" s="160" t="s">
        <v>505</v>
      </c>
      <c r="B99" s="88" t="s">
        <v>1145</v>
      </c>
      <c r="C99" s="88" t="s">
        <v>1021</v>
      </c>
      <c r="D99" s="88" t="s">
        <v>123</v>
      </c>
      <c r="E99" s="82" t="s">
        <v>1113</v>
      </c>
      <c r="F99" s="158">
        <v>11</v>
      </c>
      <c r="G99" s="158"/>
      <c r="H99" s="158">
        <v>11</v>
      </c>
      <c r="I99" s="158"/>
      <c r="J99" s="2">
        <v>0.33479999999999999</v>
      </c>
      <c r="K99" s="58" t="s">
        <v>38</v>
      </c>
      <c r="L99" s="105"/>
      <c r="M99" s="158"/>
      <c r="N99" s="158"/>
      <c r="O99" s="158"/>
      <c r="P99" s="158"/>
      <c r="Q99" s="158"/>
      <c r="S99" s="184">
        <v>2019</v>
      </c>
    </row>
    <row r="100" spans="1:19" ht="56.25">
      <c r="A100" s="160" t="s">
        <v>505</v>
      </c>
      <c r="B100" s="88" t="s">
        <v>1156</v>
      </c>
      <c r="C100" s="88" t="s">
        <v>13</v>
      </c>
      <c r="D100" s="88" t="s">
        <v>1146</v>
      </c>
      <c r="E100" s="82" t="s">
        <v>1113</v>
      </c>
      <c r="F100" s="156">
        <v>38</v>
      </c>
      <c r="G100" s="158"/>
      <c r="H100" s="158">
        <v>38</v>
      </c>
      <c r="I100" s="75">
        <v>38</v>
      </c>
      <c r="J100" s="2">
        <v>0</v>
      </c>
      <c r="K100" s="58" t="s">
        <v>521</v>
      </c>
      <c r="L100" s="105"/>
      <c r="M100" s="158"/>
      <c r="N100" s="158"/>
      <c r="O100" s="158"/>
      <c r="P100" s="158"/>
      <c r="Q100" s="158"/>
      <c r="S100" s="184">
        <v>2019</v>
      </c>
    </row>
    <row r="101" spans="1:19" ht="56.25">
      <c r="A101" s="160" t="s">
        <v>505</v>
      </c>
      <c r="B101" s="88" t="s">
        <v>1156</v>
      </c>
      <c r="C101" s="88" t="s">
        <v>13</v>
      </c>
      <c r="D101" s="88" t="s">
        <v>1146</v>
      </c>
      <c r="E101" s="82" t="s">
        <v>1113</v>
      </c>
      <c r="F101" s="72">
        <v>3</v>
      </c>
      <c r="G101" s="158"/>
      <c r="H101" s="158"/>
      <c r="I101" s="75">
        <v>3</v>
      </c>
      <c r="J101" s="2">
        <v>0</v>
      </c>
      <c r="K101" s="58" t="s">
        <v>521</v>
      </c>
      <c r="L101" s="105" t="s">
        <v>1297</v>
      </c>
      <c r="M101" s="158"/>
      <c r="N101" s="158"/>
      <c r="O101" s="158"/>
      <c r="P101" s="158"/>
      <c r="Q101" s="158"/>
      <c r="S101" s="184">
        <v>2019</v>
      </c>
    </row>
    <row r="102" spans="1:19" ht="33.75">
      <c r="A102" s="160" t="s">
        <v>505</v>
      </c>
      <c r="B102" s="88" t="s">
        <v>1177</v>
      </c>
      <c r="C102" s="88" t="s">
        <v>105</v>
      </c>
      <c r="D102" s="88" t="s">
        <v>1178</v>
      </c>
      <c r="E102" s="82" t="s">
        <v>1113</v>
      </c>
      <c r="F102" s="72">
        <v>79</v>
      </c>
      <c r="G102" s="158"/>
      <c r="H102" s="158"/>
      <c r="I102" s="176">
        <v>79</v>
      </c>
      <c r="J102" s="2">
        <v>0</v>
      </c>
      <c r="K102" s="58" t="s">
        <v>521</v>
      </c>
      <c r="L102" s="105"/>
      <c r="M102" s="158"/>
      <c r="N102" s="158"/>
      <c r="O102" s="158"/>
      <c r="P102" s="158"/>
      <c r="Q102" s="158"/>
      <c r="S102" s="184">
        <v>2019</v>
      </c>
    </row>
    <row r="103" spans="1:19">
      <c r="A103" s="117" t="s">
        <v>506</v>
      </c>
      <c r="B103" s="117"/>
      <c r="C103" s="117"/>
      <c r="D103" s="117"/>
      <c r="E103" s="138"/>
      <c r="F103" s="21">
        <v>353</v>
      </c>
      <c r="G103" s="21">
        <v>231</v>
      </c>
      <c r="H103" s="21">
        <v>449</v>
      </c>
      <c r="I103" s="21">
        <v>64</v>
      </c>
      <c r="J103" s="20"/>
      <c r="K103" s="62"/>
      <c r="L103" s="105"/>
      <c r="M103" s="21">
        <v>230</v>
      </c>
      <c r="N103" s="21">
        <v>0</v>
      </c>
      <c r="O103" s="21">
        <v>59</v>
      </c>
      <c r="P103" s="21">
        <v>130</v>
      </c>
      <c r="Q103" s="21">
        <v>189</v>
      </c>
      <c r="S103" s="187">
        <v>2019</v>
      </c>
    </row>
    <row r="104" spans="1:19" ht="101.25">
      <c r="A104" s="160" t="s">
        <v>506</v>
      </c>
      <c r="B104" s="88" t="s">
        <v>145</v>
      </c>
      <c r="C104" s="88" t="s">
        <v>146</v>
      </c>
      <c r="D104" s="88" t="s">
        <v>141</v>
      </c>
      <c r="E104" s="30" t="s">
        <v>653</v>
      </c>
      <c r="F104" s="158"/>
      <c r="G104" s="158">
        <v>25</v>
      </c>
      <c r="H104" s="158"/>
      <c r="I104" s="158">
        <v>25</v>
      </c>
      <c r="J104" s="2">
        <v>0</v>
      </c>
      <c r="K104" s="58" t="s">
        <v>521</v>
      </c>
      <c r="L104" s="106"/>
      <c r="M104" s="158" t="s">
        <v>0</v>
      </c>
      <c r="N104" s="158"/>
      <c r="O104" s="158"/>
      <c r="P104" s="158"/>
      <c r="Q104" s="158"/>
      <c r="S104" s="184">
        <v>2019</v>
      </c>
    </row>
    <row r="105" spans="1:19" ht="78.75">
      <c r="A105" s="160" t="s">
        <v>506</v>
      </c>
      <c r="B105" s="55" t="s">
        <v>762</v>
      </c>
      <c r="C105" s="55" t="s">
        <v>758</v>
      </c>
      <c r="D105" s="55" t="s">
        <v>924</v>
      </c>
      <c r="E105" s="30" t="s">
        <v>715</v>
      </c>
      <c r="F105" s="51"/>
      <c r="G105" s="51">
        <v>42</v>
      </c>
      <c r="H105" s="51">
        <v>42</v>
      </c>
      <c r="I105" s="51"/>
      <c r="J105" s="2">
        <v>1</v>
      </c>
      <c r="K105" s="58" t="s">
        <v>646</v>
      </c>
      <c r="L105" s="107"/>
      <c r="M105" s="51"/>
      <c r="N105" s="51"/>
      <c r="O105" s="51"/>
      <c r="P105" s="178">
        <v>42</v>
      </c>
      <c r="Q105" s="178">
        <v>42</v>
      </c>
      <c r="R105">
        <v>2019</v>
      </c>
      <c r="S105" s="184">
        <v>2019</v>
      </c>
    </row>
    <row r="106" spans="1:19" ht="78.75">
      <c r="A106" s="160" t="s">
        <v>506</v>
      </c>
      <c r="B106" s="55" t="s">
        <v>762</v>
      </c>
      <c r="C106" s="55" t="s">
        <v>758</v>
      </c>
      <c r="D106" s="55" t="s">
        <v>924</v>
      </c>
      <c r="E106" s="30" t="s">
        <v>715</v>
      </c>
      <c r="F106" s="51"/>
      <c r="G106" s="51">
        <v>1</v>
      </c>
      <c r="H106" s="51">
        <v>1</v>
      </c>
      <c r="I106" s="51"/>
      <c r="J106" s="2">
        <v>1</v>
      </c>
      <c r="K106" s="58" t="s">
        <v>646</v>
      </c>
      <c r="L106" s="106"/>
      <c r="M106" s="51"/>
      <c r="N106" s="51"/>
      <c r="O106" s="51"/>
      <c r="P106" s="178">
        <v>1</v>
      </c>
      <c r="Q106" s="178">
        <v>1</v>
      </c>
      <c r="R106">
        <v>2019</v>
      </c>
      <c r="S106" s="184">
        <v>2019</v>
      </c>
    </row>
    <row r="107" spans="1:19" ht="67.5">
      <c r="A107" s="160" t="s">
        <v>506</v>
      </c>
      <c r="B107" s="55" t="s">
        <v>763</v>
      </c>
      <c r="C107" s="55" t="s">
        <v>758</v>
      </c>
      <c r="D107" s="55" t="s">
        <v>924</v>
      </c>
      <c r="E107" s="30" t="s">
        <v>715</v>
      </c>
      <c r="F107" s="51"/>
      <c r="G107" s="51">
        <v>87</v>
      </c>
      <c r="H107" s="51">
        <v>87</v>
      </c>
      <c r="I107" s="51"/>
      <c r="J107" s="2">
        <v>1</v>
      </c>
      <c r="K107" s="58" t="s">
        <v>646</v>
      </c>
      <c r="L107" s="106"/>
      <c r="M107" s="51"/>
      <c r="N107" s="51"/>
      <c r="O107" s="51"/>
      <c r="P107" s="178">
        <v>87</v>
      </c>
      <c r="Q107" s="178">
        <v>87</v>
      </c>
      <c r="R107">
        <v>2019</v>
      </c>
      <c r="S107" s="184">
        <v>2019</v>
      </c>
    </row>
    <row r="108" spans="1:19" ht="45">
      <c r="A108" s="160" t="s">
        <v>506</v>
      </c>
      <c r="B108" s="55" t="s">
        <v>837</v>
      </c>
      <c r="C108" s="55" t="s">
        <v>760</v>
      </c>
      <c r="D108" s="55" t="s">
        <v>838</v>
      </c>
      <c r="E108" s="30" t="s">
        <v>715</v>
      </c>
      <c r="F108" s="51"/>
      <c r="G108" s="51">
        <v>22</v>
      </c>
      <c r="H108" s="51">
        <v>22</v>
      </c>
      <c r="I108" s="51"/>
      <c r="J108" s="56">
        <v>0.7</v>
      </c>
      <c r="K108" s="58" t="s">
        <v>38</v>
      </c>
      <c r="L108" s="106"/>
      <c r="M108" s="51"/>
      <c r="N108" s="51"/>
      <c r="O108" s="51"/>
      <c r="P108" s="51"/>
      <c r="Q108" s="51"/>
      <c r="S108" s="184">
        <v>2019</v>
      </c>
    </row>
    <row r="109" spans="1:19" ht="45">
      <c r="A109" s="160" t="s">
        <v>506</v>
      </c>
      <c r="B109" s="55" t="s">
        <v>837</v>
      </c>
      <c r="C109" s="55" t="s">
        <v>760</v>
      </c>
      <c r="D109" s="55" t="s">
        <v>838</v>
      </c>
      <c r="E109" s="30" t="s">
        <v>715</v>
      </c>
      <c r="F109" s="51"/>
      <c r="G109" s="51">
        <v>4</v>
      </c>
      <c r="H109" s="51">
        <v>4</v>
      </c>
      <c r="I109" s="51">
        <v>4</v>
      </c>
      <c r="J109" s="56">
        <v>0</v>
      </c>
      <c r="K109" s="58" t="s">
        <v>521</v>
      </c>
      <c r="L109" s="106" t="s">
        <v>1257</v>
      </c>
      <c r="M109" s="51"/>
      <c r="N109" s="51"/>
      <c r="O109" s="51"/>
      <c r="P109" s="51"/>
      <c r="Q109" s="51"/>
      <c r="S109" s="184">
        <v>2019</v>
      </c>
    </row>
    <row r="110" spans="1:19" ht="45">
      <c r="A110" s="160" t="s">
        <v>506</v>
      </c>
      <c r="B110" s="55" t="s">
        <v>839</v>
      </c>
      <c r="C110" s="55" t="s">
        <v>761</v>
      </c>
      <c r="D110" s="55" t="s">
        <v>836</v>
      </c>
      <c r="E110" s="30" t="s">
        <v>731</v>
      </c>
      <c r="F110" s="51"/>
      <c r="G110" s="51">
        <v>46</v>
      </c>
      <c r="H110" s="51"/>
      <c r="I110" s="51"/>
      <c r="J110" s="56">
        <v>0.43</v>
      </c>
      <c r="K110" s="58" t="s">
        <v>942</v>
      </c>
      <c r="L110" s="106" t="s">
        <v>1227</v>
      </c>
      <c r="M110" s="51"/>
      <c r="N110" s="51"/>
      <c r="O110" s="51"/>
      <c r="P110" s="51"/>
      <c r="Q110" s="51"/>
      <c r="S110" s="184">
        <v>2019</v>
      </c>
    </row>
    <row r="111" spans="1:19" ht="45">
      <c r="A111" s="160" t="s">
        <v>506</v>
      </c>
      <c r="B111" s="55" t="s">
        <v>839</v>
      </c>
      <c r="C111" s="55" t="s">
        <v>761</v>
      </c>
      <c r="D111" s="55" t="s">
        <v>836</v>
      </c>
      <c r="E111" s="30" t="s">
        <v>731</v>
      </c>
      <c r="F111" s="51"/>
      <c r="G111" s="51">
        <v>3</v>
      </c>
      <c r="H111" s="51"/>
      <c r="I111" s="51"/>
      <c r="J111" s="56">
        <v>0.43</v>
      </c>
      <c r="K111" s="58" t="s">
        <v>942</v>
      </c>
      <c r="L111" s="106" t="s">
        <v>1227</v>
      </c>
      <c r="M111" s="51"/>
      <c r="N111" s="51"/>
      <c r="O111" s="51"/>
      <c r="P111" s="51"/>
      <c r="Q111" s="51"/>
      <c r="S111" s="184">
        <v>2019</v>
      </c>
    </row>
    <row r="112" spans="1:19" ht="78.75">
      <c r="A112" s="160" t="s">
        <v>506</v>
      </c>
      <c r="B112" s="88" t="s">
        <v>944</v>
      </c>
      <c r="C112" s="87" t="s">
        <v>45</v>
      </c>
      <c r="D112" s="87" t="s">
        <v>990</v>
      </c>
      <c r="E112" s="30" t="s">
        <v>968</v>
      </c>
      <c r="F112" s="81">
        <v>45</v>
      </c>
      <c r="G112" s="81"/>
      <c r="H112" s="81">
        <v>45</v>
      </c>
      <c r="I112" s="51"/>
      <c r="J112" s="56">
        <v>0.6</v>
      </c>
      <c r="K112" s="58" t="s">
        <v>38</v>
      </c>
      <c r="L112" s="106"/>
      <c r="M112" s="51"/>
      <c r="N112" s="51"/>
      <c r="O112" s="51"/>
      <c r="P112" s="51"/>
      <c r="Q112" s="51"/>
      <c r="S112" s="184">
        <v>2019</v>
      </c>
    </row>
    <row r="113" spans="1:19" ht="56.25">
      <c r="A113" s="160" t="s">
        <v>506</v>
      </c>
      <c r="B113" s="88" t="s">
        <v>950</v>
      </c>
      <c r="C113" s="87" t="s">
        <v>991</v>
      </c>
      <c r="D113" s="87" t="s">
        <v>1003</v>
      </c>
      <c r="E113" s="30" t="s">
        <v>968</v>
      </c>
      <c r="F113" s="81">
        <v>34</v>
      </c>
      <c r="G113" s="106"/>
      <c r="H113" s="81">
        <v>34</v>
      </c>
      <c r="I113" s="81"/>
      <c r="J113" s="56">
        <v>0.54779999999999995</v>
      </c>
      <c r="K113" s="58" t="s">
        <v>38</v>
      </c>
      <c r="L113" s="106"/>
      <c r="M113" s="51"/>
      <c r="N113" s="51"/>
      <c r="O113" s="51"/>
      <c r="P113" s="51"/>
      <c r="Q113" s="51"/>
      <c r="S113" s="184">
        <v>2019</v>
      </c>
    </row>
    <row r="114" spans="1:19" ht="45">
      <c r="A114" s="160" t="s">
        <v>506</v>
      </c>
      <c r="B114" s="88" t="s">
        <v>1051</v>
      </c>
      <c r="C114" s="87" t="s">
        <v>1021</v>
      </c>
      <c r="D114" s="87" t="s">
        <v>1044</v>
      </c>
      <c r="E114" s="30" t="s">
        <v>968</v>
      </c>
      <c r="F114" s="81">
        <v>45</v>
      </c>
      <c r="G114" s="81"/>
      <c r="H114" s="81">
        <v>45</v>
      </c>
      <c r="I114" s="81"/>
      <c r="J114" s="56">
        <v>0.49020000000000002</v>
      </c>
      <c r="K114" s="58" t="s">
        <v>38</v>
      </c>
      <c r="L114" s="106"/>
      <c r="M114" s="51"/>
      <c r="N114" s="51"/>
      <c r="O114" s="51"/>
      <c r="P114" s="51"/>
      <c r="Q114" s="51"/>
      <c r="S114" s="184">
        <v>2019</v>
      </c>
    </row>
    <row r="115" spans="1:19" ht="67.5">
      <c r="A115" s="160" t="s">
        <v>506</v>
      </c>
      <c r="B115" s="88" t="s">
        <v>1122</v>
      </c>
      <c r="C115" s="87" t="s">
        <v>998</v>
      </c>
      <c r="D115" s="87" t="s">
        <v>1121</v>
      </c>
      <c r="E115" s="30" t="s">
        <v>1116</v>
      </c>
      <c r="F115" s="81">
        <v>11</v>
      </c>
      <c r="G115" s="81"/>
      <c r="H115" s="81">
        <v>11</v>
      </c>
      <c r="I115" s="81"/>
      <c r="J115" s="56">
        <v>0.33</v>
      </c>
      <c r="K115" s="58" t="s">
        <v>38</v>
      </c>
      <c r="L115" s="106"/>
      <c r="M115" s="51"/>
      <c r="N115" s="51"/>
      <c r="O115" s="51"/>
      <c r="P115" s="51"/>
      <c r="Q115" s="51"/>
      <c r="S115" s="184">
        <v>2019</v>
      </c>
    </row>
    <row r="116" spans="1:19" ht="45">
      <c r="A116" s="160" t="s">
        <v>506</v>
      </c>
      <c r="B116" s="88" t="s">
        <v>1120</v>
      </c>
      <c r="C116" s="87" t="s">
        <v>998</v>
      </c>
      <c r="D116" s="87" t="s">
        <v>1121</v>
      </c>
      <c r="E116" s="30" t="s">
        <v>1116</v>
      </c>
      <c r="F116" s="81">
        <v>35</v>
      </c>
      <c r="G116" s="81"/>
      <c r="H116" s="81">
        <v>35</v>
      </c>
      <c r="I116" s="81"/>
      <c r="J116" s="56">
        <v>0.16</v>
      </c>
      <c r="K116" s="58" t="s">
        <v>38</v>
      </c>
      <c r="L116" s="106"/>
      <c r="M116" s="51"/>
      <c r="N116" s="51"/>
      <c r="O116" s="51"/>
      <c r="P116" s="51"/>
      <c r="Q116" s="51"/>
      <c r="S116" s="184">
        <v>2019</v>
      </c>
    </row>
    <row r="117" spans="1:19" ht="45">
      <c r="A117" s="160" t="s">
        <v>506</v>
      </c>
      <c r="B117" s="88" t="s">
        <v>1119</v>
      </c>
      <c r="C117" s="87" t="s">
        <v>1021</v>
      </c>
      <c r="D117" s="87" t="s">
        <v>141</v>
      </c>
      <c r="E117" s="30" t="s">
        <v>1116</v>
      </c>
      <c r="F117" s="81">
        <v>45</v>
      </c>
      <c r="G117" s="81"/>
      <c r="H117" s="81">
        <v>45</v>
      </c>
      <c r="I117" s="81"/>
      <c r="J117" s="56">
        <v>0.29749999999999999</v>
      </c>
      <c r="K117" s="58" t="s">
        <v>38</v>
      </c>
      <c r="L117" s="106"/>
      <c r="M117" s="51"/>
      <c r="N117" s="51"/>
      <c r="O117" s="51"/>
      <c r="P117" s="51"/>
      <c r="Q117" s="51"/>
      <c r="S117" s="184">
        <v>2019</v>
      </c>
    </row>
    <row r="118" spans="1:19" ht="114.75">
      <c r="A118" s="160" t="s">
        <v>506</v>
      </c>
      <c r="B118" s="88" t="s">
        <v>1147</v>
      </c>
      <c r="C118" s="87" t="s">
        <v>998</v>
      </c>
      <c r="D118" s="114" t="s">
        <v>1151</v>
      </c>
      <c r="E118" s="82" t="s">
        <v>1113</v>
      </c>
      <c r="F118" s="81">
        <v>16</v>
      </c>
      <c r="G118" s="81"/>
      <c r="H118" s="181">
        <v>16</v>
      </c>
      <c r="I118" s="76">
        <v>16</v>
      </c>
      <c r="J118" s="56">
        <v>0</v>
      </c>
      <c r="K118" s="58" t="s">
        <v>521</v>
      </c>
      <c r="L118" s="109" t="s">
        <v>1298</v>
      </c>
      <c r="M118" s="51"/>
      <c r="N118" s="51"/>
      <c r="O118" s="51"/>
      <c r="P118" s="51"/>
      <c r="Q118" s="51"/>
      <c r="S118" s="184">
        <v>2019</v>
      </c>
    </row>
    <row r="119" spans="1:19" ht="56.25">
      <c r="A119" s="160" t="s">
        <v>506</v>
      </c>
      <c r="B119" s="88" t="s">
        <v>1147</v>
      </c>
      <c r="C119" s="87" t="s">
        <v>998</v>
      </c>
      <c r="D119" s="114" t="s">
        <v>1151</v>
      </c>
      <c r="E119" s="82" t="s">
        <v>1113</v>
      </c>
      <c r="F119" s="81">
        <v>1</v>
      </c>
      <c r="G119" s="81"/>
      <c r="H119" s="81"/>
      <c r="I119" s="76">
        <v>1</v>
      </c>
      <c r="J119" s="56">
        <v>0</v>
      </c>
      <c r="K119" s="58" t="s">
        <v>521</v>
      </c>
      <c r="L119" s="109" t="s">
        <v>1297</v>
      </c>
      <c r="M119" s="51"/>
      <c r="N119" s="51"/>
      <c r="O119" s="51"/>
      <c r="P119" s="51"/>
      <c r="Q119" s="51"/>
      <c r="S119" s="184">
        <v>2019</v>
      </c>
    </row>
    <row r="120" spans="1:19" ht="56.25">
      <c r="A120" s="160" t="s">
        <v>506</v>
      </c>
      <c r="B120" s="88" t="s">
        <v>1147</v>
      </c>
      <c r="C120" s="87" t="s">
        <v>998</v>
      </c>
      <c r="D120" s="114" t="s">
        <v>1151</v>
      </c>
      <c r="E120" s="82" t="s">
        <v>1113</v>
      </c>
      <c r="F120" s="81"/>
      <c r="G120" s="81">
        <v>1</v>
      </c>
      <c r="H120" s="81"/>
      <c r="I120" s="76">
        <v>1</v>
      </c>
      <c r="J120" s="56">
        <v>0</v>
      </c>
      <c r="K120" s="58" t="s">
        <v>521</v>
      </c>
      <c r="L120" s="109" t="s">
        <v>1297</v>
      </c>
      <c r="M120" s="51"/>
      <c r="N120" s="51"/>
      <c r="O120" s="51"/>
      <c r="P120" s="51"/>
      <c r="Q120" s="51"/>
      <c r="S120" s="184">
        <v>2019</v>
      </c>
    </row>
    <row r="121" spans="1:19" ht="45">
      <c r="A121" s="160" t="s">
        <v>506</v>
      </c>
      <c r="B121" s="88" t="s">
        <v>1148</v>
      </c>
      <c r="C121" s="87" t="s">
        <v>77</v>
      </c>
      <c r="D121" s="87" t="s">
        <v>1152</v>
      </c>
      <c r="E121" s="82" t="s">
        <v>1113</v>
      </c>
      <c r="F121" s="81">
        <v>17</v>
      </c>
      <c r="G121" s="81"/>
      <c r="H121" s="81">
        <v>17</v>
      </c>
      <c r="I121" s="76">
        <v>17</v>
      </c>
      <c r="J121" s="56">
        <v>0</v>
      </c>
      <c r="K121" s="58" t="s">
        <v>521</v>
      </c>
      <c r="L121" s="106"/>
      <c r="M121" s="51"/>
      <c r="N121" s="51"/>
      <c r="O121" s="51"/>
      <c r="P121" s="51"/>
      <c r="Q121" s="51"/>
      <c r="S121" s="184">
        <v>2019</v>
      </c>
    </row>
    <row r="122" spans="1:19" ht="78.75">
      <c r="A122" s="160" t="s">
        <v>506</v>
      </c>
      <c r="B122" s="88" t="s">
        <v>1149</v>
      </c>
      <c r="C122" s="87" t="s">
        <v>1153</v>
      </c>
      <c r="D122" s="87" t="s">
        <v>1154</v>
      </c>
      <c r="E122" s="82" t="s">
        <v>1113</v>
      </c>
      <c r="F122" s="181">
        <v>59</v>
      </c>
      <c r="G122" s="81"/>
      <c r="H122" s="81"/>
      <c r="I122" s="81"/>
      <c r="J122" s="135">
        <v>0</v>
      </c>
      <c r="K122" s="58" t="s">
        <v>38</v>
      </c>
      <c r="L122" s="106"/>
      <c r="M122" s="51"/>
      <c r="N122" s="51"/>
      <c r="O122" s="51"/>
      <c r="P122" s="51"/>
      <c r="Q122" s="51"/>
      <c r="S122" s="184">
        <v>2019</v>
      </c>
    </row>
    <row r="123" spans="1:19" ht="112.5">
      <c r="A123" s="160" t="s">
        <v>506</v>
      </c>
      <c r="B123" s="88" t="s">
        <v>1150</v>
      </c>
      <c r="C123" s="87" t="s">
        <v>1143</v>
      </c>
      <c r="D123" s="87" t="s">
        <v>1155</v>
      </c>
      <c r="E123" s="82" t="s">
        <v>1113</v>
      </c>
      <c r="F123" s="81">
        <v>45</v>
      </c>
      <c r="G123" s="81"/>
      <c r="H123" s="81">
        <v>45</v>
      </c>
      <c r="I123" s="81"/>
      <c r="J123" s="135">
        <v>0</v>
      </c>
      <c r="K123" s="58" t="s">
        <v>38</v>
      </c>
      <c r="L123" s="106"/>
      <c r="M123" s="51"/>
      <c r="N123" s="51"/>
      <c r="O123" s="51"/>
      <c r="P123" s="51"/>
      <c r="Q123" s="51"/>
      <c r="S123" s="184">
        <v>2019</v>
      </c>
    </row>
    <row r="124" spans="1:19">
      <c r="A124" s="117" t="s">
        <v>507</v>
      </c>
      <c r="B124" s="117"/>
      <c r="C124" s="117"/>
      <c r="D124" s="117"/>
      <c r="E124" s="138"/>
      <c r="F124" s="21">
        <v>35</v>
      </c>
      <c r="G124" s="21">
        <v>15</v>
      </c>
      <c r="H124" s="21">
        <v>50</v>
      </c>
      <c r="I124" s="21">
        <v>15</v>
      </c>
      <c r="J124" s="20"/>
      <c r="K124" s="62"/>
      <c r="L124" s="106"/>
      <c r="M124" s="21">
        <v>131</v>
      </c>
      <c r="N124" s="21">
        <v>96</v>
      </c>
      <c r="O124" s="21">
        <v>1</v>
      </c>
      <c r="P124" s="21">
        <v>0</v>
      </c>
      <c r="Q124" s="21">
        <v>0</v>
      </c>
      <c r="S124" s="187">
        <v>2019</v>
      </c>
    </row>
    <row r="125" spans="1:19" ht="33.75">
      <c r="A125" s="160" t="s">
        <v>507</v>
      </c>
      <c r="B125" s="58" t="s">
        <v>1123</v>
      </c>
      <c r="C125" s="88" t="s">
        <v>61</v>
      </c>
      <c r="D125" s="88" t="s">
        <v>1118</v>
      </c>
      <c r="E125" s="30" t="s">
        <v>1116</v>
      </c>
      <c r="F125" s="158">
        <v>35</v>
      </c>
      <c r="G125" s="158"/>
      <c r="H125" s="158">
        <v>35</v>
      </c>
      <c r="I125" s="158"/>
      <c r="J125" s="56">
        <v>0.4788</v>
      </c>
      <c r="K125" s="58" t="s">
        <v>38</v>
      </c>
      <c r="L125" s="105"/>
      <c r="M125" s="158"/>
      <c r="N125" s="158"/>
      <c r="O125" s="158"/>
      <c r="P125" s="158"/>
      <c r="Q125" s="158"/>
      <c r="S125" s="184">
        <v>2019</v>
      </c>
    </row>
    <row r="126" spans="1:19" ht="33.75">
      <c r="A126" s="160" t="s">
        <v>507</v>
      </c>
      <c r="B126" s="88" t="s">
        <v>1322</v>
      </c>
      <c r="C126" s="88" t="s">
        <v>1245</v>
      </c>
      <c r="D126" s="88" t="s">
        <v>1118</v>
      </c>
      <c r="E126" s="30" t="s">
        <v>1232</v>
      </c>
      <c r="F126" s="158"/>
      <c r="G126" s="158">
        <v>15</v>
      </c>
      <c r="H126" s="158">
        <v>15</v>
      </c>
      <c r="I126" s="176">
        <v>15</v>
      </c>
      <c r="J126" s="56">
        <v>0</v>
      </c>
      <c r="K126" s="58" t="s">
        <v>521</v>
      </c>
      <c r="L126" s="105"/>
      <c r="M126" s="158"/>
      <c r="N126" s="158"/>
      <c r="O126" s="158"/>
      <c r="P126" s="158"/>
      <c r="Q126" s="158"/>
      <c r="S126" s="184">
        <v>2019</v>
      </c>
    </row>
    <row r="127" spans="1:19">
      <c r="A127" s="117" t="s">
        <v>508</v>
      </c>
      <c r="B127" s="117"/>
      <c r="C127" s="117"/>
      <c r="D127" s="117"/>
      <c r="E127" s="138"/>
      <c r="F127" s="21">
        <v>71</v>
      </c>
      <c r="G127" s="21">
        <v>129</v>
      </c>
      <c r="H127" s="21">
        <v>71</v>
      </c>
      <c r="I127" s="21">
        <v>64</v>
      </c>
      <c r="J127" s="20"/>
      <c r="K127" s="62"/>
      <c r="L127" s="105"/>
      <c r="M127" s="21">
        <v>75</v>
      </c>
      <c r="N127" s="21">
        <v>0</v>
      </c>
      <c r="O127" s="21">
        <v>153</v>
      </c>
      <c r="P127" s="21">
        <v>0</v>
      </c>
      <c r="Q127" s="21">
        <v>39</v>
      </c>
      <c r="S127" s="187">
        <v>2019</v>
      </c>
    </row>
    <row r="128" spans="1:19" ht="56.25">
      <c r="A128" s="160" t="s">
        <v>508</v>
      </c>
      <c r="B128" s="88" t="s">
        <v>690</v>
      </c>
      <c r="C128" s="88" t="s">
        <v>7</v>
      </c>
      <c r="D128" s="88" t="s">
        <v>641</v>
      </c>
      <c r="E128" s="30" t="s">
        <v>647</v>
      </c>
      <c r="F128" s="158"/>
      <c r="G128" s="158">
        <v>4</v>
      </c>
      <c r="H128" s="158"/>
      <c r="I128" s="158">
        <v>4</v>
      </c>
      <c r="J128" s="2">
        <v>0</v>
      </c>
      <c r="K128" s="58" t="s">
        <v>521</v>
      </c>
      <c r="L128" s="152" t="s">
        <v>1300</v>
      </c>
      <c r="M128" s="158"/>
      <c r="N128" s="11"/>
      <c r="O128" s="11"/>
      <c r="P128" s="11"/>
      <c r="Q128" s="11"/>
      <c r="S128" s="184">
        <v>2019</v>
      </c>
    </row>
    <row r="129" spans="1:19" ht="45">
      <c r="A129" s="160" t="s">
        <v>508</v>
      </c>
      <c r="B129" s="88" t="s">
        <v>666</v>
      </c>
      <c r="C129" s="88" t="s">
        <v>162</v>
      </c>
      <c r="D129" s="88" t="s">
        <v>163</v>
      </c>
      <c r="E129" s="30" t="s">
        <v>658</v>
      </c>
      <c r="F129" s="158"/>
      <c r="G129" s="158">
        <v>1</v>
      </c>
      <c r="H129" s="158"/>
      <c r="I129" s="158">
        <v>1</v>
      </c>
      <c r="J129" s="2">
        <v>0</v>
      </c>
      <c r="K129" s="58" t="s">
        <v>521</v>
      </c>
      <c r="L129" s="106"/>
      <c r="M129" s="158" t="s">
        <v>0</v>
      </c>
      <c r="N129" s="11"/>
      <c r="O129" s="11"/>
      <c r="P129" s="11"/>
      <c r="Q129" s="11"/>
      <c r="S129" s="184">
        <v>2019</v>
      </c>
    </row>
    <row r="130" spans="1:19" ht="78.75">
      <c r="A130" s="160" t="s">
        <v>508</v>
      </c>
      <c r="B130" s="27" t="s">
        <v>667</v>
      </c>
      <c r="C130" s="27" t="s">
        <v>149</v>
      </c>
      <c r="D130" s="27" t="s">
        <v>161</v>
      </c>
      <c r="E130" s="30" t="s">
        <v>658</v>
      </c>
      <c r="F130" s="81"/>
      <c r="G130" s="81">
        <v>2</v>
      </c>
      <c r="H130" s="81"/>
      <c r="I130" s="54"/>
      <c r="J130" s="2">
        <v>0.74399999999999999</v>
      </c>
      <c r="K130" s="58" t="s">
        <v>986</v>
      </c>
      <c r="L130" s="106" t="s">
        <v>1103</v>
      </c>
      <c r="M130" s="1"/>
      <c r="N130" s="54"/>
      <c r="O130" s="54"/>
      <c r="P130" s="54"/>
      <c r="Q130" s="54"/>
      <c r="S130" s="184">
        <v>2019</v>
      </c>
    </row>
    <row r="131" spans="1:19" ht="204">
      <c r="A131" s="160" t="s">
        <v>508</v>
      </c>
      <c r="B131" s="15" t="s">
        <v>668</v>
      </c>
      <c r="C131" s="15" t="s">
        <v>149</v>
      </c>
      <c r="D131" s="88" t="s">
        <v>161</v>
      </c>
      <c r="E131" s="30" t="s">
        <v>636</v>
      </c>
      <c r="F131" s="158"/>
      <c r="G131" s="158">
        <v>47</v>
      </c>
      <c r="H131" s="158"/>
      <c r="I131" s="11"/>
      <c r="J131" s="2">
        <v>0.58209999999999995</v>
      </c>
      <c r="K131" s="58" t="s">
        <v>942</v>
      </c>
      <c r="L131" s="109" t="s">
        <v>1228</v>
      </c>
      <c r="M131" s="158"/>
      <c r="N131" s="11"/>
      <c r="O131" s="11"/>
      <c r="P131" s="11"/>
      <c r="Q131" s="11"/>
      <c r="S131" s="184">
        <v>2019</v>
      </c>
    </row>
    <row r="132" spans="1:19" ht="67.5">
      <c r="A132" s="160" t="s">
        <v>508</v>
      </c>
      <c r="B132" s="127" t="s">
        <v>840</v>
      </c>
      <c r="C132" s="88" t="s">
        <v>7</v>
      </c>
      <c r="D132" s="88" t="s">
        <v>641</v>
      </c>
      <c r="E132" s="30" t="s">
        <v>630</v>
      </c>
      <c r="F132" s="158"/>
      <c r="G132" s="158">
        <v>1</v>
      </c>
      <c r="H132" s="158"/>
      <c r="I132" s="158">
        <v>1</v>
      </c>
      <c r="J132" s="2">
        <v>0</v>
      </c>
      <c r="K132" s="58" t="s">
        <v>521</v>
      </c>
      <c r="L132" s="106"/>
      <c r="M132" s="158"/>
      <c r="N132" s="158"/>
      <c r="O132" s="158"/>
      <c r="P132" s="158"/>
      <c r="Q132" s="158"/>
      <c r="S132" s="184">
        <v>2019</v>
      </c>
    </row>
    <row r="133" spans="1:19" ht="89.25">
      <c r="A133" s="160" t="s">
        <v>508</v>
      </c>
      <c r="B133" s="88" t="s">
        <v>938</v>
      </c>
      <c r="C133" s="88" t="s">
        <v>170</v>
      </c>
      <c r="D133" s="88" t="s">
        <v>939</v>
      </c>
      <c r="E133" s="30">
        <v>2010</v>
      </c>
      <c r="F133" s="158"/>
      <c r="G133" s="158">
        <v>13</v>
      </c>
      <c r="H133" s="158"/>
      <c r="I133" s="158"/>
      <c r="J133" s="2">
        <v>0</v>
      </c>
      <c r="K133" s="58" t="s">
        <v>986</v>
      </c>
      <c r="L133" s="109" t="s">
        <v>1301</v>
      </c>
      <c r="M133" s="158"/>
      <c r="N133" s="158"/>
      <c r="O133" s="158"/>
      <c r="P133" s="158"/>
      <c r="Q133" s="158"/>
      <c r="S133" s="184">
        <v>2019</v>
      </c>
    </row>
    <row r="134" spans="1:19" ht="45">
      <c r="A134" s="160" t="s">
        <v>508</v>
      </c>
      <c r="B134" s="88" t="s">
        <v>1210</v>
      </c>
      <c r="C134" s="88" t="s">
        <v>46</v>
      </c>
      <c r="D134" s="27" t="s">
        <v>159</v>
      </c>
      <c r="E134" s="30" t="s">
        <v>1116</v>
      </c>
      <c r="F134" s="158">
        <v>71</v>
      </c>
      <c r="G134" s="158"/>
      <c r="H134" s="158">
        <v>71</v>
      </c>
      <c r="I134" s="158"/>
      <c r="J134" s="2">
        <v>0.16</v>
      </c>
      <c r="K134" s="58" t="s">
        <v>38</v>
      </c>
      <c r="L134" s="9"/>
      <c r="M134" s="158"/>
      <c r="N134" s="158"/>
      <c r="O134" s="158"/>
      <c r="P134" s="158"/>
      <c r="Q134" s="158"/>
      <c r="S134" s="184">
        <v>2019</v>
      </c>
    </row>
    <row r="135" spans="1:19" ht="45">
      <c r="A135" s="160" t="s">
        <v>508</v>
      </c>
      <c r="B135" s="88" t="s">
        <v>1210</v>
      </c>
      <c r="C135" s="88" t="s">
        <v>46</v>
      </c>
      <c r="D135" s="27" t="s">
        <v>159</v>
      </c>
      <c r="E135" s="30" t="s">
        <v>1116</v>
      </c>
      <c r="F135" s="158"/>
      <c r="G135" s="158">
        <v>3</v>
      </c>
      <c r="H135" s="158"/>
      <c r="I135" s="158"/>
      <c r="J135" s="133">
        <v>0</v>
      </c>
      <c r="K135" s="134" t="s">
        <v>521</v>
      </c>
      <c r="L135" s="9" t="s">
        <v>1297</v>
      </c>
      <c r="M135" s="158"/>
      <c r="N135" s="158"/>
      <c r="O135" s="158"/>
      <c r="P135" s="158"/>
      <c r="Q135" s="158"/>
      <c r="S135" s="184">
        <v>2019</v>
      </c>
    </row>
    <row r="136" spans="1:19" ht="67.5">
      <c r="A136" s="160" t="s">
        <v>508</v>
      </c>
      <c r="B136" s="88" t="s">
        <v>1246</v>
      </c>
      <c r="C136" s="88" t="s">
        <v>1267</v>
      </c>
      <c r="D136" s="88" t="s">
        <v>161</v>
      </c>
      <c r="E136" s="30" t="s">
        <v>1232</v>
      </c>
      <c r="F136" s="158"/>
      <c r="G136" s="158">
        <v>27</v>
      </c>
      <c r="H136" s="158"/>
      <c r="I136" s="75">
        <v>27</v>
      </c>
      <c r="J136" s="2">
        <v>0</v>
      </c>
      <c r="K136" s="58" t="s">
        <v>521</v>
      </c>
      <c r="L136" s="9"/>
      <c r="M136" s="158"/>
      <c r="N136" s="158"/>
      <c r="O136" s="158"/>
      <c r="P136" s="158"/>
      <c r="Q136" s="158"/>
      <c r="S136" s="184">
        <v>2019</v>
      </c>
    </row>
    <row r="137" spans="1:19" ht="67.5">
      <c r="A137" s="160" t="s">
        <v>508</v>
      </c>
      <c r="B137" s="88" t="s">
        <v>1246</v>
      </c>
      <c r="C137" s="88" t="s">
        <v>1078</v>
      </c>
      <c r="D137" s="88" t="s">
        <v>161</v>
      </c>
      <c r="E137" s="30" t="s">
        <v>1232</v>
      </c>
      <c r="F137" s="158"/>
      <c r="G137" s="158">
        <v>31</v>
      </c>
      <c r="H137" s="158"/>
      <c r="I137" s="176">
        <v>31</v>
      </c>
      <c r="J137" s="2">
        <v>0</v>
      </c>
      <c r="K137" s="58" t="s">
        <v>521</v>
      </c>
      <c r="L137" s="9"/>
      <c r="M137" s="158"/>
      <c r="N137" s="158"/>
      <c r="O137" s="158"/>
      <c r="P137" s="158"/>
      <c r="Q137" s="158"/>
      <c r="S137" s="184">
        <v>2019</v>
      </c>
    </row>
    <row r="138" spans="1:19" ht="140.25">
      <c r="A138" s="117" t="s">
        <v>509</v>
      </c>
      <c r="B138" s="117"/>
      <c r="C138" s="117"/>
      <c r="D138" s="117"/>
      <c r="E138" s="138"/>
      <c r="F138" s="21">
        <v>76</v>
      </c>
      <c r="G138" s="21">
        <v>295</v>
      </c>
      <c r="H138" s="21">
        <v>265</v>
      </c>
      <c r="I138" s="21">
        <v>131</v>
      </c>
      <c r="J138" s="20"/>
      <c r="K138" s="62"/>
      <c r="L138" s="152" t="s">
        <v>1047</v>
      </c>
      <c r="M138" s="21">
        <v>132</v>
      </c>
      <c r="N138" s="21">
        <v>258</v>
      </c>
      <c r="O138" s="21">
        <v>226</v>
      </c>
      <c r="P138" s="21">
        <v>185</v>
      </c>
      <c r="Q138" s="21">
        <v>185</v>
      </c>
      <c r="S138" s="187">
        <v>2019</v>
      </c>
    </row>
    <row r="139" spans="1:19" ht="22.5">
      <c r="A139" s="160" t="s">
        <v>509</v>
      </c>
      <c r="B139" s="128" t="s">
        <v>166</v>
      </c>
      <c r="C139" s="88" t="s">
        <v>27</v>
      </c>
      <c r="D139" s="88" t="s">
        <v>515</v>
      </c>
      <c r="E139" s="30" t="s">
        <v>647</v>
      </c>
      <c r="F139" s="158"/>
      <c r="G139" s="158">
        <v>70</v>
      </c>
      <c r="H139" s="158"/>
      <c r="I139" s="158">
        <v>70</v>
      </c>
      <c r="J139" s="2">
        <v>0</v>
      </c>
      <c r="K139" s="58" t="s">
        <v>521</v>
      </c>
      <c r="L139" s="102"/>
      <c r="M139" s="158" t="s">
        <v>0</v>
      </c>
      <c r="N139" s="158"/>
      <c r="O139" s="158"/>
      <c r="P139" s="158"/>
      <c r="Q139" s="158"/>
      <c r="S139" s="184">
        <v>2019</v>
      </c>
    </row>
    <row r="140" spans="1:19" ht="67.5">
      <c r="A140" s="160" t="s">
        <v>509</v>
      </c>
      <c r="B140" s="88" t="s">
        <v>671</v>
      </c>
      <c r="C140" s="127" t="s">
        <v>672</v>
      </c>
      <c r="D140" s="27" t="s">
        <v>540</v>
      </c>
      <c r="E140" s="30" t="s">
        <v>650</v>
      </c>
      <c r="F140" s="158"/>
      <c r="G140" s="158">
        <v>3</v>
      </c>
      <c r="H140" s="158">
        <v>3</v>
      </c>
      <c r="I140" s="158"/>
      <c r="J140" s="2">
        <v>1</v>
      </c>
      <c r="K140" s="58" t="s">
        <v>646</v>
      </c>
      <c r="L140" s="106" t="s">
        <v>1103</v>
      </c>
      <c r="M140" s="158"/>
      <c r="N140" s="158"/>
      <c r="O140" s="158"/>
      <c r="P140" s="158">
        <v>3</v>
      </c>
      <c r="Q140" s="158">
        <v>3</v>
      </c>
      <c r="R140">
        <v>2019</v>
      </c>
      <c r="S140" s="184">
        <v>2019</v>
      </c>
    </row>
    <row r="141" spans="1:19" ht="33.75">
      <c r="A141" s="160" t="s">
        <v>509</v>
      </c>
      <c r="B141" s="88" t="s">
        <v>1076</v>
      </c>
      <c r="C141" s="127" t="s">
        <v>119</v>
      </c>
      <c r="D141" s="88" t="s">
        <v>185</v>
      </c>
      <c r="E141" s="30" t="s">
        <v>630</v>
      </c>
      <c r="F141" s="158"/>
      <c r="G141" s="158">
        <v>1</v>
      </c>
      <c r="H141" s="158"/>
      <c r="I141" s="158">
        <v>1</v>
      </c>
      <c r="J141" s="2">
        <v>0</v>
      </c>
      <c r="K141" s="58" t="s">
        <v>521</v>
      </c>
      <c r="L141" s="108" t="s">
        <v>1302</v>
      </c>
      <c r="M141" s="158"/>
      <c r="N141" s="158"/>
      <c r="O141" s="158"/>
      <c r="P141" s="158"/>
      <c r="Q141" s="158"/>
      <c r="S141" s="184">
        <v>2019</v>
      </c>
    </row>
    <row r="142" spans="1:19" ht="67.5">
      <c r="A142" s="160" t="s">
        <v>509</v>
      </c>
      <c r="B142" s="55" t="s">
        <v>992</v>
      </c>
      <c r="C142" s="55" t="s">
        <v>765</v>
      </c>
      <c r="D142" s="55" t="s">
        <v>515</v>
      </c>
      <c r="E142" s="30" t="s">
        <v>630</v>
      </c>
      <c r="F142" s="51"/>
      <c r="G142" s="51">
        <v>33</v>
      </c>
      <c r="H142" s="51"/>
      <c r="I142" s="51"/>
      <c r="J142" s="56">
        <v>0.84340000000000004</v>
      </c>
      <c r="K142" s="58" t="s">
        <v>986</v>
      </c>
      <c r="L142" s="106"/>
      <c r="M142" s="51"/>
      <c r="N142" s="51"/>
      <c r="O142" s="51"/>
      <c r="P142" s="51"/>
      <c r="Q142" s="51"/>
      <c r="S142" s="184">
        <v>2019</v>
      </c>
    </row>
    <row r="143" spans="1:19" ht="67.5">
      <c r="A143" s="160" t="s">
        <v>509</v>
      </c>
      <c r="B143" s="55" t="s">
        <v>992</v>
      </c>
      <c r="C143" s="55" t="s">
        <v>765</v>
      </c>
      <c r="D143" s="55" t="s">
        <v>515</v>
      </c>
      <c r="E143" s="30" t="s">
        <v>630</v>
      </c>
      <c r="F143" s="51"/>
      <c r="G143" s="51">
        <v>1</v>
      </c>
      <c r="H143" s="51"/>
      <c r="I143" s="158">
        <v>1</v>
      </c>
      <c r="J143" s="56">
        <v>0</v>
      </c>
      <c r="K143" s="58" t="s">
        <v>521</v>
      </c>
      <c r="L143" s="106"/>
      <c r="M143" s="51"/>
      <c r="N143" s="158"/>
      <c r="O143" s="158"/>
      <c r="P143" s="158"/>
      <c r="Q143" s="158"/>
      <c r="S143" s="184">
        <v>2019</v>
      </c>
    </row>
    <row r="144" spans="1:19" ht="56.25">
      <c r="A144" s="160" t="s">
        <v>509</v>
      </c>
      <c r="B144" s="55" t="s">
        <v>766</v>
      </c>
      <c r="C144" s="55" t="s">
        <v>767</v>
      </c>
      <c r="D144" s="55" t="s">
        <v>185</v>
      </c>
      <c r="E144" s="30" t="s">
        <v>715</v>
      </c>
      <c r="F144" s="51"/>
      <c r="G144" s="51">
        <v>51</v>
      </c>
      <c r="H144" s="51">
        <v>51</v>
      </c>
      <c r="I144" s="81"/>
      <c r="J144" s="2">
        <v>1</v>
      </c>
      <c r="K144" s="58" t="s">
        <v>646</v>
      </c>
      <c r="L144" s="106"/>
      <c r="M144" s="51"/>
      <c r="N144" s="54"/>
      <c r="O144" s="54"/>
      <c r="P144" s="81">
        <v>51</v>
      </c>
      <c r="Q144" s="158">
        <v>51</v>
      </c>
      <c r="R144">
        <v>2019</v>
      </c>
      <c r="S144" s="184">
        <v>2019</v>
      </c>
    </row>
    <row r="145" spans="1:19" ht="56.25">
      <c r="A145" s="160" t="s">
        <v>509</v>
      </c>
      <c r="B145" s="55" t="s">
        <v>766</v>
      </c>
      <c r="C145" s="55" t="s">
        <v>767</v>
      </c>
      <c r="D145" s="55" t="s">
        <v>185</v>
      </c>
      <c r="E145" s="30" t="s">
        <v>715</v>
      </c>
      <c r="F145" s="51"/>
      <c r="G145" s="51">
        <v>1</v>
      </c>
      <c r="H145" s="169">
        <v>1</v>
      </c>
      <c r="I145" s="81"/>
      <c r="J145" s="2">
        <v>1</v>
      </c>
      <c r="K145" s="58" t="s">
        <v>646</v>
      </c>
      <c r="L145" s="106"/>
      <c r="M145" s="51"/>
      <c r="N145" s="54"/>
      <c r="O145" s="54"/>
      <c r="P145" s="81">
        <v>1</v>
      </c>
      <c r="Q145" s="158">
        <v>1</v>
      </c>
      <c r="R145">
        <v>2019</v>
      </c>
      <c r="S145" s="184">
        <v>2019</v>
      </c>
    </row>
    <row r="146" spans="1:19" ht="45">
      <c r="A146" s="160" t="s">
        <v>509</v>
      </c>
      <c r="B146" s="55" t="s">
        <v>768</v>
      </c>
      <c r="C146" s="55" t="s">
        <v>769</v>
      </c>
      <c r="D146" s="55" t="s">
        <v>173</v>
      </c>
      <c r="E146" s="30" t="s">
        <v>715</v>
      </c>
      <c r="F146" s="51"/>
      <c r="G146" s="51">
        <v>97</v>
      </c>
      <c r="H146" s="74">
        <v>97</v>
      </c>
      <c r="I146" s="51"/>
      <c r="J146" s="2">
        <v>1</v>
      </c>
      <c r="K146" s="58" t="s">
        <v>646</v>
      </c>
      <c r="L146" s="106"/>
      <c r="M146" s="51"/>
      <c r="N146" s="51"/>
      <c r="O146" s="81"/>
      <c r="P146" s="81">
        <v>97</v>
      </c>
      <c r="Q146" s="158">
        <v>97</v>
      </c>
      <c r="R146">
        <v>2019</v>
      </c>
      <c r="S146" s="184">
        <v>2019</v>
      </c>
    </row>
    <row r="147" spans="1:19" ht="45">
      <c r="A147" s="160" t="s">
        <v>509</v>
      </c>
      <c r="B147" s="55" t="s">
        <v>768</v>
      </c>
      <c r="C147" s="55" t="s">
        <v>769</v>
      </c>
      <c r="D147" s="55" t="s">
        <v>173</v>
      </c>
      <c r="E147" s="30" t="s">
        <v>715</v>
      </c>
      <c r="F147" s="51"/>
      <c r="G147" s="51">
        <v>3</v>
      </c>
      <c r="H147" s="74">
        <v>3</v>
      </c>
      <c r="I147" s="51">
        <v>3</v>
      </c>
      <c r="J147" s="2">
        <v>0</v>
      </c>
      <c r="K147" s="58" t="s">
        <v>521</v>
      </c>
      <c r="L147" s="106"/>
      <c r="M147" s="51"/>
      <c r="N147" s="51"/>
      <c r="O147" s="51"/>
      <c r="P147" s="51"/>
      <c r="Q147" s="51"/>
      <c r="S147" s="184">
        <v>2019</v>
      </c>
    </row>
    <row r="148" spans="1:19" ht="45">
      <c r="A148" s="160" t="s">
        <v>509</v>
      </c>
      <c r="B148" s="55" t="s">
        <v>768</v>
      </c>
      <c r="C148" s="55" t="s">
        <v>769</v>
      </c>
      <c r="D148" s="55" t="s">
        <v>173</v>
      </c>
      <c r="E148" s="30" t="s">
        <v>715</v>
      </c>
      <c r="F148" s="51"/>
      <c r="G148" s="51">
        <v>1</v>
      </c>
      <c r="H148" s="74"/>
      <c r="I148" s="51">
        <v>1</v>
      </c>
      <c r="J148" s="2">
        <v>0</v>
      </c>
      <c r="K148" s="58" t="s">
        <v>521</v>
      </c>
      <c r="L148" s="106"/>
      <c r="M148" s="51"/>
      <c r="N148" s="51"/>
      <c r="O148" s="51"/>
      <c r="P148" s="51"/>
      <c r="Q148" s="51"/>
      <c r="S148" s="184">
        <v>2019</v>
      </c>
    </row>
    <row r="149" spans="1:19" ht="56.25">
      <c r="A149" s="160" t="s">
        <v>509</v>
      </c>
      <c r="B149" s="55" t="s">
        <v>917</v>
      </c>
      <c r="C149" s="88" t="s">
        <v>730</v>
      </c>
      <c r="D149" s="88" t="s">
        <v>515</v>
      </c>
      <c r="E149" s="30" t="s">
        <v>731</v>
      </c>
      <c r="F149" s="158"/>
      <c r="G149" s="158">
        <v>33</v>
      </c>
      <c r="H149" s="158">
        <v>33</v>
      </c>
      <c r="I149" s="158"/>
      <c r="J149" s="2">
        <v>1</v>
      </c>
      <c r="K149" s="58" t="s">
        <v>646</v>
      </c>
      <c r="L149" s="106"/>
      <c r="M149" s="158"/>
      <c r="N149" s="158"/>
      <c r="O149" s="158"/>
      <c r="P149" s="158">
        <v>33</v>
      </c>
      <c r="Q149" s="158">
        <v>33</v>
      </c>
      <c r="R149">
        <v>2019</v>
      </c>
      <c r="S149" s="184">
        <v>2019</v>
      </c>
    </row>
    <row r="150" spans="1:19" ht="56.25">
      <c r="A150" s="160" t="s">
        <v>509</v>
      </c>
      <c r="B150" s="55" t="s">
        <v>917</v>
      </c>
      <c r="C150" s="88" t="s">
        <v>730</v>
      </c>
      <c r="D150" s="88" t="s">
        <v>515</v>
      </c>
      <c r="E150" s="30" t="s">
        <v>731</v>
      </c>
      <c r="F150" s="158"/>
      <c r="G150" s="158">
        <v>1</v>
      </c>
      <c r="H150" s="158">
        <v>1</v>
      </c>
      <c r="I150" s="158">
        <v>1</v>
      </c>
      <c r="J150" s="2">
        <v>0</v>
      </c>
      <c r="K150" s="58" t="s">
        <v>521</v>
      </c>
      <c r="L150" s="106"/>
      <c r="M150" s="158"/>
      <c r="N150" s="158"/>
      <c r="O150" s="158"/>
      <c r="P150" s="158"/>
      <c r="Q150" s="158"/>
      <c r="S150" s="184">
        <v>2019</v>
      </c>
    </row>
    <row r="151" spans="1:19" ht="78.75">
      <c r="A151" s="160" t="s">
        <v>509</v>
      </c>
      <c r="B151" s="55" t="s">
        <v>1216</v>
      </c>
      <c r="C151" s="95" t="s">
        <v>1217</v>
      </c>
      <c r="D151" s="157" t="s">
        <v>177</v>
      </c>
      <c r="E151" s="30" t="s">
        <v>1116</v>
      </c>
      <c r="F151" s="158">
        <v>54</v>
      </c>
      <c r="G151" s="158"/>
      <c r="H151" s="158">
        <v>54</v>
      </c>
      <c r="I151" s="75">
        <v>54</v>
      </c>
      <c r="J151" s="2">
        <v>0</v>
      </c>
      <c r="K151" s="58" t="s">
        <v>521</v>
      </c>
      <c r="L151" s="106"/>
      <c r="M151" s="158"/>
      <c r="N151" s="158"/>
      <c r="O151" s="158"/>
      <c r="P151" s="158"/>
      <c r="Q151" s="158"/>
      <c r="S151" s="184">
        <v>2019</v>
      </c>
    </row>
    <row r="152" spans="1:19" ht="78.75">
      <c r="A152" s="160" t="s">
        <v>509</v>
      </c>
      <c r="B152" s="55" t="s">
        <v>1166</v>
      </c>
      <c r="C152" s="88" t="s">
        <v>1167</v>
      </c>
      <c r="D152" s="88" t="s">
        <v>515</v>
      </c>
      <c r="E152" s="30" t="s">
        <v>1113</v>
      </c>
      <c r="F152" s="158">
        <v>22</v>
      </c>
      <c r="G152" s="158"/>
      <c r="H152" s="158">
        <v>22</v>
      </c>
      <c r="I152" s="158"/>
      <c r="J152" s="2">
        <v>0.61370000000000002</v>
      </c>
      <c r="K152" s="58" t="s">
        <v>38</v>
      </c>
      <c r="L152" s="106"/>
      <c r="M152" s="158"/>
      <c r="N152" s="158"/>
      <c r="O152" s="158"/>
      <c r="P152" s="158"/>
      <c r="Q152" s="158"/>
      <c r="S152" s="184">
        <v>2019</v>
      </c>
    </row>
    <row r="153" spans="1:19">
      <c r="A153" s="117" t="s">
        <v>510</v>
      </c>
      <c r="B153" s="117"/>
      <c r="C153" s="117"/>
      <c r="D153" s="117"/>
      <c r="E153" s="138"/>
      <c r="F153" s="21">
        <v>689</v>
      </c>
      <c r="G153" s="21">
        <v>733</v>
      </c>
      <c r="H153" s="21">
        <v>881</v>
      </c>
      <c r="I153" s="21">
        <v>559</v>
      </c>
      <c r="J153" s="20"/>
      <c r="K153" s="62"/>
      <c r="L153" s="106"/>
      <c r="M153" s="21">
        <v>1162</v>
      </c>
      <c r="N153" s="21">
        <v>984</v>
      </c>
      <c r="O153" s="21">
        <v>729</v>
      </c>
      <c r="P153" s="21">
        <v>310</v>
      </c>
      <c r="Q153" s="21">
        <v>469</v>
      </c>
      <c r="S153" s="187">
        <v>2019</v>
      </c>
    </row>
    <row r="154" spans="1:19" ht="67.5">
      <c r="A154" s="160" t="s">
        <v>510</v>
      </c>
      <c r="B154" s="29" t="s">
        <v>193</v>
      </c>
      <c r="C154" s="88" t="s">
        <v>7</v>
      </c>
      <c r="D154" s="88" t="s">
        <v>546</v>
      </c>
      <c r="E154" s="30" t="s">
        <v>647</v>
      </c>
      <c r="F154" s="158"/>
      <c r="G154" s="158">
        <v>38</v>
      </c>
      <c r="H154" s="158">
        <v>38</v>
      </c>
      <c r="I154" s="158"/>
      <c r="J154" s="2">
        <v>1</v>
      </c>
      <c r="K154" s="58" t="s">
        <v>646</v>
      </c>
      <c r="L154" s="105"/>
      <c r="M154" s="158" t="s">
        <v>0</v>
      </c>
      <c r="N154" s="158"/>
      <c r="O154" s="158"/>
      <c r="P154" s="158">
        <v>38</v>
      </c>
      <c r="Q154" s="158">
        <v>38</v>
      </c>
      <c r="R154">
        <v>2019</v>
      </c>
      <c r="S154" s="184">
        <v>2019</v>
      </c>
    </row>
    <row r="155" spans="1:19" ht="67.5">
      <c r="A155" s="160" t="s">
        <v>510</v>
      </c>
      <c r="B155" s="29" t="s">
        <v>193</v>
      </c>
      <c r="C155" s="88" t="s">
        <v>7</v>
      </c>
      <c r="D155" s="88" t="s">
        <v>546</v>
      </c>
      <c r="E155" s="30" t="s">
        <v>647</v>
      </c>
      <c r="F155" s="158"/>
      <c r="G155" s="158">
        <v>6</v>
      </c>
      <c r="H155" s="158">
        <v>6</v>
      </c>
      <c r="I155" s="158"/>
      <c r="J155" s="133">
        <v>0.68</v>
      </c>
      <c r="K155" s="58" t="s">
        <v>38</v>
      </c>
      <c r="L155" s="105"/>
      <c r="M155" s="158"/>
      <c r="N155" s="158"/>
      <c r="O155" s="158"/>
      <c r="P155" s="158"/>
      <c r="Q155" s="158"/>
      <c r="S155" s="184">
        <v>2019</v>
      </c>
    </row>
    <row r="156" spans="1:19" ht="67.5">
      <c r="A156" s="160" t="s">
        <v>510</v>
      </c>
      <c r="B156" s="29" t="s">
        <v>1104</v>
      </c>
      <c r="C156" s="88" t="s">
        <v>170</v>
      </c>
      <c r="D156" s="77" t="s">
        <v>207</v>
      </c>
      <c r="E156" s="30" t="s">
        <v>657</v>
      </c>
      <c r="F156" s="158"/>
      <c r="G156" s="158">
        <v>2</v>
      </c>
      <c r="H156" s="158"/>
      <c r="I156" s="158">
        <v>2</v>
      </c>
      <c r="J156" s="2">
        <v>0</v>
      </c>
      <c r="K156" s="58" t="s">
        <v>521</v>
      </c>
      <c r="L156" s="113" t="s">
        <v>1303</v>
      </c>
      <c r="M156" s="158"/>
      <c r="N156" s="158"/>
      <c r="O156" s="158"/>
      <c r="P156" s="158"/>
      <c r="Q156" s="158"/>
      <c r="S156" s="184">
        <v>2019</v>
      </c>
    </row>
    <row r="157" spans="1:19" ht="78.75">
      <c r="A157" s="160" t="s">
        <v>510</v>
      </c>
      <c r="B157" s="29" t="s">
        <v>845</v>
      </c>
      <c r="C157" s="88" t="s">
        <v>27</v>
      </c>
      <c r="D157" s="77" t="s">
        <v>280</v>
      </c>
      <c r="E157" s="30" t="s">
        <v>647</v>
      </c>
      <c r="F157" s="158"/>
      <c r="G157" s="158">
        <v>21</v>
      </c>
      <c r="H157" s="158"/>
      <c r="I157" s="158">
        <v>21</v>
      </c>
      <c r="J157" s="2">
        <v>0</v>
      </c>
      <c r="K157" s="58" t="s">
        <v>521</v>
      </c>
      <c r="L157" s="105"/>
      <c r="M157" s="158" t="s">
        <v>0</v>
      </c>
      <c r="N157" s="158"/>
      <c r="O157" s="158"/>
      <c r="P157" s="158"/>
      <c r="Q157" s="158"/>
      <c r="R157" s="193" t="s">
        <v>1304</v>
      </c>
      <c r="S157" s="184">
        <v>2019</v>
      </c>
    </row>
    <row r="158" spans="1:19" ht="78.75">
      <c r="A158" s="160" t="s">
        <v>510</v>
      </c>
      <c r="B158" s="29" t="s">
        <v>846</v>
      </c>
      <c r="C158" s="88" t="s">
        <v>27</v>
      </c>
      <c r="D158" s="77" t="s">
        <v>280</v>
      </c>
      <c r="E158" s="30" t="s">
        <v>647</v>
      </c>
      <c r="F158" s="158"/>
      <c r="G158" s="158">
        <v>21</v>
      </c>
      <c r="H158" s="158"/>
      <c r="I158" s="158">
        <v>21</v>
      </c>
      <c r="J158" s="2">
        <v>0</v>
      </c>
      <c r="K158" s="58" t="s">
        <v>521</v>
      </c>
      <c r="L158" s="105"/>
      <c r="M158" s="158" t="s">
        <v>0</v>
      </c>
      <c r="N158" s="158"/>
      <c r="O158" s="158"/>
      <c r="P158" s="158"/>
      <c r="Q158" s="158"/>
      <c r="R158" s="193" t="s">
        <v>1304</v>
      </c>
      <c r="S158" s="184">
        <v>2019</v>
      </c>
    </row>
    <row r="159" spans="1:19" ht="56.25">
      <c r="A159" s="160" t="s">
        <v>510</v>
      </c>
      <c r="B159" s="27" t="s">
        <v>221</v>
      </c>
      <c r="C159" s="27" t="s">
        <v>222</v>
      </c>
      <c r="D159" s="27" t="s">
        <v>223</v>
      </c>
      <c r="E159" s="30" t="s">
        <v>674</v>
      </c>
      <c r="F159" s="158"/>
      <c r="G159" s="158">
        <v>13</v>
      </c>
      <c r="H159" s="158">
        <v>13</v>
      </c>
      <c r="I159" s="158"/>
      <c r="J159" s="2">
        <v>0.61899999999999999</v>
      </c>
      <c r="K159" s="58" t="s">
        <v>38</v>
      </c>
      <c r="L159" s="111" t="s">
        <v>1103</v>
      </c>
      <c r="M159" s="1"/>
      <c r="N159" s="158"/>
      <c r="O159" s="158"/>
      <c r="P159" s="158"/>
      <c r="Q159" s="158"/>
      <c r="S159" s="184">
        <v>2019</v>
      </c>
    </row>
    <row r="160" spans="1:19" ht="45">
      <c r="A160" s="160" t="s">
        <v>510</v>
      </c>
      <c r="B160" s="27" t="s">
        <v>235</v>
      </c>
      <c r="C160" s="27" t="s">
        <v>524</v>
      </c>
      <c r="D160" s="27" t="s">
        <v>197</v>
      </c>
      <c r="E160" s="30" t="s">
        <v>653</v>
      </c>
      <c r="F160" s="158"/>
      <c r="G160" s="158">
        <v>26</v>
      </c>
      <c r="H160" s="158"/>
      <c r="I160" s="12">
        <v>26</v>
      </c>
      <c r="J160" s="2">
        <v>0</v>
      </c>
      <c r="K160" s="58" t="s">
        <v>521</v>
      </c>
      <c r="L160" s="111"/>
      <c r="M160" s="158"/>
      <c r="N160" s="11"/>
      <c r="O160" s="12"/>
      <c r="P160" s="12"/>
      <c r="Q160" s="12"/>
      <c r="S160" s="184">
        <v>2019</v>
      </c>
    </row>
    <row r="161" spans="1:19" ht="67.5">
      <c r="A161" s="160" t="s">
        <v>510</v>
      </c>
      <c r="B161" s="27" t="s">
        <v>244</v>
      </c>
      <c r="C161" s="27" t="s">
        <v>198</v>
      </c>
      <c r="D161" s="88" t="s">
        <v>264</v>
      </c>
      <c r="E161" s="30" t="s">
        <v>664</v>
      </c>
      <c r="F161" s="158"/>
      <c r="G161" s="158">
        <v>18</v>
      </c>
      <c r="H161" s="158"/>
      <c r="I161" s="158"/>
      <c r="J161" s="2">
        <v>0.92449999999999999</v>
      </c>
      <c r="K161" s="58" t="s">
        <v>942</v>
      </c>
      <c r="L161" s="105"/>
      <c r="M161" s="158" t="s">
        <v>0</v>
      </c>
      <c r="N161" s="158"/>
      <c r="O161" s="158"/>
      <c r="P161" s="158"/>
      <c r="Q161" s="158"/>
      <c r="S161" s="184">
        <v>2019</v>
      </c>
    </row>
    <row r="162" spans="1:19" ht="22.5">
      <c r="A162" s="160" t="s">
        <v>510</v>
      </c>
      <c r="B162" s="1" t="s">
        <v>247</v>
      </c>
      <c r="C162" s="88" t="s">
        <v>7</v>
      </c>
      <c r="D162" s="1" t="s">
        <v>216</v>
      </c>
      <c r="E162" s="30" t="s">
        <v>664</v>
      </c>
      <c r="F162" s="158"/>
      <c r="G162" s="158">
        <v>4</v>
      </c>
      <c r="H162" s="158"/>
      <c r="I162" s="158">
        <v>4</v>
      </c>
      <c r="J162" s="2">
        <v>0</v>
      </c>
      <c r="K162" s="58" t="s">
        <v>521</v>
      </c>
      <c r="L162" s="111" t="s">
        <v>1295</v>
      </c>
      <c r="M162" s="158"/>
      <c r="N162" s="158"/>
      <c r="O162" s="158"/>
      <c r="P162" s="158"/>
      <c r="Q162" s="158"/>
      <c r="S162" s="184">
        <v>2019</v>
      </c>
    </row>
    <row r="163" spans="1:19" ht="123.75">
      <c r="A163" s="160" t="s">
        <v>510</v>
      </c>
      <c r="B163" s="27" t="s">
        <v>695</v>
      </c>
      <c r="C163" s="194" t="s">
        <v>165</v>
      </c>
      <c r="D163" s="27" t="s">
        <v>188</v>
      </c>
      <c r="E163" s="30" t="s">
        <v>635</v>
      </c>
      <c r="F163" s="158"/>
      <c r="G163" s="158">
        <v>1</v>
      </c>
      <c r="H163" s="158"/>
      <c r="I163" s="158">
        <v>1</v>
      </c>
      <c r="J163" s="2">
        <v>0</v>
      </c>
      <c r="K163" s="58" t="s">
        <v>521</v>
      </c>
      <c r="L163" s="111" t="s">
        <v>1305</v>
      </c>
      <c r="M163" s="158"/>
      <c r="N163" s="158"/>
      <c r="O163" s="158"/>
      <c r="P163" s="158"/>
      <c r="Q163" s="158"/>
      <c r="S163" s="184">
        <v>2019</v>
      </c>
    </row>
    <row r="164" spans="1:19" ht="22.5">
      <c r="A164" s="160" t="s">
        <v>510</v>
      </c>
      <c r="B164" s="123" t="s">
        <v>257</v>
      </c>
      <c r="C164" s="88" t="s">
        <v>7</v>
      </c>
      <c r="D164" s="27" t="s">
        <v>211</v>
      </c>
      <c r="E164" s="30" t="s">
        <v>635</v>
      </c>
      <c r="F164" s="158"/>
      <c r="G164" s="158">
        <v>2</v>
      </c>
      <c r="H164" s="158"/>
      <c r="I164" s="158">
        <v>2</v>
      </c>
      <c r="J164" s="2">
        <v>0</v>
      </c>
      <c r="K164" s="58" t="s">
        <v>521</v>
      </c>
      <c r="L164" s="105" t="s">
        <v>1306</v>
      </c>
      <c r="M164" s="158"/>
      <c r="N164" s="158"/>
      <c r="O164" s="158"/>
      <c r="P164" s="158"/>
      <c r="Q164" s="158"/>
      <c r="S164" s="184">
        <v>2019</v>
      </c>
    </row>
    <row r="165" spans="1:19" ht="56.25">
      <c r="A165" s="160" t="s">
        <v>510</v>
      </c>
      <c r="B165" s="59" t="s">
        <v>265</v>
      </c>
      <c r="C165" s="27" t="s">
        <v>849</v>
      </c>
      <c r="D165" s="27" t="s">
        <v>203</v>
      </c>
      <c r="E165" s="30" t="s">
        <v>635</v>
      </c>
      <c r="F165" s="158"/>
      <c r="G165" s="158">
        <v>1</v>
      </c>
      <c r="H165" s="158"/>
      <c r="I165" s="158">
        <v>1</v>
      </c>
      <c r="J165" s="2">
        <v>0</v>
      </c>
      <c r="K165" s="58" t="s">
        <v>521</v>
      </c>
      <c r="L165" s="111" t="s">
        <v>1307</v>
      </c>
      <c r="M165" s="158"/>
      <c r="N165" s="158"/>
      <c r="O165" s="158"/>
      <c r="P165" s="158"/>
      <c r="Q165" s="158"/>
      <c r="S165" s="184">
        <v>2019</v>
      </c>
    </row>
    <row r="166" spans="1:19" ht="123.75">
      <c r="A166" s="160" t="s">
        <v>510</v>
      </c>
      <c r="B166" s="124" t="s">
        <v>698</v>
      </c>
      <c r="C166" s="173" t="s">
        <v>1308</v>
      </c>
      <c r="D166" s="88" t="s">
        <v>546</v>
      </c>
      <c r="E166" s="30" t="s">
        <v>650</v>
      </c>
      <c r="F166" s="158"/>
      <c r="G166" s="158">
        <v>47</v>
      </c>
      <c r="H166" s="158"/>
      <c r="I166" s="158"/>
      <c r="J166" s="2">
        <v>0.37080000000000002</v>
      </c>
      <c r="K166" s="58" t="s">
        <v>1127</v>
      </c>
      <c r="L166" s="174" t="s">
        <v>1309</v>
      </c>
      <c r="M166" s="158"/>
      <c r="N166" s="158"/>
      <c r="O166" s="158"/>
      <c r="P166" s="158"/>
      <c r="Q166" s="158"/>
      <c r="S166" s="184">
        <v>2019</v>
      </c>
    </row>
    <row r="167" spans="1:19" ht="67.5">
      <c r="A167" s="160" t="s">
        <v>510</v>
      </c>
      <c r="B167" s="125" t="s">
        <v>853</v>
      </c>
      <c r="C167" s="88" t="s">
        <v>7</v>
      </c>
      <c r="D167" s="88" t="s">
        <v>211</v>
      </c>
      <c r="E167" s="43" t="s">
        <v>630</v>
      </c>
      <c r="F167" s="158"/>
      <c r="G167" s="158">
        <v>1</v>
      </c>
      <c r="H167" s="158"/>
      <c r="I167" s="158">
        <v>1</v>
      </c>
      <c r="J167" s="2">
        <v>0</v>
      </c>
      <c r="K167" s="58" t="s">
        <v>521</v>
      </c>
      <c r="L167" s="111" t="s">
        <v>1310</v>
      </c>
      <c r="M167" s="158"/>
      <c r="N167" s="158"/>
      <c r="O167" s="158"/>
      <c r="P167" s="158"/>
      <c r="Q167" s="158"/>
      <c r="S167" s="184">
        <v>2019</v>
      </c>
    </row>
    <row r="168" spans="1:19" ht="45">
      <c r="A168" s="160" t="s">
        <v>510</v>
      </c>
      <c r="B168" s="55" t="s">
        <v>874</v>
      </c>
      <c r="C168" s="88" t="s">
        <v>7</v>
      </c>
      <c r="D168" s="88" t="s">
        <v>280</v>
      </c>
      <c r="E168" s="43" t="s">
        <v>713</v>
      </c>
      <c r="F168" s="81"/>
      <c r="G168" s="81">
        <v>1</v>
      </c>
      <c r="H168" s="81"/>
      <c r="I168" s="158">
        <v>1</v>
      </c>
      <c r="J168" s="2">
        <v>0</v>
      </c>
      <c r="K168" s="58" t="s">
        <v>521</v>
      </c>
      <c r="L168" s="111" t="s">
        <v>1295</v>
      </c>
      <c r="M168" s="51"/>
      <c r="N168" s="56"/>
      <c r="O168" s="56"/>
      <c r="P168" s="56"/>
      <c r="Q168" s="56"/>
      <c r="S168" s="184">
        <v>2019</v>
      </c>
    </row>
    <row r="169" spans="1:19" ht="67.5">
      <c r="A169" s="160" t="s">
        <v>510</v>
      </c>
      <c r="B169" s="55" t="s">
        <v>875</v>
      </c>
      <c r="C169" s="55" t="s">
        <v>858</v>
      </c>
      <c r="D169" s="88" t="s">
        <v>546</v>
      </c>
      <c r="E169" s="43" t="s">
        <v>713</v>
      </c>
      <c r="F169" s="81"/>
      <c r="G169" s="81">
        <v>15</v>
      </c>
      <c r="H169" s="81">
        <v>15</v>
      </c>
      <c r="I169" s="158"/>
      <c r="J169" s="56">
        <v>0.89400000000000002</v>
      </c>
      <c r="K169" s="58" t="s">
        <v>38</v>
      </c>
      <c r="L169" s="111"/>
      <c r="M169" s="51"/>
      <c r="N169" s="56"/>
      <c r="O169" s="56"/>
      <c r="P169" s="56"/>
      <c r="Q169" s="56"/>
      <c r="S169" s="184">
        <v>2019</v>
      </c>
    </row>
    <row r="170" spans="1:19" ht="67.5">
      <c r="A170" s="160" t="s">
        <v>510</v>
      </c>
      <c r="B170" s="55" t="s">
        <v>861</v>
      </c>
      <c r="C170" s="55" t="s">
        <v>767</v>
      </c>
      <c r="D170" s="55" t="s">
        <v>207</v>
      </c>
      <c r="E170" s="43" t="s">
        <v>713</v>
      </c>
      <c r="F170" s="81"/>
      <c r="G170" s="81">
        <v>39</v>
      </c>
      <c r="H170" s="81"/>
      <c r="I170" s="158"/>
      <c r="J170" s="56">
        <v>0.88939999999999997</v>
      </c>
      <c r="K170" s="58" t="s">
        <v>942</v>
      </c>
      <c r="L170" s="174" t="s">
        <v>1258</v>
      </c>
      <c r="M170" s="51"/>
      <c r="N170" s="56"/>
      <c r="O170" s="56"/>
      <c r="P170" s="56"/>
      <c r="Q170" s="56"/>
      <c r="S170" s="184">
        <v>2019</v>
      </c>
    </row>
    <row r="171" spans="1:19" ht="45">
      <c r="A171" s="160" t="s">
        <v>510</v>
      </c>
      <c r="B171" s="55" t="s">
        <v>884</v>
      </c>
      <c r="C171" s="88" t="s">
        <v>214</v>
      </c>
      <c r="D171" s="55" t="s">
        <v>262</v>
      </c>
      <c r="E171" s="43" t="s">
        <v>715</v>
      </c>
      <c r="F171" s="81"/>
      <c r="G171" s="81">
        <v>1</v>
      </c>
      <c r="H171" s="81"/>
      <c r="I171" s="51">
        <v>1</v>
      </c>
      <c r="J171" s="56">
        <v>0</v>
      </c>
      <c r="K171" s="58" t="s">
        <v>521</v>
      </c>
      <c r="L171" s="111" t="s">
        <v>1311</v>
      </c>
      <c r="M171" s="51"/>
      <c r="N171" s="56"/>
      <c r="O171" s="56"/>
      <c r="P171" s="56"/>
      <c r="Q171" s="56"/>
      <c r="S171" s="184">
        <v>2019</v>
      </c>
    </row>
    <row r="172" spans="1:19" ht="67.5">
      <c r="A172" s="160" t="s">
        <v>510</v>
      </c>
      <c r="B172" s="87" t="s">
        <v>879</v>
      </c>
      <c r="C172" s="55" t="s">
        <v>871</v>
      </c>
      <c r="D172" s="55" t="s">
        <v>197</v>
      </c>
      <c r="E172" s="43" t="s">
        <v>715</v>
      </c>
      <c r="F172" s="81"/>
      <c r="G172" s="81">
        <v>28</v>
      </c>
      <c r="H172" s="81">
        <v>28</v>
      </c>
      <c r="I172" s="51"/>
      <c r="J172" s="56">
        <v>1</v>
      </c>
      <c r="K172" s="58" t="s">
        <v>646</v>
      </c>
      <c r="L172" s="111"/>
      <c r="M172" s="51"/>
      <c r="N172" s="56"/>
      <c r="O172" s="56"/>
      <c r="P172" s="178">
        <v>28</v>
      </c>
      <c r="Q172" s="178">
        <v>28</v>
      </c>
      <c r="R172">
        <v>2019</v>
      </c>
      <c r="S172" s="184">
        <v>2019</v>
      </c>
    </row>
    <row r="173" spans="1:19" ht="56.25">
      <c r="A173" s="160" t="s">
        <v>510</v>
      </c>
      <c r="B173" s="55" t="s">
        <v>885</v>
      </c>
      <c r="C173" s="55" t="s">
        <v>743</v>
      </c>
      <c r="D173" s="88" t="s">
        <v>280</v>
      </c>
      <c r="E173" s="43" t="s">
        <v>720</v>
      </c>
      <c r="F173" s="81"/>
      <c r="G173" s="81">
        <v>64</v>
      </c>
      <c r="H173" s="81">
        <v>64</v>
      </c>
      <c r="I173" s="51"/>
      <c r="J173" s="56">
        <v>1</v>
      </c>
      <c r="K173" s="58" t="s">
        <v>646</v>
      </c>
      <c r="L173" s="111"/>
      <c r="M173" s="51"/>
      <c r="N173" s="56"/>
      <c r="O173" s="56"/>
      <c r="P173" s="178">
        <v>64</v>
      </c>
      <c r="Q173" s="178">
        <v>64</v>
      </c>
      <c r="R173">
        <v>2019</v>
      </c>
      <c r="S173" s="184">
        <v>2019</v>
      </c>
    </row>
    <row r="174" spans="1:19" ht="56.25">
      <c r="A174" s="160" t="s">
        <v>510</v>
      </c>
      <c r="B174" s="55" t="s">
        <v>872</v>
      </c>
      <c r="C174" s="55" t="s">
        <v>743</v>
      </c>
      <c r="D174" s="55" t="s">
        <v>262</v>
      </c>
      <c r="E174" s="43" t="s">
        <v>720</v>
      </c>
      <c r="F174" s="81"/>
      <c r="G174" s="81">
        <v>15</v>
      </c>
      <c r="H174" s="81">
        <v>15</v>
      </c>
      <c r="I174" s="51"/>
      <c r="J174" s="56">
        <v>1</v>
      </c>
      <c r="K174" s="58" t="s">
        <v>646</v>
      </c>
      <c r="L174" s="111"/>
      <c r="M174" s="51"/>
      <c r="N174" s="56"/>
      <c r="O174" s="56"/>
      <c r="P174" s="178">
        <v>15</v>
      </c>
      <c r="Q174" s="178">
        <v>15</v>
      </c>
      <c r="R174">
        <v>2019</v>
      </c>
      <c r="S174" s="184">
        <v>2019</v>
      </c>
    </row>
    <row r="175" spans="1:19" ht="67.5">
      <c r="A175" s="160" t="s">
        <v>510</v>
      </c>
      <c r="B175" s="55" t="s">
        <v>873</v>
      </c>
      <c r="C175" s="55" t="s">
        <v>870</v>
      </c>
      <c r="D175" s="88" t="s">
        <v>280</v>
      </c>
      <c r="E175" s="43" t="s">
        <v>720</v>
      </c>
      <c r="F175" s="181">
        <v>56</v>
      </c>
      <c r="G175" s="99"/>
      <c r="H175" s="76">
        <v>56</v>
      </c>
      <c r="I175" s="51"/>
      <c r="J175" s="56">
        <v>1</v>
      </c>
      <c r="K175" s="58" t="s">
        <v>646</v>
      </c>
      <c r="L175" s="111"/>
      <c r="M175" s="51"/>
      <c r="N175" s="56"/>
      <c r="O175" s="56"/>
      <c r="P175" s="178">
        <v>56</v>
      </c>
      <c r="Q175" s="178">
        <v>56</v>
      </c>
      <c r="R175">
        <v>2019</v>
      </c>
      <c r="S175" s="184">
        <v>2019</v>
      </c>
    </row>
    <row r="176" spans="1:19" ht="67.5">
      <c r="A176" s="160" t="s">
        <v>510</v>
      </c>
      <c r="B176" s="55" t="s">
        <v>873</v>
      </c>
      <c r="C176" s="55" t="s">
        <v>870</v>
      </c>
      <c r="D176" s="88" t="s">
        <v>280</v>
      </c>
      <c r="E176" s="43" t="s">
        <v>720</v>
      </c>
      <c r="F176" s="81"/>
      <c r="G176" s="81">
        <v>1</v>
      </c>
      <c r="H176" s="81">
        <v>1</v>
      </c>
      <c r="I176" s="51"/>
      <c r="J176" s="56">
        <v>1</v>
      </c>
      <c r="K176" s="58" t="s">
        <v>646</v>
      </c>
      <c r="L176" s="111"/>
      <c r="M176" s="51"/>
      <c r="N176" s="56"/>
      <c r="O176" s="56"/>
      <c r="P176" s="178">
        <v>1</v>
      </c>
      <c r="Q176" s="178">
        <v>1</v>
      </c>
      <c r="R176">
        <v>2019</v>
      </c>
      <c r="S176" s="184">
        <v>2019</v>
      </c>
    </row>
    <row r="177" spans="1:19" ht="56.25">
      <c r="A177" s="160" t="s">
        <v>510</v>
      </c>
      <c r="B177" s="55" t="s">
        <v>886</v>
      </c>
      <c r="C177" s="55" t="s">
        <v>887</v>
      </c>
      <c r="D177" s="55" t="s">
        <v>211</v>
      </c>
      <c r="E177" s="43" t="s">
        <v>720</v>
      </c>
      <c r="F177" s="81"/>
      <c r="G177" s="81">
        <v>47</v>
      </c>
      <c r="H177" s="81">
        <v>47</v>
      </c>
      <c r="I177" s="51"/>
      <c r="J177" s="56">
        <v>0.64300000000000002</v>
      </c>
      <c r="K177" s="58" t="s">
        <v>38</v>
      </c>
      <c r="L177" s="111"/>
      <c r="M177" s="51"/>
      <c r="N177" s="56"/>
      <c r="O177" s="56"/>
      <c r="P177" s="56"/>
      <c r="Q177" s="56"/>
      <c r="S177" s="184">
        <v>2019</v>
      </c>
    </row>
    <row r="178" spans="1:19" ht="56.25">
      <c r="A178" s="160" t="s">
        <v>510</v>
      </c>
      <c r="B178" s="55" t="s">
        <v>886</v>
      </c>
      <c r="C178" s="55" t="s">
        <v>887</v>
      </c>
      <c r="D178" s="55" t="s">
        <v>211</v>
      </c>
      <c r="E178" s="43" t="s">
        <v>720</v>
      </c>
      <c r="F178" s="81"/>
      <c r="G178" s="81">
        <v>3</v>
      </c>
      <c r="H178" s="81">
        <v>3</v>
      </c>
      <c r="I178" s="51"/>
      <c r="J178" s="56">
        <v>1</v>
      </c>
      <c r="K178" s="58" t="s">
        <v>646</v>
      </c>
      <c r="L178" s="111"/>
      <c r="M178" s="51"/>
      <c r="N178" s="56"/>
      <c r="O178" s="56"/>
      <c r="P178" s="51">
        <v>3</v>
      </c>
      <c r="Q178" s="158">
        <v>3</v>
      </c>
      <c r="R178">
        <v>2019</v>
      </c>
      <c r="S178" s="184">
        <v>2019</v>
      </c>
    </row>
    <row r="179" spans="1:19" ht="78.75">
      <c r="A179" s="160" t="s">
        <v>510</v>
      </c>
      <c r="B179" s="55" t="s">
        <v>881</v>
      </c>
      <c r="C179" s="55" t="s">
        <v>860</v>
      </c>
      <c r="D179" s="55" t="s">
        <v>208</v>
      </c>
      <c r="E179" s="43" t="s">
        <v>720</v>
      </c>
      <c r="F179" s="81"/>
      <c r="G179" s="81">
        <v>3</v>
      </c>
      <c r="H179" s="81"/>
      <c r="I179" s="81"/>
      <c r="J179" s="98">
        <v>0.22389999999999999</v>
      </c>
      <c r="K179" s="58" t="s">
        <v>38</v>
      </c>
      <c r="L179" s="111" t="s">
        <v>1312</v>
      </c>
      <c r="M179" s="51"/>
      <c r="N179" s="56"/>
      <c r="O179" s="100"/>
      <c r="P179" s="100"/>
      <c r="Q179" s="100"/>
      <c r="S179" s="184">
        <v>2019</v>
      </c>
    </row>
    <row r="180" spans="1:19" ht="78.75">
      <c r="A180" s="160" t="s">
        <v>510</v>
      </c>
      <c r="B180" s="55" t="s">
        <v>881</v>
      </c>
      <c r="C180" s="55" t="s">
        <v>860</v>
      </c>
      <c r="D180" s="55" t="s">
        <v>208</v>
      </c>
      <c r="E180" s="43" t="s">
        <v>720</v>
      </c>
      <c r="F180" s="81"/>
      <c r="G180" s="81">
        <v>1</v>
      </c>
      <c r="H180" s="81"/>
      <c r="I180" s="81"/>
      <c r="J180" s="98">
        <v>0.22389999999999999</v>
      </c>
      <c r="K180" s="58" t="s">
        <v>38</v>
      </c>
      <c r="L180" s="111" t="s">
        <v>1312</v>
      </c>
      <c r="M180" s="51"/>
      <c r="N180" s="56"/>
      <c r="O180" s="100"/>
      <c r="P180" s="100"/>
      <c r="Q180" s="100"/>
      <c r="S180" s="184">
        <v>2019</v>
      </c>
    </row>
    <row r="181" spans="1:19" ht="78.75">
      <c r="A181" s="160" t="s">
        <v>510</v>
      </c>
      <c r="B181" s="55" t="s">
        <v>882</v>
      </c>
      <c r="C181" s="55" t="s">
        <v>871</v>
      </c>
      <c r="D181" s="55" t="s">
        <v>197</v>
      </c>
      <c r="E181" s="43" t="s">
        <v>731</v>
      </c>
      <c r="F181" s="81"/>
      <c r="G181" s="81">
        <v>9</v>
      </c>
      <c r="H181" s="81">
        <v>9</v>
      </c>
      <c r="I181" s="51"/>
      <c r="J181" s="56">
        <v>0.90939999999999999</v>
      </c>
      <c r="K181" s="58" t="s">
        <v>986</v>
      </c>
      <c r="L181" s="111"/>
      <c r="M181" s="51"/>
      <c r="N181" s="56"/>
      <c r="O181" s="56"/>
      <c r="P181" s="56"/>
      <c r="Q181" s="56"/>
      <c r="S181" s="184">
        <v>2019</v>
      </c>
    </row>
    <row r="182" spans="1:19" ht="78.75">
      <c r="A182" s="160" t="s">
        <v>510</v>
      </c>
      <c r="B182" s="55" t="s">
        <v>882</v>
      </c>
      <c r="C182" s="55" t="s">
        <v>871</v>
      </c>
      <c r="D182" s="55" t="s">
        <v>197</v>
      </c>
      <c r="E182" s="43" t="s">
        <v>731</v>
      </c>
      <c r="F182" s="81"/>
      <c r="G182" s="81">
        <v>1</v>
      </c>
      <c r="H182" s="81"/>
      <c r="I182" s="51">
        <v>1</v>
      </c>
      <c r="J182" s="56">
        <v>0</v>
      </c>
      <c r="K182" s="58" t="s">
        <v>521</v>
      </c>
      <c r="L182" s="111" t="s">
        <v>1295</v>
      </c>
      <c r="M182" s="51"/>
      <c r="N182" s="56"/>
      <c r="O182" s="56"/>
      <c r="P182" s="56"/>
      <c r="Q182" s="56"/>
      <c r="S182" s="184">
        <v>2019</v>
      </c>
    </row>
    <row r="183" spans="1:19" ht="67.5">
      <c r="A183" s="160" t="s">
        <v>510</v>
      </c>
      <c r="B183" s="88" t="s">
        <v>945</v>
      </c>
      <c r="C183" s="55" t="s">
        <v>858</v>
      </c>
      <c r="D183" s="88" t="s">
        <v>546</v>
      </c>
      <c r="E183" s="30" t="s">
        <v>968</v>
      </c>
      <c r="F183" s="158">
        <v>4</v>
      </c>
      <c r="G183" s="96"/>
      <c r="H183" s="158">
        <v>4</v>
      </c>
      <c r="I183" s="51"/>
      <c r="J183" s="56">
        <v>0.46350000000000002</v>
      </c>
      <c r="K183" s="58" t="s">
        <v>38</v>
      </c>
      <c r="L183" s="111"/>
      <c r="M183" s="51"/>
      <c r="N183" s="56"/>
      <c r="O183" s="56"/>
      <c r="P183" s="56"/>
      <c r="Q183" s="56"/>
      <c r="S183" s="184">
        <v>2019</v>
      </c>
    </row>
    <row r="184" spans="1:19" ht="45">
      <c r="A184" s="160" t="s">
        <v>510</v>
      </c>
      <c r="B184" s="88" t="s">
        <v>947</v>
      </c>
      <c r="C184" s="55" t="s">
        <v>565</v>
      </c>
      <c r="D184" s="88" t="s">
        <v>546</v>
      </c>
      <c r="E184" s="30" t="s">
        <v>968</v>
      </c>
      <c r="F184" s="158">
        <v>16</v>
      </c>
      <c r="G184" s="96"/>
      <c r="H184" s="158">
        <v>16</v>
      </c>
      <c r="I184" s="51"/>
      <c r="J184" s="56">
        <v>0.49780000000000002</v>
      </c>
      <c r="K184" s="58" t="s">
        <v>38</v>
      </c>
      <c r="L184" s="111"/>
      <c r="M184" s="51"/>
      <c r="N184" s="56"/>
      <c r="O184" s="56"/>
      <c r="P184" s="56"/>
      <c r="Q184" s="56"/>
      <c r="S184" s="184">
        <v>2019</v>
      </c>
    </row>
    <row r="185" spans="1:19" ht="45">
      <c r="A185" s="160" t="s">
        <v>510</v>
      </c>
      <c r="B185" s="88" t="s">
        <v>259</v>
      </c>
      <c r="C185" s="55" t="s">
        <v>1078</v>
      </c>
      <c r="D185" s="55" t="s">
        <v>197</v>
      </c>
      <c r="E185" s="30" t="s">
        <v>968</v>
      </c>
      <c r="F185" s="158">
        <v>54</v>
      </c>
      <c r="G185" s="96"/>
      <c r="H185" s="158">
        <v>54</v>
      </c>
      <c r="I185" s="51"/>
      <c r="J185" s="56">
        <v>0.7389</v>
      </c>
      <c r="K185" s="58" t="s">
        <v>38</v>
      </c>
      <c r="L185" s="111"/>
      <c r="M185" s="51"/>
      <c r="N185" s="56"/>
      <c r="O185" s="56"/>
      <c r="P185" s="56"/>
      <c r="Q185" s="56"/>
      <c r="S185" s="184">
        <v>2019</v>
      </c>
    </row>
    <row r="186" spans="1:19" ht="45">
      <c r="A186" s="160" t="s">
        <v>510</v>
      </c>
      <c r="B186" s="88" t="s">
        <v>948</v>
      </c>
      <c r="C186" s="55" t="s">
        <v>61</v>
      </c>
      <c r="D186" s="55" t="s">
        <v>203</v>
      </c>
      <c r="E186" s="30" t="s">
        <v>968</v>
      </c>
      <c r="F186" s="158">
        <v>10</v>
      </c>
      <c r="G186" s="96"/>
      <c r="H186" s="158">
        <v>10</v>
      </c>
      <c r="I186" s="51"/>
      <c r="J186" s="56">
        <v>1</v>
      </c>
      <c r="K186" s="58" t="s">
        <v>646</v>
      </c>
      <c r="L186" s="111"/>
      <c r="M186" s="51"/>
      <c r="N186" s="56"/>
      <c r="O186" s="56"/>
      <c r="P186" s="178">
        <v>10</v>
      </c>
      <c r="Q186" s="178">
        <v>10</v>
      </c>
      <c r="R186">
        <v>2019</v>
      </c>
      <c r="S186" s="184">
        <v>2019</v>
      </c>
    </row>
    <row r="187" spans="1:19" ht="45">
      <c r="A187" s="160" t="s">
        <v>510</v>
      </c>
      <c r="B187" s="88" t="s">
        <v>261</v>
      </c>
      <c r="C187" s="88" t="s">
        <v>7</v>
      </c>
      <c r="D187" s="55" t="s">
        <v>262</v>
      </c>
      <c r="E187" s="30" t="s">
        <v>968</v>
      </c>
      <c r="F187" s="158">
        <v>12</v>
      </c>
      <c r="G187" s="96"/>
      <c r="H187" s="158">
        <v>12</v>
      </c>
      <c r="I187" s="51"/>
      <c r="J187" s="56">
        <v>1</v>
      </c>
      <c r="K187" s="58" t="s">
        <v>646</v>
      </c>
      <c r="L187" s="111"/>
      <c r="M187" s="51"/>
      <c r="N187" s="56"/>
      <c r="O187" s="56"/>
      <c r="P187" s="51">
        <v>12</v>
      </c>
      <c r="Q187" s="158">
        <v>12</v>
      </c>
      <c r="R187">
        <v>2019</v>
      </c>
      <c r="S187" s="184">
        <v>2019</v>
      </c>
    </row>
    <row r="188" spans="1:19" ht="101.25">
      <c r="A188" s="160" t="s">
        <v>510</v>
      </c>
      <c r="B188" s="88" t="s">
        <v>951</v>
      </c>
      <c r="C188" s="88" t="s">
        <v>214</v>
      </c>
      <c r="D188" s="55" t="s">
        <v>280</v>
      </c>
      <c r="E188" s="30" t="s">
        <v>968</v>
      </c>
      <c r="F188" s="158">
        <v>69</v>
      </c>
      <c r="G188" s="96"/>
      <c r="H188" s="158">
        <v>69</v>
      </c>
      <c r="I188" s="51"/>
      <c r="J188" s="56">
        <v>1</v>
      </c>
      <c r="K188" s="58" t="s">
        <v>646</v>
      </c>
      <c r="L188" s="111"/>
      <c r="M188" s="51"/>
      <c r="N188" s="56"/>
      <c r="O188" s="56"/>
      <c r="P188" s="51">
        <v>69</v>
      </c>
      <c r="Q188" s="158">
        <v>69</v>
      </c>
      <c r="R188">
        <v>2019</v>
      </c>
      <c r="S188" s="184">
        <v>2019</v>
      </c>
    </row>
    <row r="189" spans="1:19" ht="67.5">
      <c r="A189" s="160" t="s">
        <v>510</v>
      </c>
      <c r="B189" s="88" t="s">
        <v>952</v>
      </c>
      <c r="C189" s="55" t="s">
        <v>1006</v>
      </c>
      <c r="D189" s="55" t="s">
        <v>197</v>
      </c>
      <c r="E189" s="30" t="s">
        <v>968</v>
      </c>
      <c r="F189" s="158">
        <v>14</v>
      </c>
      <c r="G189" s="96"/>
      <c r="H189" s="158">
        <v>14</v>
      </c>
      <c r="I189" s="51"/>
      <c r="J189" s="56">
        <v>1</v>
      </c>
      <c r="K189" s="58" t="s">
        <v>646</v>
      </c>
      <c r="L189" s="111"/>
      <c r="M189" s="51"/>
      <c r="N189" s="56"/>
      <c r="O189" s="56"/>
      <c r="P189" s="178">
        <v>14</v>
      </c>
      <c r="Q189" s="158">
        <v>14</v>
      </c>
      <c r="R189">
        <v>2019</v>
      </c>
      <c r="S189" s="184">
        <v>2019</v>
      </c>
    </row>
    <row r="190" spans="1:19" ht="67.5">
      <c r="A190" s="160" t="s">
        <v>510</v>
      </c>
      <c r="B190" s="88" t="s">
        <v>952</v>
      </c>
      <c r="C190" s="55" t="s">
        <v>1006</v>
      </c>
      <c r="D190" s="55" t="s">
        <v>197</v>
      </c>
      <c r="E190" s="30" t="s">
        <v>968</v>
      </c>
      <c r="F190" s="158"/>
      <c r="G190" s="158">
        <v>2</v>
      </c>
      <c r="H190" s="158"/>
      <c r="I190" s="51">
        <v>2</v>
      </c>
      <c r="J190" s="56">
        <v>0</v>
      </c>
      <c r="K190" s="58" t="s">
        <v>521</v>
      </c>
      <c r="L190" s="111" t="s">
        <v>1297</v>
      </c>
      <c r="M190" s="51"/>
      <c r="N190" s="56"/>
      <c r="O190" s="56"/>
      <c r="P190" s="56"/>
      <c r="Q190" s="56"/>
      <c r="S190" s="184">
        <v>2019</v>
      </c>
    </row>
    <row r="191" spans="1:19" ht="45">
      <c r="A191" s="160" t="s">
        <v>510</v>
      </c>
      <c r="B191" s="88" t="s">
        <v>997</v>
      </c>
      <c r="C191" s="55" t="s">
        <v>998</v>
      </c>
      <c r="D191" s="55" t="s">
        <v>280</v>
      </c>
      <c r="E191" s="30" t="s">
        <v>968</v>
      </c>
      <c r="F191" s="158">
        <v>9</v>
      </c>
      <c r="G191" s="96"/>
      <c r="H191" s="158">
        <v>9</v>
      </c>
      <c r="I191" s="51"/>
      <c r="J191" s="56">
        <v>0.46310000000000001</v>
      </c>
      <c r="K191" s="58" t="s">
        <v>38</v>
      </c>
      <c r="L191" s="111"/>
      <c r="M191" s="51"/>
      <c r="N191" s="56"/>
      <c r="O191" s="56"/>
      <c r="P191" s="56"/>
      <c r="Q191" s="56"/>
      <c r="S191" s="184">
        <v>2019</v>
      </c>
    </row>
    <row r="192" spans="1:19" ht="56.25">
      <c r="A192" s="160" t="s">
        <v>510</v>
      </c>
      <c r="B192" s="88" t="s">
        <v>1040</v>
      </c>
      <c r="C192" s="88" t="s">
        <v>7</v>
      </c>
      <c r="D192" s="90" t="s">
        <v>211</v>
      </c>
      <c r="E192" s="30" t="s">
        <v>968</v>
      </c>
      <c r="F192" s="158">
        <v>16</v>
      </c>
      <c r="G192" s="96"/>
      <c r="H192" s="158">
        <v>16</v>
      </c>
      <c r="I192" s="51"/>
      <c r="J192" s="56">
        <v>0.81230000000000002</v>
      </c>
      <c r="K192" s="58" t="s">
        <v>38</v>
      </c>
      <c r="L192" s="111"/>
      <c r="M192" s="51"/>
      <c r="N192" s="56"/>
      <c r="O192" s="56"/>
      <c r="P192" s="81"/>
      <c r="Q192" s="76"/>
      <c r="S192" s="184">
        <v>2019</v>
      </c>
    </row>
    <row r="193" spans="1:19" ht="45">
      <c r="A193" s="160" t="s">
        <v>510</v>
      </c>
      <c r="B193" s="88" t="s">
        <v>1091</v>
      </c>
      <c r="C193" s="55" t="s">
        <v>61</v>
      </c>
      <c r="D193" s="90" t="s">
        <v>197</v>
      </c>
      <c r="E193" s="30" t="s">
        <v>1058</v>
      </c>
      <c r="F193" s="158">
        <v>23</v>
      </c>
      <c r="G193" s="96"/>
      <c r="H193" s="158">
        <v>23</v>
      </c>
      <c r="I193" s="51"/>
      <c r="J193" s="56">
        <v>0.47849999999999998</v>
      </c>
      <c r="K193" s="58" t="s">
        <v>38</v>
      </c>
      <c r="L193" s="111"/>
      <c r="M193" s="51"/>
      <c r="N193" s="56"/>
      <c r="O193" s="56"/>
      <c r="P193" s="56"/>
      <c r="Q193" s="56"/>
      <c r="S193" s="184">
        <v>2019</v>
      </c>
    </row>
    <row r="194" spans="1:19" ht="67.5">
      <c r="A194" s="160" t="s">
        <v>510</v>
      </c>
      <c r="B194" s="88" t="s">
        <v>1092</v>
      </c>
      <c r="C194" s="55" t="s">
        <v>1093</v>
      </c>
      <c r="D194" s="90" t="s">
        <v>197</v>
      </c>
      <c r="E194" s="30" t="s">
        <v>1058</v>
      </c>
      <c r="F194" s="158">
        <v>73</v>
      </c>
      <c r="G194" s="96"/>
      <c r="H194" s="158">
        <v>73</v>
      </c>
      <c r="I194" s="51"/>
      <c r="J194" s="56">
        <v>0.65639999999999998</v>
      </c>
      <c r="K194" s="58" t="s">
        <v>38</v>
      </c>
      <c r="L194" s="111"/>
      <c r="M194" s="51"/>
      <c r="N194" s="56"/>
      <c r="O194" s="56"/>
      <c r="P194" s="56"/>
      <c r="Q194" s="56"/>
      <c r="S194" s="184">
        <v>2019</v>
      </c>
    </row>
    <row r="195" spans="1:19" ht="67.5">
      <c r="A195" s="160" t="s">
        <v>510</v>
      </c>
      <c r="B195" s="88" t="s">
        <v>1092</v>
      </c>
      <c r="C195" s="55" t="s">
        <v>1093</v>
      </c>
      <c r="D195" s="90" t="s">
        <v>197</v>
      </c>
      <c r="E195" s="30" t="s">
        <v>1058</v>
      </c>
      <c r="F195" s="72">
        <v>1</v>
      </c>
      <c r="G195" s="96"/>
      <c r="H195" s="158"/>
      <c r="I195" s="169">
        <v>1</v>
      </c>
      <c r="J195" s="56">
        <v>0</v>
      </c>
      <c r="K195" s="58" t="s">
        <v>521</v>
      </c>
      <c r="L195" s="111" t="s">
        <v>1314</v>
      </c>
      <c r="M195" s="51"/>
      <c r="N195" s="56"/>
      <c r="O195" s="56"/>
      <c r="P195" s="56"/>
      <c r="Q195" s="56"/>
      <c r="S195" s="184">
        <v>2019</v>
      </c>
    </row>
    <row r="196" spans="1:19" ht="67.5">
      <c r="A196" s="160" t="s">
        <v>510</v>
      </c>
      <c r="B196" s="88" t="s">
        <v>1092</v>
      </c>
      <c r="C196" s="55" t="s">
        <v>1093</v>
      </c>
      <c r="D196" s="90" t="s">
        <v>197</v>
      </c>
      <c r="E196" s="30" t="s">
        <v>1058</v>
      </c>
      <c r="F196" s="72">
        <v>1</v>
      </c>
      <c r="G196" s="96"/>
      <c r="H196" s="96"/>
      <c r="I196" s="169">
        <v>1</v>
      </c>
      <c r="J196" s="56">
        <v>0</v>
      </c>
      <c r="K196" s="58" t="s">
        <v>521</v>
      </c>
      <c r="L196" s="111" t="s">
        <v>1313</v>
      </c>
      <c r="M196" s="51"/>
      <c r="N196" s="56"/>
      <c r="O196" s="56"/>
      <c r="P196" s="56"/>
      <c r="Q196" s="56"/>
      <c r="S196" s="184">
        <v>2019</v>
      </c>
    </row>
    <row r="197" spans="1:19" ht="33.75">
      <c r="A197" s="160" t="s">
        <v>510</v>
      </c>
      <c r="B197" s="88" t="s">
        <v>1126</v>
      </c>
      <c r="C197" s="88" t="s">
        <v>7</v>
      </c>
      <c r="D197" s="88" t="s">
        <v>546</v>
      </c>
      <c r="E197" s="30" t="s">
        <v>1116</v>
      </c>
      <c r="F197" s="158">
        <v>20</v>
      </c>
      <c r="G197" s="96"/>
      <c r="H197" s="158">
        <v>20</v>
      </c>
      <c r="I197" s="51"/>
      <c r="J197" s="56">
        <v>0.58160000000000001</v>
      </c>
      <c r="K197" s="58" t="s">
        <v>38</v>
      </c>
      <c r="L197" s="111"/>
      <c r="M197" s="51"/>
      <c r="N197" s="56"/>
      <c r="O197" s="56"/>
      <c r="P197" s="56"/>
      <c r="Q197" s="56"/>
      <c r="S197" s="184">
        <v>2019</v>
      </c>
    </row>
    <row r="198" spans="1:19" ht="33.75">
      <c r="A198" s="160" t="s">
        <v>510</v>
      </c>
      <c r="B198" s="88" t="s">
        <v>263</v>
      </c>
      <c r="C198" s="88" t="s">
        <v>7</v>
      </c>
      <c r="D198" s="90" t="s">
        <v>1128</v>
      </c>
      <c r="E198" s="30" t="s">
        <v>1116</v>
      </c>
      <c r="F198" s="158">
        <v>10</v>
      </c>
      <c r="G198" s="96"/>
      <c r="H198" s="158">
        <v>10</v>
      </c>
      <c r="I198" s="177">
        <v>10</v>
      </c>
      <c r="J198" s="56">
        <v>0</v>
      </c>
      <c r="K198" s="58" t="s">
        <v>521</v>
      </c>
      <c r="L198" s="111"/>
      <c r="M198" s="51"/>
      <c r="N198" s="56"/>
      <c r="O198" s="56"/>
      <c r="P198" s="56"/>
      <c r="Q198" s="56"/>
      <c r="S198" s="184">
        <v>2019</v>
      </c>
    </row>
    <row r="199" spans="1:19" ht="67.5">
      <c r="A199" s="160" t="s">
        <v>510</v>
      </c>
      <c r="B199" s="88" t="s">
        <v>1211</v>
      </c>
      <c r="C199" s="55" t="s">
        <v>222</v>
      </c>
      <c r="D199" s="90" t="s">
        <v>197</v>
      </c>
      <c r="E199" s="30" t="s">
        <v>1116</v>
      </c>
      <c r="F199" s="72">
        <v>68</v>
      </c>
      <c r="G199" s="96"/>
      <c r="H199" s="96"/>
      <c r="I199" s="177">
        <v>68</v>
      </c>
      <c r="J199" s="56">
        <v>0</v>
      </c>
      <c r="K199" s="58" t="s">
        <v>521</v>
      </c>
      <c r="L199" s="111" t="s">
        <v>1315</v>
      </c>
      <c r="M199" s="51"/>
      <c r="N199" s="56"/>
      <c r="O199" s="56"/>
      <c r="P199" s="56"/>
      <c r="Q199" s="56"/>
      <c r="S199" s="184">
        <v>2019</v>
      </c>
    </row>
    <row r="200" spans="1:19" ht="56.25">
      <c r="A200" s="160" t="s">
        <v>510</v>
      </c>
      <c r="B200" s="88" t="s">
        <v>1212</v>
      </c>
      <c r="C200" s="88" t="s">
        <v>772</v>
      </c>
      <c r="D200" s="1" t="s">
        <v>216</v>
      </c>
      <c r="E200" s="30" t="s">
        <v>1116</v>
      </c>
      <c r="F200" s="158">
        <v>39</v>
      </c>
      <c r="G200" s="96"/>
      <c r="H200" s="158">
        <v>39</v>
      </c>
      <c r="I200" s="51"/>
      <c r="J200" s="56">
        <v>8.1500000000000003E-2</v>
      </c>
      <c r="K200" s="58" t="s">
        <v>38</v>
      </c>
      <c r="L200" s="111"/>
      <c r="M200" s="51"/>
      <c r="N200" s="56"/>
      <c r="O200" s="56"/>
      <c r="P200" s="56"/>
      <c r="Q200" s="56"/>
      <c r="S200" s="184">
        <v>2019</v>
      </c>
    </row>
    <row r="201" spans="1:19" ht="78.75">
      <c r="A201" s="160" t="s">
        <v>510</v>
      </c>
      <c r="B201" s="88" t="s">
        <v>1157</v>
      </c>
      <c r="C201" s="88" t="s">
        <v>57</v>
      </c>
      <c r="D201" s="55" t="s">
        <v>280</v>
      </c>
      <c r="E201" s="82" t="s">
        <v>1113</v>
      </c>
      <c r="F201" s="158">
        <v>21</v>
      </c>
      <c r="G201" s="158"/>
      <c r="H201" s="158">
        <v>21</v>
      </c>
      <c r="I201" s="158"/>
      <c r="J201" s="56">
        <v>5.0999999999999997E-2</v>
      </c>
      <c r="K201" s="58" t="s">
        <v>38</v>
      </c>
      <c r="L201" s="111"/>
      <c r="M201" s="51"/>
      <c r="N201" s="56"/>
      <c r="O201" s="56"/>
      <c r="P201" s="56"/>
      <c r="Q201" s="56"/>
      <c r="S201" s="184">
        <v>2019</v>
      </c>
    </row>
    <row r="202" spans="1:19" ht="56.25">
      <c r="A202" s="160" t="s">
        <v>510</v>
      </c>
      <c r="B202" s="88" t="s">
        <v>1158</v>
      </c>
      <c r="C202" s="88" t="s">
        <v>7</v>
      </c>
      <c r="D202" s="90" t="s">
        <v>211</v>
      </c>
      <c r="E202" s="82" t="s">
        <v>1113</v>
      </c>
      <c r="F202" s="158">
        <v>7</v>
      </c>
      <c r="G202" s="158"/>
      <c r="H202" s="158">
        <v>7</v>
      </c>
      <c r="I202" s="158"/>
      <c r="J202" s="56">
        <v>0.2238</v>
      </c>
      <c r="K202" s="58" t="s">
        <v>38</v>
      </c>
      <c r="L202" s="111"/>
      <c r="M202" s="51"/>
      <c r="N202" s="56"/>
      <c r="O202" s="56"/>
      <c r="P202" s="56"/>
      <c r="Q202" s="56"/>
      <c r="S202" s="184">
        <v>2019</v>
      </c>
    </row>
    <row r="203" spans="1:19" ht="33.75">
      <c r="A203" s="160" t="s">
        <v>510</v>
      </c>
      <c r="B203" s="88" t="s">
        <v>1159</v>
      </c>
      <c r="C203" s="88" t="s">
        <v>214</v>
      </c>
      <c r="D203" s="90" t="s">
        <v>203</v>
      </c>
      <c r="E203" s="82" t="s">
        <v>1113</v>
      </c>
      <c r="F203" s="158">
        <v>32</v>
      </c>
      <c r="G203" s="158"/>
      <c r="H203" s="158">
        <v>32</v>
      </c>
      <c r="I203" s="158"/>
      <c r="J203" s="56">
        <v>0.24010000000000001</v>
      </c>
      <c r="K203" s="58" t="s">
        <v>38</v>
      </c>
      <c r="L203" s="111"/>
      <c r="M203" s="51"/>
      <c r="N203" s="56"/>
      <c r="O203" s="56"/>
      <c r="P203" s="56"/>
      <c r="Q203" s="56"/>
      <c r="S203" s="184">
        <v>2019</v>
      </c>
    </row>
    <row r="204" spans="1:19" ht="56.25">
      <c r="A204" s="160" t="s">
        <v>510</v>
      </c>
      <c r="B204" s="88" t="s">
        <v>1160</v>
      </c>
      <c r="C204" s="88" t="s">
        <v>1161</v>
      </c>
      <c r="D204" s="55" t="s">
        <v>280</v>
      </c>
      <c r="E204" s="82" t="s">
        <v>1113</v>
      </c>
      <c r="F204" s="72">
        <v>10</v>
      </c>
      <c r="G204" s="158"/>
      <c r="H204" s="158"/>
      <c r="I204" s="176">
        <v>10</v>
      </c>
      <c r="J204" s="56">
        <v>0</v>
      </c>
      <c r="K204" s="58" t="s">
        <v>521</v>
      </c>
      <c r="L204" s="111"/>
      <c r="M204" s="51"/>
      <c r="N204" s="56"/>
      <c r="O204" s="56"/>
      <c r="P204" s="56"/>
      <c r="Q204" s="56"/>
      <c r="S204" s="184">
        <v>2019</v>
      </c>
    </row>
    <row r="205" spans="1:19" ht="33.75">
      <c r="A205" s="160" t="s">
        <v>510</v>
      </c>
      <c r="B205" s="88" t="s">
        <v>257</v>
      </c>
      <c r="C205" s="88" t="s">
        <v>7</v>
      </c>
      <c r="D205" s="90" t="s">
        <v>211</v>
      </c>
      <c r="E205" s="82" t="s">
        <v>1113</v>
      </c>
      <c r="F205" s="158">
        <v>55</v>
      </c>
      <c r="G205" s="158"/>
      <c r="H205" s="158">
        <v>55</v>
      </c>
      <c r="I205" s="176">
        <v>55</v>
      </c>
      <c r="J205" s="56">
        <v>0</v>
      </c>
      <c r="K205" s="58" t="s">
        <v>521</v>
      </c>
      <c r="L205" s="111"/>
      <c r="M205" s="51"/>
      <c r="N205" s="56"/>
      <c r="O205" s="56"/>
      <c r="P205" s="56"/>
      <c r="Q205" s="56"/>
      <c r="S205" s="184">
        <v>2019</v>
      </c>
    </row>
    <row r="206" spans="1:19" ht="67.5">
      <c r="A206" s="160" t="s">
        <v>510</v>
      </c>
      <c r="B206" s="88" t="s">
        <v>1168</v>
      </c>
      <c r="C206" s="88" t="s">
        <v>1169</v>
      </c>
      <c r="D206" s="90" t="s">
        <v>197</v>
      </c>
      <c r="E206" s="82" t="s">
        <v>1113</v>
      </c>
      <c r="F206" s="158">
        <v>41</v>
      </c>
      <c r="G206" s="158"/>
      <c r="H206" s="158">
        <v>41</v>
      </c>
      <c r="I206" s="158"/>
      <c r="J206" s="56">
        <v>0.51500000000000001</v>
      </c>
      <c r="K206" s="58" t="s">
        <v>38</v>
      </c>
      <c r="L206" s="111"/>
      <c r="M206" s="51"/>
      <c r="N206" s="56"/>
      <c r="O206" s="56"/>
      <c r="P206" s="56"/>
      <c r="Q206" s="56"/>
      <c r="S206" s="184">
        <v>2019</v>
      </c>
    </row>
    <row r="207" spans="1:19" ht="45">
      <c r="A207" s="160" t="s">
        <v>510</v>
      </c>
      <c r="B207" s="88" t="s">
        <v>1170</v>
      </c>
      <c r="C207" s="88" t="s">
        <v>524</v>
      </c>
      <c r="D207" s="90" t="s">
        <v>203</v>
      </c>
      <c r="E207" s="82" t="s">
        <v>1113</v>
      </c>
      <c r="F207" s="158">
        <v>28</v>
      </c>
      <c r="G207" s="158"/>
      <c r="H207" s="158">
        <v>28</v>
      </c>
      <c r="I207" s="75">
        <v>28</v>
      </c>
      <c r="J207" s="56">
        <v>0</v>
      </c>
      <c r="K207" s="58" t="s">
        <v>521</v>
      </c>
      <c r="L207" s="111"/>
      <c r="M207" s="51"/>
      <c r="N207" s="56"/>
      <c r="O207" s="56"/>
      <c r="P207" s="56"/>
      <c r="Q207" s="56"/>
      <c r="S207" s="184">
        <v>2019</v>
      </c>
    </row>
    <row r="208" spans="1:19" ht="67.5">
      <c r="A208" s="160" t="s">
        <v>510</v>
      </c>
      <c r="B208" s="88" t="s">
        <v>238</v>
      </c>
      <c r="C208" s="88" t="s">
        <v>222</v>
      </c>
      <c r="D208" s="90" t="s">
        <v>197</v>
      </c>
      <c r="E208" s="82" t="s">
        <v>1113</v>
      </c>
      <c r="F208" s="158"/>
      <c r="G208" s="158">
        <v>68</v>
      </c>
      <c r="H208" s="158"/>
      <c r="I208" s="176">
        <v>68</v>
      </c>
      <c r="J208" s="56">
        <v>0</v>
      </c>
      <c r="K208" s="58" t="s">
        <v>521</v>
      </c>
      <c r="L208" s="111"/>
      <c r="M208" s="51"/>
      <c r="N208" s="56"/>
      <c r="O208" s="56"/>
      <c r="P208" s="56"/>
      <c r="Q208" s="56"/>
      <c r="S208" s="184">
        <v>2019</v>
      </c>
    </row>
    <row r="209" spans="1:19" ht="33.75">
      <c r="A209" s="160" t="s">
        <v>510</v>
      </c>
      <c r="B209" s="88" t="s">
        <v>1247</v>
      </c>
      <c r="C209" s="88" t="s">
        <v>61</v>
      </c>
      <c r="D209" s="1" t="s">
        <v>216</v>
      </c>
      <c r="E209" s="82" t="s">
        <v>1232</v>
      </c>
      <c r="F209" s="158"/>
      <c r="G209" s="158">
        <v>18</v>
      </c>
      <c r="H209" s="158">
        <v>18</v>
      </c>
      <c r="I209" s="176">
        <v>18</v>
      </c>
      <c r="J209" s="56">
        <v>0</v>
      </c>
      <c r="K209" s="58" t="s">
        <v>521</v>
      </c>
      <c r="L209" s="111"/>
      <c r="M209" s="51"/>
      <c r="N209" s="56"/>
      <c r="O209" s="56"/>
      <c r="P209" s="56"/>
      <c r="Q209" s="56"/>
      <c r="S209" s="184">
        <v>2019</v>
      </c>
    </row>
    <row r="210" spans="1:19" ht="33.75">
      <c r="A210" s="160" t="s">
        <v>510</v>
      </c>
      <c r="B210" s="88" t="s">
        <v>1321</v>
      </c>
      <c r="C210" s="88" t="s">
        <v>214</v>
      </c>
      <c r="D210" s="55" t="s">
        <v>547</v>
      </c>
      <c r="E210" s="82" t="s">
        <v>1232</v>
      </c>
      <c r="F210" s="158"/>
      <c r="G210" s="158">
        <v>147</v>
      </c>
      <c r="H210" s="158"/>
      <c r="I210" s="176">
        <v>147</v>
      </c>
      <c r="J210" s="56">
        <v>0</v>
      </c>
      <c r="K210" s="58" t="s">
        <v>521</v>
      </c>
      <c r="L210" s="111" t="s">
        <v>1316</v>
      </c>
      <c r="M210" s="51"/>
      <c r="N210" s="56"/>
      <c r="O210" s="56"/>
      <c r="P210" s="56"/>
      <c r="Q210" s="56"/>
      <c r="S210" s="184">
        <v>2019</v>
      </c>
    </row>
    <row r="211" spans="1:19" ht="56.25">
      <c r="A211" s="160" t="s">
        <v>510</v>
      </c>
      <c r="B211" s="88" t="s">
        <v>1269</v>
      </c>
      <c r="C211" s="88" t="s">
        <v>7</v>
      </c>
      <c r="D211" s="1" t="s">
        <v>216</v>
      </c>
      <c r="E211" s="82" t="s">
        <v>1232</v>
      </c>
      <c r="F211" s="158"/>
      <c r="G211" s="158">
        <v>54</v>
      </c>
      <c r="H211" s="158"/>
      <c r="I211" s="176">
        <v>54</v>
      </c>
      <c r="J211" s="56">
        <v>0</v>
      </c>
      <c r="K211" s="58" t="s">
        <v>521</v>
      </c>
      <c r="L211" s="111"/>
      <c r="M211" s="51"/>
      <c r="N211" s="56"/>
      <c r="O211" s="56"/>
      <c r="P211" s="56"/>
      <c r="Q211" s="56"/>
      <c r="S211" s="184">
        <v>2019</v>
      </c>
    </row>
    <row r="212" spans="1:19" ht="101.25">
      <c r="A212" s="160" t="s">
        <v>510</v>
      </c>
      <c r="B212" s="88" t="s">
        <v>1268</v>
      </c>
      <c r="C212" s="88" t="s">
        <v>40</v>
      </c>
      <c r="D212" s="88" t="s">
        <v>546</v>
      </c>
      <c r="E212" s="82" t="s">
        <v>1232</v>
      </c>
      <c r="F212" s="158"/>
      <c r="G212" s="158">
        <v>15</v>
      </c>
      <c r="H212" s="158">
        <v>15</v>
      </c>
      <c r="I212" s="176">
        <v>15</v>
      </c>
      <c r="J212" s="56">
        <v>0</v>
      </c>
      <c r="K212" s="58" t="s">
        <v>521</v>
      </c>
      <c r="L212" s="111"/>
      <c r="M212" s="51"/>
      <c r="N212" s="56"/>
      <c r="O212" s="56"/>
      <c r="P212" s="56"/>
      <c r="Q212" s="56"/>
      <c r="S212" s="184">
        <v>2019</v>
      </c>
    </row>
    <row r="213" spans="1:19">
      <c r="A213" s="117" t="s">
        <v>770</v>
      </c>
      <c r="B213" s="117"/>
      <c r="C213" s="117"/>
      <c r="D213" s="117"/>
      <c r="E213" s="138"/>
      <c r="F213" s="21">
        <v>157</v>
      </c>
      <c r="G213" s="21">
        <v>28</v>
      </c>
      <c r="H213" s="21">
        <v>52</v>
      </c>
      <c r="I213" s="21">
        <v>97</v>
      </c>
      <c r="J213" s="35"/>
      <c r="K213" s="121"/>
      <c r="L213" s="111"/>
      <c r="M213" s="21"/>
      <c r="N213" s="21">
        <v>0</v>
      </c>
      <c r="O213" s="21">
        <v>0</v>
      </c>
      <c r="P213" s="21">
        <v>0</v>
      </c>
      <c r="Q213" s="21">
        <v>0</v>
      </c>
      <c r="S213" s="187">
        <v>2019</v>
      </c>
    </row>
    <row r="214" spans="1:19" ht="56.25">
      <c r="A214" s="160" t="s">
        <v>770</v>
      </c>
      <c r="B214" s="88" t="s">
        <v>771</v>
      </c>
      <c r="C214" s="88" t="s">
        <v>772</v>
      </c>
      <c r="D214" s="88" t="s">
        <v>773</v>
      </c>
      <c r="E214" s="43" t="s">
        <v>720</v>
      </c>
      <c r="F214" s="158"/>
      <c r="G214" s="158">
        <v>28</v>
      </c>
      <c r="H214" s="158">
        <v>28</v>
      </c>
      <c r="I214" s="158"/>
      <c r="J214" s="14">
        <v>0.38</v>
      </c>
      <c r="K214" s="58" t="s">
        <v>38</v>
      </c>
      <c r="L214" s="111" t="s">
        <v>1249</v>
      </c>
      <c r="M214" s="158"/>
      <c r="N214" s="158"/>
      <c r="O214" s="158"/>
      <c r="P214" s="158"/>
      <c r="Q214" s="158"/>
      <c r="S214" s="184">
        <v>2019</v>
      </c>
    </row>
    <row r="215" spans="1:19" ht="78.75">
      <c r="A215" s="160" t="s">
        <v>770</v>
      </c>
      <c r="B215" s="88" t="s">
        <v>949</v>
      </c>
      <c r="C215" s="55" t="s">
        <v>858</v>
      </c>
      <c r="D215" s="88" t="s">
        <v>1079</v>
      </c>
      <c r="E215" s="30" t="s">
        <v>968</v>
      </c>
      <c r="F215" s="72">
        <v>13</v>
      </c>
      <c r="G215" s="101"/>
      <c r="H215" s="101"/>
      <c r="I215" s="158"/>
      <c r="J215" s="56">
        <v>0.2621</v>
      </c>
      <c r="K215" s="58" t="s">
        <v>38</v>
      </c>
      <c r="L215" s="111" t="s">
        <v>1317</v>
      </c>
      <c r="M215" s="158"/>
      <c r="N215" s="158"/>
      <c r="O215" s="158"/>
      <c r="P215" s="158"/>
      <c r="Q215" s="158"/>
      <c r="S215" s="184">
        <v>2019</v>
      </c>
    </row>
    <row r="216" spans="1:19" ht="135">
      <c r="A216" s="160" t="s">
        <v>770</v>
      </c>
      <c r="B216" s="88" t="s">
        <v>1080</v>
      </c>
      <c r="C216" s="88" t="s">
        <v>760</v>
      </c>
      <c r="D216" s="88" t="s">
        <v>1079</v>
      </c>
      <c r="E216" s="30" t="s">
        <v>968</v>
      </c>
      <c r="F216" s="72">
        <v>47</v>
      </c>
      <c r="G216" s="101"/>
      <c r="H216" s="101"/>
      <c r="I216" s="158"/>
      <c r="J216" s="56">
        <v>0.14560000000000001</v>
      </c>
      <c r="K216" s="58" t="s">
        <v>38</v>
      </c>
      <c r="L216" s="111" t="s">
        <v>1318</v>
      </c>
      <c r="M216" s="158"/>
      <c r="N216" s="158"/>
      <c r="O216" s="158"/>
      <c r="P216" s="158"/>
      <c r="Q216" s="158"/>
      <c r="S216" s="184">
        <v>2019</v>
      </c>
    </row>
    <row r="217" spans="1:19" ht="67.5">
      <c r="A217" s="160" t="s">
        <v>770</v>
      </c>
      <c r="B217" s="88" t="s">
        <v>1162</v>
      </c>
      <c r="C217" s="88" t="s">
        <v>105</v>
      </c>
      <c r="D217" s="88" t="s">
        <v>1163</v>
      </c>
      <c r="E217" s="82" t="s">
        <v>1113</v>
      </c>
      <c r="F217" s="72">
        <v>72</v>
      </c>
      <c r="G217" s="158"/>
      <c r="H217" s="158"/>
      <c r="I217" s="176">
        <v>72</v>
      </c>
      <c r="J217" s="56">
        <v>0</v>
      </c>
      <c r="K217" s="58" t="s">
        <v>521</v>
      </c>
      <c r="L217" s="111"/>
      <c r="M217" s="158"/>
      <c r="N217" s="158"/>
      <c r="O217" s="158"/>
      <c r="P217" s="158"/>
      <c r="Q217" s="158"/>
      <c r="S217" s="184">
        <v>2019</v>
      </c>
    </row>
    <row r="218" spans="1:19" ht="78.75">
      <c r="A218" s="160" t="s">
        <v>770</v>
      </c>
      <c r="B218" s="88" t="s">
        <v>1174</v>
      </c>
      <c r="C218" s="88" t="s">
        <v>1175</v>
      </c>
      <c r="D218" s="88" t="s">
        <v>1176</v>
      </c>
      <c r="E218" s="82" t="s">
        <v>1113</v>
      </c>
      <c r="F218" s="158">
        <v>24</v>
      </c>
      <c r="G218" s="158"/>
      <c r="H218" s="72">
        <v>24</v>
      </c>
      <c r="I218" s="75">
        <v>24</v>
      </c>
      <c r="J218" s="56">
        <v>0</v>
      </c>
      <c r="K218" s="58" t="s">
        <v>521</v>
      </c>
      <c r="L218" s="111"/>
      <c r="M218" s="158"/>
      <c r="N218" s="158"/>
      <c r="O218" s="158"/>
      <c r="P218" s="158"/>
      <c r="Q218" s="158"/>
      <c r="S218" s="184">
        <v>2019</v>
      </c>
    </row>
    <row r="219" spans="1:19" ht="78.75">
      <c r="A219" s="160" t="s">
        <v>770</v>
      </c>
      <c r="B219" s="88" t="s">
        <v>1174</v>
      </c>
      <c r="C219" s="88" t="s">
        <v>1175</v>
      </c>
      <c r="D219" s="88" t="s">
        <v>1176</v>
      </c>
      <c r="E219" s="82" t="s">
        <v>1113</v>
      </c>
      <c r="F219" s="158">
        <v>1</v>
      </c>
      <c r="G219" s="158"/>
      <c r="H219" s="158"/>
      <c r="I219" s="75">
        <v>1</v>
      </c>
      <c r="J219" s="56">
        <v>0</v>
      </c>
      <c r="K219" s="58" t="s">
        <v>521</v>
      </c>
      <c r="L219" s="111"/>
      <c r="M219" s="158"/>
      <c r="N219" s="158"/>
      <c r="O219" s="158"/>
      <c r="P219" s="158"/>
      <c r="Q219" s="158"/>
      <c r="S219" s="184">
        <v>2019</v>
      </c>
    </row>
    <row r="220" spans="1:19">
      <c r="A220" s="117" t="s">
        <v>511</v>
      </c>
      <c r="B220" s="117"/>
      <c r="C220" s="117"/>
      <c r="D220" s="117"/>
      <c r="E220" s="138"/>
      <c r="F220" s="21">
        <v>88</v>
      </c>
      <c r="G220" s="21">
        <v>233</v>
      </c>
      <c r="H220" s="21">
        <v>254</v>
      </c>
      <c r="I220" s="21">
        <v>94</v>
      </c>
      <c r="J220" s="35"/>
      <c r="K220" s="121"/>
      <c r="L220" s="111"/>
      <c r="M220" s="21">
        <v>124</v>
      </c>
      <c r="N220" s="21">
        <v>167</v>
      </c>
      <c r="O220" s="21">
        <v>352</v>
      </c>
      <c r="P220" s="21">
        <v>0</v>
      </c>
      <c r="Q220" s="21">
        <v>137</v>
      </c>
      <c r="S220" s="187">
        <v>2019</v>
      </c>
    </row>
    <row r="221" spans="1:19" ht="101.25">
      <c r="A221" s="160" t="s">
        <v>511</v>
      </c>
      <c r="B221" s="29" t="s">
        <v>289</v>
      </c>
      <c r="C221" s="88" t="s">
        <v>287</v>
      </c>
      <c r="D221" s="88" t="s">
        <v>288</v>
      </c>
      <c r="E221" s="43" t="s">
        <v>650</v>
      </c>
      <c r="F221" s="158"/>
      <c r="G221" s="158">
        <v>3</v>
      </c>
      <c r="H221" s="158"/>
      <c r="I221" s="158">
        <v>3</v>
      </c>
      <c r="J221" s="2">
        <v>0</v>
      </c>
      <c r="K221" s="58" t="s">
        <v>521</v>
      </c>
      <c r="L221" s="88" t="s">
        <v>1319</v>
      </c>
      <c r="M221" s="158"/>
      <c r="N221" s="158"/>
      <c r="O221" s="158"/>
      <c r="P221" s="158"/>
      <c r="Q221" s="158"/>
      <c r="S221" s="184">
        <v>2019</v>
      </c>
    </row>
    <row r="222" spans="1:19" ht="33.75">
      <c r="A222" s="160" t="s">
        <v>511</v>
      </c>
      <c r="B222" s="123" t="s">
        <v>290</v>
      </c>
      <c r="C222" s="27" t="s">
        <v>8</v>
      </c>
      <c r="D222" s="27" t="s">
        <v>291</v>
      </c>
      <c r="E222" s="43" t="s">
        <v>650</v>
      </c>
      <c r="F222" s="158"/>
      <c r="G222" s="158">
        <v>2</v>
      </c>
      <c r="H222" s="158">
        <v>2</v>
      </c>
      <c r="I222" s="158"/>
      <c r="J222" s="133">
        <v>0</v>
      </c>
      <c r="K222" s="58" t="s">
        <v>38</v>
      </c>
      <c r="L222" s="105"/>
      <c r="M222" s="158" t="s">
        <v>0</v>
      </c>
      <c r="N222" s="11"/>
      <c r="O222" s="11"/>
      <c r="P222" s="11"/>
      <c r="Q222" s="11"/>
      <c r="S222" s="184">
        <v>2019</v>
      </c>
    </row>
    <row r="223" spans="1:19" ht="56.25">
      <c r="A223" s="160" t="s">
        <v>511</v>
      </c>
      <c r="B223" s="55" t="s">
        <v>779</v>
      </c>
      <c r="C223" s="55" t="s">
        <v>774</v>
      </c>
      <c r="D223" s="55" t="s">
        <v>284</v>
      </c>
      <c r="E223" s="43" t="s">
        <v>713</v>
      </c>
      <c r="F223" s="51"/>
      <c r="G223" s="51">
        <v>3</v>
      </c>
      <c r="H223" s="51">
        <v>3</v>
      </c>
      <c r="I223" s="158"/>
      <c r="J223" s="2">
        <v>0.46300000000000002</v>
      </c>
      <c r="K223" s="58" t="s">
        <v>38</v>
      </c>
      <c r="L223" s="105"/>
      <c r="M223" s="51"/>
      <c r="N223" s="11"/>
      <c r="O223" s="11"/>
      <c r="P223" s="11"/>
      <c r="Q223" s="11"/>
      <c r="S223" s="184">
        <v>2019</v>
      </c>
    </row>
    <row r="224" spans="1:19" ht="67.5">
      <c r="A224" s="160" t="s">
        <v>511</v>
      </c>
      <c r="B224" s="55" t="s">
        <v>775</v>
      </c>
      <c r="C224" s="55" t="s">
        <v>774</v>
      </c>
      <c r="D224" s="88" t="s">
        <v>1023</v>
      </c>
      <c r="E224" s="43" t="s">
        <v>715</v>
      </c>
      <c r="F224" s="51"/>
      <c r="G224" s="51">
        <v>41</v>
      </c>
      <c r="H224" s="51">
        <v>41</v>
      </c>
      <c r="I224" s="158"/>
      <c r="J224" s="56">
        <v>0.70009999999999994</v>
      </c>
      <c r="K224" s="58" t="s">
        <v>38</v>
      </c>
      <c r="L224" s="105"/>
      <c r="M224" s="51"/>
      <c r="N224" s="158"/>
      <c r="O224" s="158"/>
      <c r="P224" s="158"/>
      <c r="Q224" s="158"/>
      <c r="S224" s="184">
        <v>2019</v>
      </c>
    </row>
    <row r="225" spans="1:19" ht="56.25">
      <c r="A225" s="160" t="s">
        <v>511</v>
      </c>
      <c r="B225" s="55" t="s">
        <v>777</v>
      </c>
      <c r="C225" s="55" t="s">
        <v>778</v>
      </c>
      <c r="D225" s="88" t="s">
        <v>291</v>
      </c>
      <c r="E225" s="43" t="s">
        <v>715</v>
      </c>
      <c r="F225" s="81"/>
      <c r="G225" s="81">
        <v>93</v>
      </c>
      <c r="H225" s="81">
        <v>93</v>
      </c>
      <c r="I225" s="51"/>
      <c r="J225" s="56">
        <v>0.53559999999999997</v>
      </c>
      <c r="K225" s="58" t="s">
        <v>38</v>
      </c>
      <c r="L225" s="105"/>
      <c r="M225" s="51"/>
      <c r="N225" s="158"/>
      <c r="O225" s="158"/>
      <c r="P225" s="158"/>
      <c r="Q225" s="158"/>
      <c r="S225" s="184">
        <v>2019</v>
      </c>
    </row>
    <row r="226" spans="1:19" ht="67.5">
      <c r="A226" s="160" t="s">
        <v>511</v>
      </c>
      <c r="B226" s="88" t="s">
        <v>1009</v>
      </c>
      <c r="C226" s="55" t="s">
        <v>119</v>
      </c>
      <c r="D226" s="88" t="s">
        <v>284</v>
      </c>
      <c r="E226" s="30" t="s">
        <v>968</v>
      </c>
      <c r="F226" s="159">
        <v>11</v>
      </c>
      <c r="G226" s="159"/>
      <c r="H226" s="159">
        <v>11</v>
      </c>
      <c r="I226" s="158"/>
      <c r="J226" s="56">
        <v>0.45550000000000002</v>
      </c>
      <c r="K226" s="58" t="s">
        <v>986</v>
      </c>
      <c r="L226" s="105"/>
      <c r="M226" s="51"/>
      <c r="N226" s="158"/>
      <c r="O226" s="158"/>
      <c r="P226" s="158"/>
      <c r="Q226" s="158"/>
      <c r="S226" s="184">
        <v>2019</v>
      </c>
    </row>
    <row r="227" spans="1:19" ht="67.5">
      <c r="A227" s="160" t="s">
        <v>511</v>
      </c>
      <c r="B227" s="88" t="s">
        <v>1022</v>
      </c>
      <c r="C227" s="55" t="s">
        <v>119</v>
      </c>
      <c r="D227" s="88" t="s">
        <v>1023</v>
      </c>
      <c r="E227" s="30" t="s">
        <v>968</v>
      </c>
      <c r="F227" s="175">
        <v>21</v>
      </c>
      <c r="G227" s="94"/>
      <c r="H227" s="94">
        <v>21</v>
      </c>
      <c r="I227" s="94"/>
      <c r="J227" s="56">
        <v>0.45040000000000002</v>
      </c>
      <c r="K227" s="58" t="s">
        <v>38</v>
      </c>
      <c r="L227" s="105"/>
      <c r="M227" s="51"/>
      <c r="N227" s="158"/>
      <c r="O227" s="158"/>
      <c r="P227" s="158"/>
      <c r="Q227" s="158"/>
      <c r="S227" s="184">
        <v>2019</v>
      </c>
    </row>
    <row r="228" spans="1:19" ht="56.25">
      <c r="A228" s="160" t="s">
        <v>511</v>
      </c>
      <c r="B228" s="88" t="s">
        <v>1081</v>
      </c>
      <c r="C228" s="55" t="s">
        <v>287</v>
      </c>
      <c r="D228" s="55" t="s">
        <v>284</v>
      </c>
      <c r="E228" s="30" t="s">
        <v>968</v>
      </c>
      <c r="F228" s="175">
        <v>12</v>
      </c>
      <c r="G228" s="94"/>
      <c r="H228" s="94">
        <v>12</v>
      </c>
      <c r="I228" s="94"/>
      <c r="J228" s="56">
        <v>0.85219999999999996</v>
      </c>
      <c r="K228" s="58" t="s">
        <v>38</v>
      </c>
      <c r="L228" s="105"/>
      <c r="M228" s="51"/>
      <c r="N228" s="158"/>
      <c r="O228" s="158"/>
      <c r="P228" s="158"/>
      <c r="Q228" s="158"/>
      <c r="S228" s="184">
        <v>2019</v>
      </c>
    </row>
    <row r="229" spans="1:19" ht="45">
      <c r="A229" s="160" t="s">
        <v>511</v>
      </c>
      <c r="B229" s="88" t="s">
        <v>1213</v>
      </c>
      <c r="C229" s="55" t="s">
        <v>30</v>
      </c>
      <c r="D229" s="55" t="s">
        <v>523</v>
      </c>
      <c r="E229" s="30" t="s">
        <v>1116</v>
      </c>
      <c r="F229" s="175">
        <v>44</v>
      </c>
      <c r="G229" s="94"/>
      <c r="H229" s="94">
        <v>44</v>
      </c>
      <c r="I229" s="94"/>
      <c r="J229" s="2">
        <v>0.46250000000000002</v>
      </c>
      <c r="K229" s="58" t="s">
        <v>38</v>
      </c>
      <c r="L229" s="105"/>
      <c r="M229" s="51"/>
      <c r="N229" s="158"/>
      <c r="O229" s="158"/>
      <c r="P229" s="158"/>
      <c r="Q229" s="158"/>
      <c r="S229" s="184">
        <v>2019</v>
      </c>
    </row>
    <row r="230" spans="1:19" ht="33.75">
      <c r="A230" s="160" t="s">
        <v>511</v>
      </c>
      <c r="B230" s="88" t="s">
        <v>1250</v>
      </c>
      <c r="C230" s="55" t="s">
        <v>7</v>
      </c>
      <c r="D230" s="55" t="s">
        <v>1105</v>
      </c>
      <c r="E230" s="30" t="s">
        <v>1232</v>
      </c>
      <c r="F230" s="94"/>
      <c r="G230" s="94">
        <v>64</v>
      </c>
      <c r="H230" s="94"/>
      <c r="I230" s="191">
        <v>64</v>
      </c>
      <c r="J230" s="2">
        <v>0</v>
      </c>
      <c r="K230" s="58" t="s">
        <v>521</v>
      </c>
      <c r="L230" s="105"/>
      <c r="M230" s="51"/>
      <c r="N230" s="158"/>
      <c r="O230" s="158"/>
      <c r="P230" s="158"/>
      <c r="Q230" s="158"/>
      <c r="S230" s="184">
        <v>2019</v>
      </c>
    </row>
    <row r="231" spans="1:19" ht="56.25">
      <c r="A231" s="160" t="s">
        <v>511</v>
      </c>
      <c r="B231" s="173" t="s">
        <v>1251</v>
      </c>
      <c r="C231" s="55" t="s">
        <v>157</v>
      </c>
      <c r="D231" s="88" t="s">
        <v>1023</v>
      </c>
      <c r="E231" s="30" t="s">
        <v>1232</v>
      </c>
      <c r="F231" s="94"/>
      <c r="G231" s="94">
        <v>5</v>
      </c>
      <c r="H231" s="94">
        <v>5</v>
      </c>
      <c r="I231" s="191">
        <v>5</v>
      </c>
      <c r="J231" s="2">
        <v>0</v>
      </c>
      <c r="K231" s="58" t="s">
        <v>521</v>
      </c>
      <c r="L231" s="105"/>
      <c r="M231" s="51"/>
      <c r="N231" s="158"/>
      <c r="O231" s="158"/>
      <c r="P231" s="158"/>
      <c r="Q231" s="158"/>
      <c r="S231" s="184">
        <v>2019</v>
      </c>
    </row>
    <row r="232" spans="1:19" ht="67.5">
      <c r="A232" s="160" t="s">
        <v>511</v>
      </c>
      <c r="B232" s="173" t="s">
        <v>1252</v>
      </c>
      <c r="C232" s="55" t="s">
        <v>157</v>
      </c>
      <c r="D232" s="88" t="s">
        <v>1023</v>
      </c>
      <c r="E232" s="30" t="s">
        <v>1232</v>
      </c>
      <c r="F232" s="94"/>
      <c r="G232" s="94">
        <v>22</v>
      </c>
      <c r="H232" s="94">
        <v>22</v>
      </c>
      <c r="I232" s="191">
        <v>22</v>
      </c>
      <c r="J232" s="2">
        <v>0</v>
      </c>
      <c r="K232" s="58" t="s">
        <v>521</v>
      </c>
      <c r="L232" s="105"/>
      <c r="M232" s="51"/>
      <c r="N232" s="158"/>
      <c r="O232" s="158"/>
      <c r="P232" s="158"/>
      <c r="Q232" s="158"/>
      <c r="S232" s="184">
        <v>2019</v>
      </c>
    </row>
    <row r="233" spans="1:19">
      <c r="A233" s="117" t="s">
        <v>512</v>
      </c>
      <c r="B233" s="117"/>
      <c r="C233" s="117"/>
      <c r="D233" s="117"/>
      <c r="E233" s="138"/>
      <c r="F233" s="21">
        <v>340</v>
      </c>
      <c r="G233" s="21">
        <v>739</v>
      </c>
      <c r="H233" s="21">
        <v>638</v>
      </c>
      <c r="I233" s="21">
        <v>221</v>
      </c>
      <c r="J233" s="20"/>
      <c r="K233" s="62"/>
      <c r="L233" s="105"/>
      <c r="M233" s="21">
        <v>32</v>
      </c>
      <c r="N233" s="21">
        <v>377</v>
      </c>
      <c r="O233" s="21">
        <v>496</v>
      </c>
      <c r="P233" s="21">
        <v>102</v>
      </c>
      <c r="Q233" s="21">
        <v>241</v>
      </c>
      <c r="S233" s="187">
        <v>2019</v>
      </c>
    </row>
    <row r="234" spans="1:19" ht="45">
      <c r="A234" s="160" t="s">
        <v>512</v>
      </c>
      <c r="B234" s="27" t="s">
        <v>293</v>
      </c>
      <c r="C234" s="1" t="s">
        <v>543</v>
      </c>
      <c r="D234" s="1" t="s">
        <v>548</v>
      </c>
      <c r="E234" s="30" t="s">
        <v>680</v>
      </c>
      <c r="F234" s="158"/>
      <c r="G234" s="158">
        <v>45</v>
      </c>
      <c r="H234" s="158">
        <v>45</v>
      </c>
      <c r="I234" s="158"/>
      <c r="J234" s="2">
        <v>0.9</v>
      </c>
      <c r="K234" s="58" t="s">
        <v>38</v>
      </c>
      <c r="L234" s="105"/>
      <c r="M234" s="158"/>
      <c r="N234" s="158"/>
      <c r="O234" s="158"/>
      <c r="P234" s="158"/>
      <c r="Q234" s="158"/>
      <c r="S234" s="184">
        <v>2019</v>
      </c>
    </row>
    <row r="235" spans="1:19" ht="56.25">
      <c r="A235" s="160" t="s">
        <v>512</v>
      </c>
      <c r="B235" s="27" t="s">
        <v>293</v>
      </c>
      <c r="C235" s="1" t="s">
        <v>543</v>
      </c>
      <c r="D235" s="1" t="s">
        <v>548</v>
      </c>
      <c r="E235" s="30" t="s">
        <v>680</v>
      </c>
      <c r="F235" s="158"/>
      <c r="G235" s="158">
        <v>4</v>
      </c>
      <c r="H235" s="158"/>
      <c r="I235" s="158">
        <v>4</v>
      </c>
      <c r="J235" s="56">
        <v>0</v>
      </c>
      <c r="K235" s="58" t="s">
        <v>521</v>
      </c>
      <c r="L235" s="88" t="s">
        <v>1224</v>
      </c>
      <c r="M235" s="158"/>
      <c r="N235" s="158"/>
      <c r="O235" s="158"/>
      <c r="P235" s="158"/>
      <c r="Q235" s="158"/>
      <c r="S235" s="184">
        <v>2019</v>
      </c>
    </row>
    <row r="236" spans="1:19" ht="33.75">
      <c r="A236" s="160" t="s">
        <v>512</v>
      </c>
      <c r="B236" s="1" t="s">
        <v>296</v>
      </c>
      <c r="C236" s="27" t="s">
        <v>165</v>
      </c>
      <c r="D236" s="27" t="s">
        <v>295</v>
      </c>
      <c r="E236" s="30" t="s">
        <v>682</v>
      </c>
      <c r="F236" s="158"/>
      <c r="G236" s="158">
        <v>52</v>
      </c>
      <c r="H236" s="158"/>
      <c r="I236" s="158"/>
      <c r="J236" s="2">
        <v>0.44679999999999997</v>
      </c>
      <c r="K236" s="58" t="s">
        <v>942</v>
      </c>
      <c r="L236" s="105" t="s">
        <v>1124</v>
      </c>
      <c r="M236" s="158"/>
      <c r="N236" s="158"/>
      <c r="O236" s="158"/>
      <c r="P236" s="158"/>
      <c r="Q236" s="158"/>
      <c r="S236" s="184">
        <v>2019</v>
      </c>
    </row>
    <row r="237" spans="1:19" ht="33.75">
      <c r="A237" s="160" t="s">
        <v>512</v>
      </c>
      <c r="B237" s="1" t="s">
        <v>296</v>
      </c>
      <c r="C237" s="27" t="s">
        <v>165</v>
      </c>
      <c r="D237" s="27" t="s">
        <v>295</v>
      </c>
      <c r="E237" s="30" t="s">
        <v>682</v>
      </c>
      <c r="F237" s="158"/>
      <c r="G237" s="158">
        <v>6</v>
      </c>
      <c r="H237" s="158"/>
      <c r="I237" s="158"/>
      <c r="J237" s="2">
        <v>0.44679999999999997</v>
      </c>
      <c r="K237" s="58" t="s">
        <v>942</v>
      </c>
      <c r="L237" s="105" t="s">
        <v>1124</v>
      </c>
      <c r="M237" s="158" t="s">
        <v>0</v>
      </c>
      <c r="N237" s="158"/>
      <c r="O237" s="158"/>
      <c r="P237" s="158"/>
      <c r="Q237" s="158"/>
      <c r="S237" s="184">
        <v>2019</v>
      </c>
    </row>
    <row r="238" spans="1:19" ht="33.75">
      <c r="A238" s="160" t="s">
        <v>512</v>
      </c>
      <c r="B238" s="1" t="s">
        <v>299</v>
      </c>
      <c r="C238" s="27" t="s">
        <v>170</v>
      </c>
      <c r="D238" s="27" t="s">
        <v>295</v>
      </c>
      <c r="E238" s="30" t="s">
        <v>682</v>
      </c>
      <c r="F238" s="158"/>
      <c r="G238" s="158">
        <v>58</v>
      </c>
      <c r="H238" s="158"/>
      <c r="I238" s="158"/>
      <c r="J238" s="2">
        <v>0.76980000000000004</v>
      </c>
      <c r="K238" s="58" t="s">
        <v>986</v>
      </c>
      <c r="L238" s="105"/>
      <c r="M238" s="158" t="s">
        <v>0</v>
      </c>
      <c r="N238" s="158"/>
      <c r="O238" s="158"/>
      <c r="P238" s="158"/>
      <c r="Q238" s="158"/>
      <c r="S238" s="184">
        <v>2019</v>
      </c>
    </row>
    <row r="239" spans="1:19" ht="33.75">
      <c r="A239" s="160" t="s">
        <v>512</v>
      </c>
      <c r="B239" s="1" t="s">
        <v>299</v>
      </c>
      <c r="C239" s="27" t="s">
        <v>170</v>
      </c>
      <c r="D239" s="27" t="s">
        <v>295</v>
      </c>
      <c r="E239" s="30" t="s">
        <v>682</v>
      </c>
      <c r="F239" s="158"/>
      <c r="G239" s="158">
        <v>2</v>
      </c>
      <c r="H239" s="158"/>
      <c r="I239" s="158">
        <v>2</v>
      </c>
      <c r="J239" s="2">
        <v>0</v>
      </c>
      <c r="K239" s="58" t="s">
        <v>521</v>
      </c>
      <c r="L239" s="105"/>
      <c r="M239" s="158" t="s">
        <v>0</v>
      </c>
      <c r="N239" s="158"/>
      <c r="O239" s="158"/>
      <c r="P239" s="158"/>
      <c r="Q239" s="158"/>
      <c r="S239" s="184">
        <v>2019</v>
      </c>
    </row>
    <row r="240" spans="1:19" ht="45">
      <c r="A240" s="160" t="s">
        <v>512</v>
      </c>
      <c r="B240" s="55" t="s">
        <v>1055</v>
      </c>
      <c r="C240" s="55" t="s">
        <v>782</v>
      </c>
      <c r="D240" s="88" t="s">
        <v>928</v>
      </c>
      <c r="E240" s="30" t="s">
        <v>630</v>
      </c>
      <c r="F240" s="158"/>
      <c r="G240" s="158">
        <v>1</v>
      </c>
      <c r="H240" s="75">
        <v>1</v>
      </c>
      <c r="I240" s="158"/>
      <c r="J240" s="2">
        <v>1</v>
      </c>
      <c r="K240" s="58" t="s">
        <v>646</v>
      </c>
      <c r="L240" s="105"/>
      <c r="M240" s="51"/>
      <c r="N240" s="158"/>
      <c r="O240" s="158"/>
      <c r="P240" s="179">
        <v>1</v>
      </c>
      <c r="Q240" s="179">
        <v>1</v>
      </c>
      <c r="R240">
        <v>2019</v>
      </c>
      <c r="S240" s="184">
        <v>2019</v>
      </c>
    </row>
    <row r="241" spans="1:19" ht="56.25">
      <c r="A241" s="160" t="s">
        <v>512</v>
      </c>
      <c r="B241" s="167" t="s">
        <v>790</v>
      </c>
      <c r="C241" s="167" t="s">
        <v>787</v>
      </c>
      <c r="D241" s="88" t="s">
        <v>548</v>
      </c>
      <c r="E241" s="30" t="s">
        <v>713</v>
      </c>
      <c r="F241" s="51"/>
      <c r="G241" s="51">
        <v>43</v>
      </c>
      <c r="H241" s="51"/>
      <c r="I241" s="158">
        <v>43</v>
      </c>
      <c r="J241" s="56">
        <v>0</v>
      </c>
      <c r="K241" s="58" t="s">
        <v>521</v>
      </c>
      <c r="L241" s="105"/>
      <c r="M241" s="51"/>
      <c r="N241" s="158"/>
      <c r="O241" s="158"/>
      <c r="P241" s="158"/>
      <c r="Q241" s="158"/>
      <c r="S241" s="184">
        <v>2019</v>
      </c>
    </row>
    <row r="242" spans="1:19" ht="33.75">
      <c r="A242" s="160" t="s">
        <v>512</v>
      </c>
      <c r="B242" s="168" t="s">
        <v>842</v>
      </c>
      <c r="C242" s="167" t="s">
        <v>16</v>
      </c>
      <c r="D242" s="77" t="s">
        <v>548</v>
      </c>
      <c r="E242" s="30" t="s">
        <v>715</v>
      </c>
      <c r="F242" s="51"/>
      <c r="G242" s="51">
        <v>1</v>
      </c>
      <c r="H242" s="74">
        <v>1</v>
      </c>
      <c r="I242" s="12">
        <v>1</v>
      </c>
      <c r="J242" s="98">
        <v>0</v>
      </c>
      <c r="K242" s="58" t="s">
        <v>521</v>
      </c>
      <c r="L242" s="105"/>
      <c r="M242" s="51"/>
      <c r="N242" s="158"/>
      <c r="O242" s="158"/>
      <c r="P242" s="158"/>
      <c r="Q242" s="158"/>
      <c r="S242" s="184">
        <v>2019</v>
      </c>
    </row>
    <row r="243" spans="1:19" ht="33.75">
      <c r="A243" s="160" t="s">
        <v>512</v>
      </c>
      <c r="B243" s="168" t="s">
        <v>842</v>
      </c>
      <c r="C243" s="167" t="s">
        <v>16</v>
      </c>
      <c r="D243" s="77" t="s">
        <v>548</v>
      </c>
      <c r="E243" s="30" t="s">
        <v>715</v>
      </c>
      <c r="F243" s="51"/>
      <c r="G243" s="51">
        <v>1</v>
      </c>
      <c r="H243" s="51"/>
      <c r="I243" s="12">
        <v>1</v>
      </c>
      <c r="J243" s="98">
        <v>0</v>
      </c>
      <c r="K243" s="58" t="s">
        <v>521</v>
      </c>
      <c r="L243" s="105"/>
      <c r="M243" s="51"/>
      <c r="N243" s="158"/>
      <c r="O243" s="158"/>
      <c r="P243" s="158"/>
      <c r="Q243" s="158"/>
      <c r="S243" s="184">
        <v>2019</v>
      </c>
    </row>
    <row r="244" spans="1:19" ht="67.5">
      <c r="A244" s="160" t="s">
        <v>512</v>
      </c>
      <c r="B244" s="167" t="s">
        <v>791</v>
      </c>
      <c r="C244" s="167" t="s">
        <v>778</v>
      </c>
      <c r="D244" s="88" t="s">
        <v>548</v>
      </c>
      <c r="E244" s="30" t="s">
        <v>715</v>
      </c>
      <c r="F244" s="51"/>
      <c r="G244" s="51">
        <v>132</v>
      </c>
      <c r="H244" s="51">
        <v>132</v>
      </c>
      <c r="I244" s="51"/>
      <c r="J244" s="56">
        <v>0.8498</v>
      </c>
      <c r="K244" s="58" t="s">
        <v>38</v>
      </c>
      <c r="L244" s="105"/>
      <c r="M244" s="51"/>
      <c r="N244" s="158"/>
      <c r="O244" s="158"/>
      <c r="P244" s="158"/>
      <c r="Q244" s="158"/>
      <c r="S244" s="184">
        <v>2019</v>
      </c>
    </row>
    <row r="245" spans="1:19" ht="67.5">
      <c r="A245" s="160" t="s">
        <v>512</v>
      </c>
      <c r="B245" s="167" t="s">
        <v>791</v>
      </c>
      <c r="C245" s="167" t="s">
        <v>778</v>
      </c>
      <c r="D245" s="88" t="s">
        <v>548</v>
      </c>
      <c r="E245" s="30" t="s">
        <v>715</v>
      </c>
      <c r="F245" s="51"/>
      <c r="G245" s="51">
        <v>3</v>
      </c>
      <c r="H245" s="51"/>
      <c r="I245" s="51">
        <v>3</v>
      </c>
      <c r="J245" s="56">
        <v>0</v>
      </c>
      <c r="K245" s="58" t="s">
        <v>521</v>
      </c>
      <c r="L245" s="105"/>
      <c r="M245" s="51"/>
      <c r="N245" s="158"/>
      <c r="O245" s="158"/>
      <c r="P245" s="158"/>
      <c r="Q245" s="158"/>
      <c r="S245" s="184">
        <v>2019</v>
      </c>
    </row>
    <row r="246" spans="1:19" ht="56.25">
      <c r="A246" s="160" t="s">
        <v>512</v>
      </c>
      <c r="B246" s="55" t="s">
        <v>788</v>
      </c>
      <c r="C246" s="55" t="s">
        <v>743</v>
      </c>
      <c r="D246" s="27" t="s">
        <v>295</v>
      </c>
      <c r="E246" s="30" t="s">
        <v>715</v>
      </c>
      <c r="F246" s="51"/>
      <c r="G246" s="51">
        <v>100</v>
      </c>
      <c r="H246" s="51">
        <v>100</v>
      </c>
      <c r="I246" s="51"/>
      <c r="J246" s="2">
        <v>1</v>
      </c>
      <c r="K246" s="58" t="s">
        <v>646</v>
      </c>
      <c r="L246" s="105"/>
      <c r="M246" s="51"/>
      <c r="N246" s="158"/>
      <c r="O246" s="158"/>
      <c r="P246" s="178">
        <v>100</v>
      </c>
      <c r="Q246" s="178">
        <v>100</v>
      </c>
      <c r="R246">
        <v>2019</v>
      </c>
      <c r="S246" s="184">
        <v>2019</v>
      </c>
    </row>
    <row r="247" spans="1:19" ht="56.25">
      <c r="A247" s="160" t="s">
        <v>512</v>
      </c>
      <c r="B247" s="55" t="s">
        <v>788</v>
      </c>
      <c r="C247" s="55" t="s">
        <v>743</v>
      </c>
      <c r="D247" s="27" t="s">
        <v>295</v>
      </c>
      <c r="E247" s="30" t="s">
        <v>715</v>
      </c>
      <c r="F247" s="51"/>
      <c r="G247" s="51">
        <v>1</v>
      </c>
      <c r="H247" s="51">
        <v>1</v>
      </c>
      <c r="I247" s="51"/>
      <c r="J247" s="2">
        <v>1</v>
      </c>
      <c r="K247" s="58" t="s">
        <v>646</v>
      </c>
      <c r="L247" s="105"/>
      <c r="M247" s="51"/>
      <c r="N247" s="158"/>
      <c r="O247" s="158"/>
      <c r="P247" s="178">
        <v>1</v>
      </c>
      <c r="Q247" s="178">
        <v>1</v>
      </c>
      <c r="R247">
        <v>2019</v>
      </c>
      <c r="S247" s="184">
        <v>2019</v>
      </c>
    </row>
    <row r="248" spans="1:19" ht="45">
      <c r="A248" s="160" t="s">
        <v>512</v>
      </c>
      <c r="B248" s="55" t="s">
        <v>993</v>
      </c>
      <c r="C248" s="55" t="s">
        <v>765</v>
      </c>
      <c r="D248" s="27" t="s">
        <v>295</v>
      </c>
      <c r="E248" s="30" t="s">
        <v>720</v>
      </c>
      <c r="F248" s="51"/>
      <c r="G248" s="51">
        <v>57</v>
      </c>
      <c r="H248" s="51"/>
      <c r="I248" s="158"/>
      <c r="J248" s="56">
        <v>0.2077</v>
      </c>
      <c r="K248" s="58" t="s">
        <v>986</v>
      </c>
      <c r="L248" s="105"/>
      <c r="M248" s="51"/>
      <c r="N248" s="158"/>
      <c r="O248" s="158"/>
      <c r="P248" s="158"/>
      <c r="Q248" s="158"/>
      <c r="S248" s="184">
        <v>2019</v>
      </c>
    </row>
    <row r="249" spans="1:19" ht="45">
      <c r="A249" s="160" t="s">
        <v>512</v>
      </c>
      <c r="B249" s="55" t="s">
        <v>1082</v>
      </c>
      <c r="C249" s="55" t="s">
        <v>765</v>
      </c>
      <c r="D249" s="27" t="s">
        <v>295</v>
      </c>
      <c r="E249" s="30" t="s">
        <v>720</v>
      </c>
      <c r="F249" s="51"/>
      <c r="G249" s="51">
        <v>61</v>
      </c>
      <c r="H249" s="51"/>
      <c r="I249" s="158"/>
      <c r="J249" s="56">
        <v>0.2</v>
      </c>
      <c r="K249" s="58" t="s">
        <v>986</v>
      </c>
      <c r="L249" s="105"/>
      <c r="M249" s="51"/>
      <c r="N249" s="158"/>
      <c r="O249" s="158"/>
      <c r="P249" s="158"/>
      <c r="Q249" s="158"/>
      <c r="S249" s="184">
        <v>2019</v>
      </c>
    </row>
    <row r="250" spans="1:19" ht="45">
      <c r="A250" s="160" t="s">
        <v>512</v>
      </c>
      <c r="B250" s="55" t="s">
        <v>1083</v>
      </c>
      <c r="C250" s="55" t="s">
        <v>765</v>
      </c>
      <c r="D250" s="27" t="s">
        <v>295</v>
      </c>
      <c r="E250" s="30" t="s">
        <v>720</v>
      </c>
      <c r="F250" s="51"/>
      <c r="G250" s="51">
        <v>89</v>
      </c>
      <c r="H250" s="51">
        <v>89</v>
      </c>
      <c r="I250" s="158"/>
      <c r="J250" s="56">
        <v>0.56410000000000005</v>
      </c>
      <c r="K250" s="58" t="s">
        <v>38</v>
      </c>
      <c r="L250" s="105"/>
      <c r="M250" s="51"/>
      <c r="N250" s="158"/>
      <c r="O250" s="158"/>
      <c r="P250" s="158"/>
      <c r="Q250" s="158"/>
      <c r="S250" s="184">
        <v>2019</v>
      </c>
    </row>
    <row r="251" spans="1:19" ht="45">
      <c r="A251" s="160" t="s">
        <v>512</v>
      </c>
      <c r="B251" s="55" t="s">
        <v>1007</v>
      </c>
      <c r="C251" s="55" t="s">
        <v>43</v>
      </c>
      <c r="D251" s="27" t="s">
        <v>1008</v>
      </c>
      <c r="E251" s="30" t="s">
        <v>968</v>
      </c>
      <c r="F251" s="81">
        <v>69</v>
      </c>
      <c r="G251" s="81"/>
      <c r="H251" s="81"/>
      <c r="I251" s="158"/>
      <c r="J251" s="56">
        <v>0.53080000000000005</v>
      </c>
      <c r="K251" s="58" t="s">
        <v>986</v>
      </c>
      <c r="L251" s="105"/>
      <c r="M251" s="51"/>
      <c r="N251" s="158"/>
      <c r="O251" s="158"/>
      <c r="P251" s="158"/>
      <c r="Q251" s="158"/>
      <c r="S251" s="184">
        <v>2019</v>
      </c>
    </row>
    <row r="252" spans="1:19" ht="45">
      <c r="A252" s="160" t="s">
        <v>512</v>
      </c>
      <c r="B252" s="88" t="s">
        <v>1024</v>
      </c>
      <c r="C252" s="55" t="s">
        <v>772</v>
      </c>
      <c r="D252" s="27" t="s">
        <v>1008</v>
      </c>
      <c r="E252" s="30" t="s">
        <v>968</v>
      </c>
      <c r="F252" s="81">
        <v>24</v>
      </c>
      <c r="G252" s="81"/>
      <c r="H252" s="81">
        <v>24</v>
      </c>
      <c r="I252" s="158"/>
      <c r="J252" s="56">
        <v>0.43230000000000002</v>
      </c>
      <c r="K252" s="58" t="s">
        <v>986</v>
      </c>
      <c r="L252" s="105"/>
      <c r="M252" s="51"/>
      <c r="N252" s="158"/>
      <c r="O252" s="158"/>
      <c r="P252" s="158"/>
      <c r="Q252" s="158"/>
      <c r="S252" s="184">
        <v>2019</v>
      </c>
    </row>
    <row r="253" spans="1:19" ht="45">
      <c r="A253" s="160" t="s">
        <v>512</v>
      </c>
      <c r="B253" s="88" t="s">
        <v>293</v>
      </c>
      <c r="C253" s="55" t="s">
        <v>287</v>
      </c>
      <c r="D253" s="27" t="s">
        <v>1214</v>
      </c>
      <c r="E253" s="30" t="s">
        <v>1116</v>
      </c>
      <c r="F253" s="81">
        <v>40</v>
      </c>
      <c r="G253" s="81"/>
      <c r="H253" s="81">
        <v>40</v>
      </c>
      <c r="I253" s="158"/>
      <c r="J253" s="171">
        <v>0</v>
      </c>
      <c r="K253" s="58" t="s">
        <v>38</v>
      </c>
      <c r="L253" s="105"/>
      <c r="M253" s="51"/>
      <c r="N253" s="158"/>
      <c r="O253" s="158"/>
      <c r="P253" s="158"/>
      <c r="Q253" s="158"/>
      <c r="S253" s="184">
        <v>2019</v>
      </c>
    </row>
    <row r="254" spans="1:19" ht="67.5">
      <c r="A254" s="160" t="s">
        <v>512</v>
      </c>
      <c r="B254" s="88" t="s">
        <v>1323</v>
      </c>
      <c r="C254" s="55" t="s">
        <v>1324</v>
      </c>
      <c r="D254" s="55" t="s">
        <v>1165</v>
      </c>
      <c r="E254" s="82" t="s">
        <v>1113</v>
      </c>
      <c r="F254" s="81">
        <v>84</v>
      </c>
      <c r="G254" s="81"/>
      <c r="H254" s="81"/>
      <c r="I254" s="176">
        <v>84</v>
      </c>
      <c r="J254" s="56">
        <v>0</v>
      </c>
      <c r="K254" s="58" t="s">
        <v>521</v>
      </c>
      <c r="L254" s="105"/>
      <c r="M254" s="51"/>
      <c r="N254" s="158"/>
      <c r="O254" s="158"/>
      <c r="P254" s="158"/>
      <c r="Q254" s="158"/>
      <c r="S254" s="184">
        <v>2019</v>
      </c>
    </row>
    <row r="255" spans="1:19" ht="67.5">
      <c r="A255" s="160" t="s">
        <v>512</v>
      </c>
      <c r="B255" s="88" t="s">
        <v>1323</v>
      </c>
      <c r="C255" s="55" t="s">
        <v>1324</v>
      </c>
      <c r="D255" s="55" t="s">
        <v>1165</v>
      </c>
      <c r="E255" s="82" t="s">
        <v>1113</v>
      </c>
      <c r="F255" s="81"/>
      <c r="G255" s="81">
        <v>1</v>
      </c>
      <c r="H255" s="81"/>
      <c r="I255" s="176">
        <v>1</v>
      </c>
      <c r="J255" s="56">
        <v>0</v>
      </c>
      <c r="K255" s="58" t="s">
        <v>521</v>
      </c>
      <c r="L255" s="105"/>
      <c r="M255" s="51"/>
      <c r="N255" s="158"/>
      <c r="O255" s="158"/>
      <c r="P255" s="158"/>
      <c r="Q255" s="158"/>
      <c r="S255" s="184">
        <v>2019</v>
      </c>
    </row>
    <row r="256" spans="1:19" ht="45">
      <c r="A256" s="160" t="s">
        <v>512</v>
      </c>
      <c r="B256" s="88" t="s">
        <v>1253</v>
      </c>
      <c r="C256" s="55" t="s">
        <v>119</v>
      </c>
      <c r="D256" s="27" t="s">
        <v>295</v>
      </c>
      <c r="E256" s="82" t="s">
        <v>1232</v>
      </c>
      <c r="F256" s="81"/>
      <c r="G256" s="81">
        <v>16</v>
      </c>
      <c r="H256" s="81">
        <v>16</v>
      </c>
      <c r="I256" s="176">
        <v>16</v>
      </c>
      <c r="J256" s="56">
        <v>0</v>
      </c>
      <c r="K256" s="58" t="s">
        <v>521</v>
      </c>
      <c r="L256" s="105"/>
      <c r="M256" s="51"/>
      <c r="N256" s="158"/>
      <c r="O256" s="158"/>
      <c r="P256" s="158"/>
      <c r="Q256" s="158"/>
      <c r="S256" s="184">
        <v>2019</v>
      </c>
    </row>
    <row r="257" spans="1:19" ht="45">
      <c r="A257" s="160" t="s">
        <v>512</v>
      </c>
      <c r="B257" s="88" t="s">
        <v>1254</v>
      </c>
      <c r="C257" s="55" t="s">
        <v>119</v>
      </c>
      <c r="D257" s="27" t="s">
        <v>295</v>
      </c>
      <c r="E257" s="82" t="s">
        <v>1232</v>
      </c>
      <c r="F257" s="81"/>
      <c r="G257" s="81">
        <v>29</v>
      </c>
      <c r="H257" s="81">
        <v>29</v>
      </c>
      <c r="I257" s="176">
        <v>29</v>
      </c>
      <c r="J257" s="56">
        <v>0</v>
      </c>
      <c r="K257" s="58" t="s">
        <v>521</v>
      </c>
      <c r="L257" s="105"/>
      <c r="M257" s="51"/>
      <c r="N257" s="158"/>
      <c r="O257" s="158"/>
      <c r="P257" s="158"/>
      <c r="Q257" s="158"/>
      <c r="S257" s="184">
        <v>2019</v>
      </c>
    </row>
    <row r="258" spans="1:19" ht="45">
      <c r="A258" s="160" t="s">
        <v>512</v>
      </c>
      <c r="B258" s="88" t="s">
        <v>1255</v>
      </c>
      <c r="C258" s="55" t="s">
        <v>119</v>
      </c>
      <c r="D258" s="27" t="s">
        <v>295</v>
      </c>
      <c r="E258" s="82" t="s">
        <v>1232</v>
      </c>
      <c r="F258" s="81"/>
      <c r="G258" s="81">
        <v>37</v>
      </c>
      <c r="H258" s="81">
        <v>37</v>
      </c>
      <c r="I258" s="176">
        <v>37</v>
      </c>
      <c r="J258" s="56">
        <v>0</v>
      </c>
      <c r="K258" s="58" t="s">
        <v>521</v>
      </c>
      <c r="L258" s="105"/>
      <c r="M258" s="51"/>
      <c r="N258" s="158"/>
      <c r="O258" s="158"/>
      <c r="P258" s="158"/>
      <c r="Q258" s="158"/>
      <c r="S258" s="184">
        <v>2019</v>
      </c>
    </row>
    <row r="259" spans="1:19">
      <c r="A259" s="117" t="s">
        <v>513</v>
      </c>
      <c r="B259" s="117"/>
      <c r="C259" s="117"/>
      <c r="D259" s="117"/>
      <c r="E259" s="138"/>
      <c r="F259" s="21">
        <v>31</v>
      </c>
      <c r="G259" s="21">
        <v>93</v>
      </c>
      <c r="H259" s="21">
        <v>124</v>
      </c>
      <c r="I259" s="21">
        <v>0</v>
      </c>
      <c r="J259" s="20"/>
      <c r="K259" s="62"/>
      <c r="L259" s="105"/>
      <c r="M259" s="21">
        <v>44</v>
      </c>
      <c r="N259" s="21">
        <v>175</v>
      </c>
      <c r="O259" s="21">
        <v>181</v>
      </c>
      <c r="P259" s="21">
        <v>93</v>
      </c>
      <c r="Q259" s="21">
        <v>133</v>
      </c>
      <c r="S259" s="187">
        <v>2019</v>
      </c>
    </row>
    <row r="260" spans="1:19" ht="45">
      <c r="A260" s="160" t="s">
        <v>513</v>
      </c>
      <c r="B260" s="55" t="s">
        <v>781</v>
      </c>
      <c r="C260" s="55" t="s">
        <v>782</v>
      </c>
      <c r="D260" s="55" t="s">
        <v>784</v>
      </c>
      <c r="E260" s="30" t="s">
        <v>713</v>
      </c>
      <c r="F260" s="51"/>
      <c r="G260" s="51">
        <v>70</v>
      </c>
      <c r="H260" s="51">
        <v>70</v>
      </c>
      <c r="I260" s="51"/>
      <c r="J260" s="56">
        <v>1</v>
      </c>
      <c r="K260" s="58" t="s">
        <v>646</v>
      </c>
      <c r="L260" s="105"/>
      <c r="M260" s="51"/>
      <c r="N260" s="51"/>
      <c r="O260" s="51"/>
      <c r="P260" s="178">
        <v>70</v>
      </c>
      <c r="Q260" s="178">
        <v>70</v>
      </c>
      <c r="R260">
        <v>2019</v>
      </c>
      <c r="S260" s="184">
        <v>2019</v>
      </c>
    </row>
    <row r="261" spans="1:19" ht="63.75">
      <c r="A261" s="160" t="s">
        <v>513</v>
      </c>
      <c r="B261" s="55" t="s">
        <v>781</v>
      </c>
      <c r="C261" s="55" t="s">
        <v>782</v>
      </c>
      <c r="D261" s="55" t="s">
        <v>784</v>
      </c>
      <c r="E261" s="30" t="s">
        <v>713</v>
      </c>
      <c r="F261" s="51"/>
      <c r="G261" s="51">
        <v>23</v>
      </c>
      <c r="H261" s="51">
        <v>23</v>
      </c>
      <c r="I261" s="51"/>
      <c r="J261" s="56">
        <v>1</v>
      </c>
      <c r="K261" s="58" t="s">
        <v>646</v>
      </c>
      <c r="L261" s="154" t="s">
        <v>1125</v>
      </c>
      <c r="M261" s="51"/>
      <c r="N261" s="51"/>
      <c r="O261" s="51"/>
      <c r="P261" s="178">
        <v>23</v>
      </c>
      <c r="Q261" s="178">
        <v>23</v>
      </c>
      <c r="R261">
        <v>2019</v>
      </c>
      <c r="S261" s="184">
        <v>2019</v>
      </c>
    </row>
    <row r="262" spans="1:19" ht="56.25">
      <c r="A262" s="160" t="s">
        <v>513</v>
      </c>
      <c r="B262" s="114" t="s">
        <v>1225</v>
      </c>
      <c r="C262" s="55" t="s">
        <v>302</v>
      </c>
      <c r="D262" s="87" t="s">
        <v>306</v>
      </c>
      <c r="E262" s="30" t="s">
        <v>1116</v>
      </c>
      <c r="F262" s="51">
        <v>31</v>
      </c>
      <c r="G262" s="51"/>
      <c r="H262" s="51">
        <v>31</v>
      </c>
      <c r="I262" s="51"/>
      <c r="J262" s="171">
        <v>0</v>
      </c>
      <c r="K262" s="58" t="s">
        <v>38</v>
      </c>
      <c r="L262" s="105"/>
      <c r="M262" s="51"/>
      <c r="N262" s="51"/>
      <c r="O262" s="51"/>
      <c r="P262" s="51"/>
      <c r="Q262" s="51"/>
      <c r="S262" s="184">
        <v>2019</v>
      </c>
    </row>
    <row r="263" spans="1:19">
      <c r="A263" s="117" t="s">
        <v>514</v>
      </c>
      <c r="B263" s="117"/>
      <c r="C263" s="117"/>
      <c r="D263" s="117"/>
      <c r="E263" s="138"/>
      <c r="F263" s="21">
        <v>0</v>
      </c>
      <c r="G263" s="21">
        <v>124</v>
      </c>
      <c r="H263" s="21">
        <v>54</v>
      </c>
      <c r="I263" s="21">
        <v>70</v>
      </c>
      <c r="J263" s="20"/>
      <c r="K263" s="62"/>
      <c r="L263" s="105"/>
      <c r="M263" s="21">
        <v>70</v>
      </c>
      <c r="N263" s="21">
        <v>0</v>
      </c>
      <c r="O263" s="21">
        <v>53</v>
      </c>
      <c r="P263" s="21">
        <v>0</v>
      </c>
      <c r="Q263" s="21">
        <v>0</v>
      </c>
      <c r="S263" s="187">
        <v>2019</v>
      </c>
    </row>
    <row r="264" spans="1:19" ht="56.25">
      <c r="A264" s="160" t="s">
        <v>514</v>
      </c>
      <c r="B264" s="27" t="s">
        <v>1107</v>
      </c>
      <c r="C264" s="27" t="s">
        <v>315</v>
      </c>
      <c r="D264" s="27" t="s">
        <v>317</v>
      </c>
      <c r="E264" s="30" t="s">
        <v>685</v>
      </c>
      <c r="F264" s="158"/>
      <c r="G264" s="158">
        <v>1</v>
      </c>
      <c r="H264" s="158"/>
      <c r="I264" s="158">
        <v>1</v>
      </c>
      <c r="J264" s="24">
        <v>0</v>
      </c>
      <c r="K264" s="58" t="s">
        <v>521</v>
      </c>
      <c r="L264" s="105"/>
      <c r="M264" s="158"/>
      <c r="N264" s="11"/>
      <c r="O264" s="11"/>
      <c r="P264" s="11"/>
      <c r="Q264" s="11"/>
      <c r="S264" s="184">
        <v>2019</v>
      </c>
    </row>
    <row r="265" spans="1:19" ht="56.25">
      <c r="A265" s="160" t="s">
        <v>514</v>
      </c>
      <c r="B265" s="27" t="s">
        <v>785</v>
      </c>
      <c r="C265" s="88" t="s">
        <v>287</v>
      </c>
      <c r="D265" s="88" t="s">
        <v>786</v>
      </c>
      <c r="E265" s="30" t="s">
        <v>715</v>
      </c>
      <c r="F265" s="158"/>
      <c r="G265" s="158">
        <v>54</v>
      </c>
      <c r="H265" s="158">
        <v>54</v>
      </c>
      <c r="I265" s="158"/>
      <c r="J265" s="2">
        <v>0.4637</v>
      </c>
      <c r="K265" s="58" t="s">
        <v>38</v>
      </c>
      <c r="L265" s="105"/>
      <c r="M265" s="158"/>
      <c r="N265" s="158"/>
      <c r="O265" s="158"/>
      <c r="P265" s="158"/>
      <c r="Q265" s="75"/>
      <c r="S265" s="184">
        <v>2019</v>
      </c>
    </row>
    <row r="266" spans="1:19" ht="56.25">
      <c r="A266" s="160" t="s">
        <v>514</v>
      </c>
      <c r="B266" s="27" t="s">
        <v>785</v>
      </c>
      <c r="C266" s="88" t="s">
        <v>287</v>
      </c>
      <c r="D266" s="88" t="s">
        <v>786</v>
      </c>
      <c r="E266" s="30" t="s">
        <v>715</v>
      </c>
      <c r="F266" s="158"/>
      <c r="G266" s="158">
        <v>3</v>
      </c>
      <c r="H266" s="158"/>
      <c r="I266" s="158">
        <v>3</v>
      </c>
      <c r="J266" s="24">
        <v>0</v>
      </c>
      <c r="K266" s="58" t="s">
        <v>521</v>
      </c>
      <c r="L266" s="105"/>
      <c r="M266" s="158"/>
      <c r="N266" s="158"/>
      <c r="O266" s="158"/>
      <c r="P266" s="158"/>
      <c r="Q266" s="158"/>
      <c r="S266" s="184">
        <v>2019</v>
      </c>
    </row>
    <row r="267" spans="1:19" ht="67.5">
      <c r="A267" s="160" t="s">
        <v>514</v>
      </c>
      <c r="B267" s="27" t="s">
        <v>1256</v>
      </c>
      <c r="C267" s="88" t="s">
        <v>287</v>
      </c>
      <c r="D267" s="88" t="s">
        <v>786</v>
      </c>
      <c r="E267" s="30" t="s">
        <v>1232</v>
      </c>
      <c r="F267" s="158"/>
      <c r="G267" s="158">
        <v>66</v>
      </c>
      <c r="H267" s="158"/>
      <c r="I267" s="176">
        <v>66</v>
      </c>
      <c r="J267" s="24">
        <v>0</v>
      </c>
      <c r="K267" s="58" t="s">
        <v>521</v>
      </c>
      <c r="L267" s="105"/>
      <c r="M267" s="158"/>
      <c r="N267" s="158"/>
      <c r="O267" s="158"/>
      <c r="P267" s="158"/>
      <c r="Q267" s="158"/>
      <c r="S267" s="184">
        <v>2019</v>
      </c>
    </row>
    <row r="268" spans="1:19">
      <c r="A268" s="117" t="s">
        <v>1</v>
      </c>
      <c r="B268" s="117"/>
      <c r="C268" s="117"/>
      <c r="D268" s="117"/>
      <c r="E268" s="138"/>
      <c r="F268" s="21">
        <v>0</v>
      </c>
      <c r="G268" s="21">
        <v>152</v>
      </c>
      <c r="H268" s="21">
        <v>0</v>
      </c>
      <c r="I268" s="21">
        <v>30</v>
      </c>
      <c r="J268" s="21">
        <v>142.40000000000003</v>
      </c>
      <c r="K268" s="21">
        <v>0</v>
      </c>
      <c r="L268" s="186"/>
      <c r="M268" s="21">
        <v>158</v>
      </c>
      <c r="N268" s="21">
        <v>60</v>
      </c>
      <c r="O268" s="21">
        <v>67</v>
      </c>
      <c r="P268" s="21">
        <v>0</v>
      </c>
      <c r="Q268" s="21">
        <v>0</v>
      </c>
      <c r="S268" s="187">
        <v>2019</v>
      </c>
    </row>
    <row r="269" spans="1:19" ht="38.25">
      <c r="A269" s="160" t="s">
        <v>1</v>
      </c>
      <c r="B269" s="63" t="s">
        <v>325</v>
      </c>
      <c r="C269" s="22" t="s">
        <v>319</v>
      </c>
      <c r="D269" s="22" t="s">
        <v>320</v>
      </c>
      <c r="E269" s="30" t="s">
        <v>661</v>
      </c>
      <c r="F269" s="23"/>
      <c r="G269" s="23">
        <v>1</v>
      </c>
      <c r="H269" s="23"/>
      <c r="I269" s="23"/>
      <c r="J269" s="24">
        <v>0</v>
      </c>
      <c r="K269" s="58" t="s">
        <v>388</v>
      </c>
      <c r="L269" s="153" t="s">
        <v>640</v>
      </c>
      <c r="M269" s="23"/>
      <c r="N269" s="23"/>
      <c r="O269" s="23"/>
      <c r="P269" s="23"/>
      <c r="Q269" s="23"/>
      <c r="S269" s="184">
        <v>2019</v>
      </c>
    </row>
    <row r="270" spans="1:19" ht="22.5">
      <c r="A270" s="160" t="s">
        <v>1</v>
      </c>
      <c r="B270" s="65" t="s">
        <v>386</v>
      </c>
      <c r="C270" s="22" t="s">
        <v>319</v>
      </c>
      <c r="D270" s="25" t="s">
        <v>320</v>
      </c>
      <c r="E270" s="30" t="s">
        <v>647</v>
      </c>
      <c r="F270" s="23"/>
      <c r="G270" s="23">
        <v>1</v>
      </c>
      <c r="H270" s="23"/>
      <c r="I270" s="23"/>
      <c r="J270" s="24">
        <v>0</v>
      </c>
      <c r="K270" s="58" t="s">
        <v>388</v>
      </c>
      <c r="L270" s="112"/>
      <c r="M270" s="23"/>
      <c r="N270" s="23"/>
      <c r="O270" s="23"/>
      <c r="P270" s="23"/>
      <c r="Q270" s="23"/>
      <c r="S270" s="184">
        <v>2019</v>
      </c>
    </row>
    <row r="271" spans="1:19" ht="38.25">
      <c r="A271" s="160" t="s">
        <v>1</v>
      </c>
      <c r="B271" s="65" t="s">
        <v>591</v>
      </c>
      <c r="C271" s="25" t="s">
        <v>387</v>
      </c>
      <c r="D271" s="25" t="s">
        <v>320</v>
      </c>
      <c r="E271" s="30" t="s">
        <v>635</v>
      </c>
      <c r="F271" s="23"/>
      <c r="G271" s="23">
        <v>1</v>
      </c>
      <c r="H271" s="23"/>
      <c r="I271" s="23"/>
      <c r="J271" s="24">
        <v>0.45</v>
      </c>
      <c r="K271" s="58" t="s">
        <v>38</v>
      </c>
      <c r="L271" s="154" t="s">
        <v>634</v>
      </c>
      <c r="M271" s="23"/>
      <c r="N271" s="23"/>
      <c r="O271" s="23"/>
      <c r="P271" s="23"/>
      <c r="Q271" s="23"/>
      <c r="S271" s="184">
        <v>2019</v>
      </c>
    </row>
    <row r="272" spans="1:19" ht="56.25">
      <c r="A272" s="160" t="s">
        <v>1</v>
      </c>
      <c r="B272" s="22" t="s">
        <v>1204</v>
      </c>
      <c r="C272" s="25" t="s">
        <v>387</v>
      </c>
      <c r="D272" s="25" t="s">
        <v>320</v>
      </c>
      <c r="E272" s="30" t="s">
        <v>635</v>
      </c>
      <c r="F272" s="23"/>
      <c r="G272" s="23">
        <v>1</v>
      </c>
      <c r="H272" s="23"/>
      <c r="I272" s="23">
        <v>1</v>
      </c>
      <c r="J272" s="24">
        <v>0</v>
      </c>
      <c r="K272" s="58" t="s">
        <v>521</v>
      </c>
      <c r="L272" s="105" t="s">
        <v>678</v>
      </c>
      <c r="M272" s="23"/>
      <c r="N272" s="23"/>
      <c r="O272" s="23"/>
      <c r="P272" s="23"/>
      <c r="Q272" s="23"/>
      <c r="S272" s="184">
        <v>2019</v>
      </c>
    </row>
    <row r="273" spans="1:19" ht="22.5">
      <c r="A273" s="160" t="s">
        <v>1</v>
      </c>
      <c r="B273" s="65" t="s">
        <v>592</v>
      </c>
      <c r="C273" s="25" t="s">
        <v>387</v>
      </c>
      <c r="D273" s="25" t="s">
        <v>320</v>
      </c>
      <c r="E273" s="30" t="s">
        <v>635</v>
      </c>
      <c r="F273" s="23"/>
      <c r="G273" s="23">
        <v>1</v>
      </c>
      <c r="H273" s="23"/>
      <c r="I273" s="23">
        <v>1</v>
      </c>
      <c r="J273" s="24">
        <v>0</v>
      </c>
      <c r="K273" s="58" t="s">
        <v>521</v>
      </c>
      <c r="L273" s="105"/>
      <c r="M273" s="23"/>
      <c r="N273" s="23"/>
      <c r="O273" s="23"/>
      <c r="P273" s="23"/>
      <c r="Q273" s="23"/>
      <c r="S273" s="184">
        <v>2019</v>
      </c>
    </row>
    <row r="274" spans="1:19" ht="22.5">
      <c r="A274" s="160" t="s">
        <v>1</v>
      </c>
      <c r="B274" s="65" t="s">
        <v>593</v>
      </c>
      <c r="C274" s="25" t="s">
        <v>387</v>
      </c>
      <c r="D274" s="25" t="s">
        <v>320</v>
      </c>
      <c r="E274" s="30" t="s">
        <v>635</v>
      </c>
      <c r="F274" s="23"/>
      <c r="G274" s="23">
        <v>1</v>
      </c>
      <c r="H274" s="23"/>
      <c r="I274" s="23"/>
      <c r="J274" s="24">
        <v>0.45</v>
      </c>
      <c r="K274" s="58" t="s">
        <v>38</v>
      </c>
      <c r="L274" s="105"/>
      <c r="M274" s="23"/>
      <c r="N274" s="23"/>
      <c r="O274" s="23"/>
      <c r="P274" s="23"/>
      <c r="Q274" s="23"/>
      <c r="S274" s="184">
        <v>2019</v>
      </c>
    </row>
    <row r="275" spans="1:19" ht="22.5">
      <c r="A275" s="160" t="s">
        <v>1</v>
      </c>
      <c r="B275" s="65" t="s">
        <v>594</v>
      </c>
      <c r="C275" s="25" t="s">
        <v>387</v>
      </c>
      <c r="D275" s="25" t="s">
        <v>320</v>
      </c>
      <c r="E275" s="30" t="s">
        <v>635</v>
      </c>
      <c r="F275" s="23"/>
      <c r="G275" s="23">
        <v>1</v>
      </c>
      <c r="H275" s="23"/>
      <c r="I275" s="23">
        <v>1</v>
      </c>
      <c r="J275" s="24">
        <v>0</v>
      </c>
      <c r="K275" s="58" t="s">
        <v>521</v>
      </c>
      <c r="L275" s="105" t="s">
        <v>1046</v>
      </c>
      <c r="M275" s="23"/>
      <c r="N275" s="23"/>
      <c r="O275" s="23"/>
      <c r="P275" s="23"/>
      <c r="Q275" s="23"/>
      <c r="S275" s="184">
        <v>2019</v>
      </c>
    </row>
    <row r="276" spans="1:19" ht="22.5">
      <c r="A276" s="160" t="s">
        <v>1</v>
      </c>
      <c r="B276" s="65" t="s">
        <v>595</v>
      </c>
      <c r="C276" s="25" t="s">
        <v>387</v>
      </c>
      <c r="D276" s="25" t="s">
        <v>320</v>
      </c>
      <c r="E276" s="30" t="s">
        <v>635</v>
      </c>
      <c r="F276" s="23"/>
      <c r="G276" s="23">
        <v>1</v>
      </c>
      <c r="H276" s="23"/>
      <c r="I276" s="23"/>
      <c r="J276" s="171">
        <v>0</v>
      </c>
      <c r="K276" s="58" t="s">
        <v>38</v>
      </c>
      <c r="L276" s="105"/>
      <c r="M276" s="23"/>
      <c r="N276" s="23"/>
      <c r="O276" s="23"/>
      <c r="P276" s="23"/>
      <c r="Q276" s="23"/>
      <c r="S276" s="184">
        <v>2019</v>
      </c>
    </row>
    <row r="277" spans="1:19" ht="45">
      <c r="A277" s="160" t="s">
        <v>1</v>
      </c>
      <c r="B277" s="22" t="s">
        <v>596</v>
      </c>
      <c r="C277" s="25" t="s">
        <v>387</v>
      </c>
      <c r="D277" s="25" t="s">
        <v>320</v>
      </c>
      <c r="E277" s="30" t="s">
        <v>635</v>
      </c>
      <c r="F277" s="23"/>
      <c r="G277" s="23">
        <v>1</v>
      </c>
      <c r="H277" s="23"/>
      <c r="I277" s="23"/>
      <c r="J277" s="24">
        <v>0.45</v>
      </c>
      <c r="K277" s="58" t="s">
        <v>38</v>
      </c>
      <c r="L277" s="105"/>
      <c r="M277" s="23"/>
      <c r="N277" s="23"/>
      <c r="O277" s="23"/>
      <c r="P277" s="23"/>
      <c r="Q277" s="23"/>
      <c r="S277" s="184">
        <v>2019</v>
      </c>
    </row>
    <row r="278" spans="1:19" ht="22.5">
      <c r="A278" s="160" t="s">
        <v>1</v>
      </c>
      <c r="B278" s="65" t="s">
        <v>389</v>
      </c>
      <c r="C278" s="25" t="s">
        <v>387</v>
      </c>
      <c r="D278" s="25" t="s">
        <v>320</v>
      </c>
      <c r="E278" s="30" t="s">
        <v>636</v>
      </c>
      <c r="F278" s="23"/>
      <c r="G278" s="23">
        <v>1</v>
      </c>
      <c r="H278" s="23"/>
      <c r="I278" s="23">
        <v>1</v>
      </c>
      <c r="J278" s="24">
        <v>0</v>
      </c>
      <c r="K278" s="58" t="s">
        <v>521</v>
      </c>
      <c r="L278" s="105"/>
      <c r="M278" s="23"/>
      <c r="N278" s="23"/>
      <c r="O278" s="23"/>
      <c r="P278" s="23"/>
      <c r="Q278" s="23"/>
      <c r="S278" s="184">
        <v>2019</v>
      </c>
    </row>
    <row r="279" spans="1:19" ht="22.5">
      <c r="A279" s="160" t="s">
        <v>1</v>
      </c>
      <c r="B279" s="65" t="s">
        <v>390</v>
      </c>
      <c r="C279" s="25" t="s">
        <v>387</v>
      </c>
      <c r="D279" s="25" t="s">
        <v>320</v>
      </c>
      <c r="E279" s="30" t="s">
        <v>636</v>
      </c>
      <c r="F279" s="23"/>
      <c r="G279" s="23">
        <v>1</v>
      </c>
      <c r="H279" s="23"/>
      <c r="I279" s="23"/>
      <c r="J279" s="24">
        <v>0.45</v>
      </c>
      <c r="K279" s="58" t="s">
        <v>38</v>
      </c>
      <c r="L279" s="105"/>
      <c r="M279" s="23"/>
      <c r="N279" s="23"/>
      <c r="O279" s="23"/>
      <c r="P279" s="23"/>
      <c r="Q279" s="23"/>
      <c r="S279" s="184">
        <v>2019</v>
      </c>
    </row>
    <row r="280" spans="1:19" ht="67.5">
      <c r="A280" s="160" t="s">
        <v>1</v>
      </c>
      <c r="B280" s="22" t="s">
        <v>392</v>
      </c>
      <c r="C280" s="25" t="s">
        <v>387</v>
      </c>
      <c r="D280" s="25" t="s">
        <v>320</v>
      </c>
      <c r="E280" s="30" t="s">
        <v>636</v>
      </c>
      <c r="F280" s="23"/>
      <c r="G280" s="23">
        <v>1</v>
      </c>
      <c r="H280" s="23"/>
      <c r="I280" s="23"/>
      <c r="J280" s="24">
        <v>0.45</v>
      </c>
      <c r="K280" s="58" t="s">
        <v>38</v>
      </c>
      <c r="L280" s="105"/>
      <c r="M280" s="23"/>
      <c r="N280" s="23"/>
      <c r="O280" s="23"/>
      <c r="P280" s="23"/>
      <c r="Q280" s="23"/>
      <c r="S280" s="184">
        <v>2019</v>
      </c>
    </row>
    <row r="281" spans="1:19" ht="22.5">
      <c r="A281" s="160" t="s">
        <v>1</v>
      </c>
      <c r="B281" s="65" t="s">
        <v>393</v>
      </c>
      <c r="C281" s="25" t="s">
        <v>387</v>
      </c>
      <c r="D281" s="25" t="s">
        <v>320</v>
      </c>
      <c r="E281" s="30" t="s">
        <v>636</v>
      </c>
      <c r="F281" s="23"/>
      <c r="G281" s="23">
        <v>1</v>
      </c>
      <c r="H281" s="23"/>
      <c r="I281" s="23"/>
      <c r="J281" s="171">
        <v>0</v>
      </c>
      <c r="K281" s="58" t="s">
        <v>38</v>
      </c>
      <c r="L281" s="105" t="s">
        <v>1046</v>
      </c>
      <c r="M281" s="23"/>
      <c r="N281" s="23"/>
      <c r="O281" s="23"/>
      <c r="P281" s="23"/>
      <c r="Q281" s="23"/>
      <c r="S281" s="184">
        <v>2019</v>
      </c>
    </row>
    <row r="282" spans="1:19" ht="67.5">
      <c r="A282" s="160" t="s">
        <v>1</v>
      </c>
      <c r="B282" s="65" t="s">
        <v>395</v>
      </c>
      <c r="C282" s="25" t="s">
        <v>438</v>
      </c>
      <c r="D282" s="25" t="s">
        <v>320</v>
      </c>
      <c r="E282" s="30" t="s">
        <v>636</v>
      </c>
      <c r="F282" s="23"/>
      <c r="G282" s="23">
        <v>1</v>
      </c>
      <c r="H282" s="23"/>
      <c r="I282" s="23"/>
      <c r="J282" s="24">
        <v>0</v>
      </c>
      <c r="K282" s="58" t="s">
        <v>388</v>
      </c>
      <c r="L282" s="105"/>
      <c r="M282" s="23"/>
      <c r="N282" s="23"/>
      <c r="O282" s="23"/>
      <c r="P282" s="23"/>
      <c r="Q282" s="23"/>
      <c r="S282" s="184">
        <v>2019</v>
      </c>
    </row>
    <row r="283" spans="1:19" ht="67.5">
      <c r="A283" s="160" t="s">
        <v>1</v>
      </c>
      <c r="B283" s="65" t="s">
        <v>396</v>
      </c>
      <c r="C283" s="25" t="s">
        <v>438</v>
      </c>
      <c r="D283" s="25" t="s">
        <v>320</v>
      </c>
      <c r="E283" s="30" t="s">
        <v>636</v>
      </c>
      <c r="F283" s="23"/>
      <c r="G283" s="23">
        <v>1</v>
      </c>
      <c r="H283" s="23"/>
      <c r="I283" s="23"/>
      <c r="J283" s="24">
        <v>0</v>
      </c>
      <c r="K283" s="58" t="s">
        <v>388</v>
      </c>
      <c r="L283" s="105"/>
      <c r="M283" s="23"/>
      <c r="N283" s="23"/>
      <c r="O283" s="23"/>
      <c r="P283" s="23"/>
      <c r="Q283" s="23"/>
      <c r="S283" s="184">
        <v>2019</v>
      </c>
    </row>
    <row r="284" spans="1:19" ht="67.5">
      <c r="A284" s="160" t="s">
        <v>1</v>
      </c>
      <c r="B284" s="22" t="s">
        <v>397</v>
      </c>
      <c r="C284" s="25" t="s">
        <v>438</v>
      </c>
      <c r="D284" s="25" t="s">
        <v>320</v>
      </c>
      <c r="E284" s="30" t="s">
        <v>636</v>
      </c>
      <c r="F284" s="23"/>
      <c r="G284" s="23">
        <v>1</v>
      </c>
      <c r="H284" s="23"/>
      <c r="I284" s="23"/>
      <c r="J284" s="24">
        <v>0</v>
      </c>
      <c r="K284" s="58" t="s">
        <v>388</v>
      </c>
      <c r="L284" s="105"/>
      <c r="M284" s="23"/>
      <c r="N284" s="23"/>
      <c r="O284" s="23"/>
      <c r="P284" s="23"/>
      <c r="Q284" s="23"/>
      <c r="S284" s="184">
        <v>2019</v>
      </c>
    </row>
    <row r="285" spans="1:19" ht="78.75">
      <c r="A285" s="160" t="s">
        <v>1</v>
      </c>
      <c r="B285" s="22" t="s">
        <v>398</v>
      </c>
      <c r="C285" s="25" t="s">
        <v>438</v>
      </c>
      <c r="D285" s="25" t="s">
        <v>320</v>
      </c>
      <c r="E285" s="30" t="s">
        <v>636</v>
      </c>
      <c r="F285" s="23"/>
      <c r="G285" s="23">
        <v>1</v>
      </c>
      <c r="H285" s="23"/>
      <c r="I285" s="23"/>
      <c r="J285" s="24">
        <v>0</v>
      </c>
      <c r="K285" s="58" t="s">
        <v>388</v>
      </c>
      <c r="L285" s="105"/>
      <c r="M285" s="23"/>
      <c r="N285" s="23"/>
      <c r="O285" s="23"/>
      <c r="P285" s="23"/>
      <c r="Q285" s="23"/>
      <c r="S285" s="184">
        <v>2019</v>
      </c>
    </row>
    <row r="286" spans="1:19" ht="67.5">
      <c r="A286" s="160" t="s">
        <v>1</v>
      </c>
      <c r="B286" s="65" t="s">
        <v>400</v>
      </c>
      <c r="C286" s="25" t="s">
        <v>438</v>
      </c>
      <c r="D286" s="25" t="s">
        <v>320</v>
      </c>
      <c r="E286" s="30" t="s">
        <v>636</v>
      </c>
      <c r="F286" s="23"/>
      <c r="G286" s="23">
        <v>1</v>
      </c>
      <c r="H286" s="23"/>
      <c r="I286" s="23"/>
      <c r="J286" s="24">
        <v>0</v>
      </c>
      <c r="K286" s="58" t="s">
        <v>388</v>
      </c>
      <c r="L286" s="105"/>
      <c r="M286" s="23"/>
      <c r="N286" s="23"/>
      <c r="O286" s="23"/>
      <c r="P286" s="23"/>
      <c r="Q286" s="23"/>
      <c r="S286" s="184">
        <v>2019</v>
      </c>
    </row>
    <row r="287" spans="1:19" ht="67.5">
      <c r="A287" s="160" t="s">
        <v>1</v>
      </c>
      <c r="B287" s="22" t="s">
        <v>401</v>
      </c>
      <c r="C287" s="25" t="s">
        <v>438</v>
      </c>
      <c r="D287" s="25" t="s">
        <v>320</v>
      </c>
      <c r="E287" s="30" t="s">
        <v>636</v>
      </c>
      <c r="F287" s="23"/>
      <c r="G287" s="23">
        <v>1</v>
      </c>
      <c r="H287" s="23"/>
      <c r="I287" s="23"/>
      <c r="J287" s="24">
        <v>0</v>
      </c>
      <c r="K287" s="58" t="s">
        <v>388</v>
      </c>
      <c r="L287" s="105"/>
      <c r="M287" s="23"/>
      <c r="N287" s="23"/>
      <c r="O287" s="23"/>
      <c r="P287" s="23"/>
      <c r="Q287" s="23"/>
      <c r="S287" s="184">
        <v>2019</v>
      </c>
    </row>
    <row r="288" spans="1:19" ht="67.5">
      <c r="A288" s="160" t="s">
        <v>1</v>
      </c>
      <c r="B288" s="65" t="s">
        <v>403</v>
      </c>
      <c r="C288" s="25" t="s">
        <v>438</v>
      </c>
      <c r="D288" s="25" t="s">
        <v>320</v>
      </c>
      <c r="E288" s="30" t="s">
        <v>636</v>
      </c>
      <c r="F288" s="23"/>
      <c r="G288" s="23">
        <v>1</v>
      </c>
      <c r="H288" s="23"/>
      <c r="I288" s="23"/>
      <c r="J288" s="24">
        <v>0</v>
      </c>
      <c r="K288" s="58" t="s">
        <v>388</v>
      </c>
      <c r="L288" s="105"/>
      <c r="M288" s="23"/>
      <c r="N288" s="23"/>
      <c r="O288" s="23"/>
      <c r="P288" s="23"/>
      <c r="Q288" s="23"/>
      <c r="S288" s="184">
        <v>2019</v>
      </c>
    </row>
    <row r="289" spans="1:19" ht="67.5">
      <c r="A289" s="160" t="s">
        <v>1</v>
      </c>
      <c r="B289" s="65" t="s">
        <v>404</v>
      </c>
      <c r="C289" s="25" t="s">
        <v>438</v>
      </c>
      <c r="D289" s="25" t="s">
        <v>320</v>
      </c>
      <c r="E289" s="30" t="s">
        <v>636</v>
      </c>
      <c r="F289" s="23"/>
      <c r="G289" s="23">
        <v>1</v>
      </c>
      <c r="H289" s="23"/>
      <c r="I289" s="23"/>
      <c r="J289" s="24">
        <v>0</v>
      </c>
      <c r="K289" s="58" t="s">
        <v>388</v>
      </c>
      <c r="L289" s="105"/>
      <c r="M289" s="23"/>
      <c r="N289" s="23"/>
      <c r="O289" s="23"/>
      <c r="P289" s="23"/>
      <c r="Q289" s="23"/>
      <c r="S289" s="184">
        <v>2019</v>
      </c>
    </row>
    <row r="290" spans="1:19" ht="56.25">
      <c r="A290" s="160" t="s">
        <v>1</v>
      </c>
      <c r="B290" s="25" t="s">
        <v>405</v>
      </c>
      <c r="C290" s="66" t="s">
        <v>438</v>
      </c>
      <c r="D290" s="25" t="s">
        <v>320</v>
      </c>
      <c r="E290" s="30" t="s">
        <v>686</v>
      </c>
      <c r="F290" s="23"/>
      <c r="G290" s="23">
        <v>15</v>
      </c>
      <c r="H290" s="23"/>
      <c r="I290" s="23"/>
      <c r="J290" s="24">
        <v>0</v>
      </c>
      <c r="K290" s="58" t="s">
        <v>388</v>
      </c>
      <c r="L290" s="105"/>
      <c r="M290" s="23"/>
      <c r="N290" s="23"/>
      <c r="O290" s="23"/>
      <c r="P290" s="23"/>
      <c r="Q290" s="23"/>
      <c r="S290" s="184">
        <v>2019</v>
      </c>
    </row>
    <row r="291" spans="1:19" ht="67.5">
      <c r="A291" s="160" t="s">
        <v>1</v>
      </c>
      <c r="B291" s="25" t="s">
        <v>438</v>
      </c>
      <c r="C291" s="25" t="s">
        <v>438</v>
      </c>
      <c r="D291" s="25" t="s">
        <v>320</v>
      </c>
      <c r="E291" s="30" t="s">
        <v>664</v>
      </c>
      <c r="F291" s="23"/>
      <c r="G291" s="23">
        <v>11</v>
      </c>
      <c r="H291" s="23"/>
      <c r="I291" s="23"/>
      <c r="J291" s="24">
        <v>0</v>
      </c>
      <c r="K291" s="58" t="s">
        <v>388</v>
      </c>
      <c r="L291" s="105"/>
      <c r="M291" s="23"/>
      <c r="N291" s="23"/>
      <c r="O291" s="23"/>
      <c r="P291" s="23"/>
      <c r="Q291" s="23"/>
      <c r="S291" s="184">
        <v>2019</v>
      </c>
    </row>
    <row r="292" spans="1:19" ht="67.5">
      <c r="A292" s="160" t="s">
        <v>1</v>
      </c>
      <c r="B292" s="66" t="s">
        <v>888</v>
      </c>
      <c r="C292" s="25" t="s">
        <v>438</v>
      </c>
      <c r="D292" s="25" t="s">
        <v>320</v>
      </c>
      <c r="E292" s="30" t="s">
        <v>664</v>
      </c>
      <c r="F292" s="23"/>
      <c r="G292" s="23">
        <v>1</v>
      </c>
      <c r="H292" s="23"/>
      <c r="I292" s="23"/>
      <c r="J292" s="24">
        <v>0</v>
      </c>
      <c r="K292" s="58" t="s">
        <v>388</v>
      </c>
      <c r="L292" s="105"/>
      <c r="M292" s="23"/>
      <c r="N292" s="23"/>
      <c r="O292" s="23"/>
      <c r="P292" s="23"/>
      <c r="Q292" s="23"/>
      <c r="S292" s="184">
        <v>2019</v>
      </c>
    </row>
    <row r="293" spans="1:19" ht="45">
      <c r="A293" s="160" t="s">
        <v>1</v>
      </c>
      <c r="B293" s="29" t="s">
        <v>525</v>
      </c>
      <c r="C293" s="25" t="s">
        <v>387</v>
      </c>
      <c r="D293" s="88" t="s">
        <v>320</v>
      </c>
      <c r="E293" s="30" t="s">
        <v>650</v>
      </c>
      <c r="F293" s="23"/>
      <c r="G293" s="23">
        <v>1</v>
      </c>
      <c r="H293" s="23"/>
      <c r="I293" s="23"/>
      <c r="J293" s="2">
        <v>0.45</v>
      </c>
      <c r="K293" s="58" t="s">
        <v>38</v>
      </c>
      <c r="L293" s="105"/>
      <c r="M293" s="23"/>
      <c r="N293" s="23"/>
      <c r="O293" s="23"/>
      <c r="P293" s="23"/>
      <c r="Q293" s="23"/>
      <c r="S293" s="184">
        <v>2019</v>
      </c>
    </row>
    <row r="294" spans="1:19" ht="33.75">
      <c r="A294" s="160" t="s">
        <v>1</v>
      </c>
      <c r="B294" s="29" t="s">
        <v>526</v>
      </c>
      <c r="C294" s="25" t="s">
        <v>387</v>
      </c>
      <c r="D294" s="88" t="s">
        <v>320</v>
      </c>
      <c r="E294" s="30" t="s">
        <v>650</v>
      </c>
      <c r="F294" s="23"/>
      <c r="G294" s="23">
        <v>1</v>
      </c>
      <c r="H294" s="23"/>
      <c r="I294" s="23"/>
      <c r="J294" s="2">
        <v>0.45</v>
      </c>
      <c r="K294" s="58" t="s">
        <v>38</v>
      </c>
      <c r="L294" s="105"/>
      <c r="M294" s="23"/>
      <c r="N294" s="23"/>
      <c r="O294" s="23"/>
      <c r="P294" s="23"/>
      <c r="Q294" s="23"/>
      <c r="S294" s="184">
        <v>2019</v>
      </c>
    </row>
    <row r="295" spans="1:19" ht="33.75">
      <c r="A295" s="160" t="s">
        <v>1</v>
      </c>
      <c r="B295" s="29" t="s">
        <v>527</v>
      </c>
      <c r="C295" s="25" t="s">
        <v>387</v>
      </c>
      <c r="D295" s="88" t="s">
        <v>320</v>
      </c>
      <c r="E295" s="30" t="s">
        <v>650</v>
      </c>
      <c r="F295" s="23"/>
      <c r="G295" s="23">
        <v>1</v>
      </c>
      <c r="H295" s="23"/>
      <c r="I295" s="23"/>
      <c r="J295" s="2">
        <v>0.45</v>
      </c>
      <c r="K295" s="58" t="s">
        <v>38</v>
      </c>
      <c r="L295" s="105" t="s">
        <v>1046</v>
      </c>
      <c r="M295" s="23"/>
      <c r="N295" s="23"/>
      <c r="O295" s="23"/>
      <c r="P295" s="23"/>
      <c r="Q295" s="23"/>
      <c r="S295" s="184">
        <v>2019</v>
      </c>
    </row>
    <row r="296" spans="1:19" ht="22.5">
      <c r="A296" s="160" t="s">
        <v>1</v>
      </c>
      <c r="B296" s="29" t="s">
        <v>528</v>
      </c>
      <c r="C296" s="25" t="s">
        <v>387</v>
      </c>
      <c r="D296" s="88" t="s">
        <v>320</v>
      </c>
      <c r="E296" s="30" t="s">
        <v>650</v>
      </c>
      <c r="F296" s="23"/>
      <c r="G296" s="23">
        <v>1</v>
      </c>
      <c r="H296" s="23"/>
      <c r="I296" s="23">
        <v>1</v>
      </c>
      <c r="J296" s="24">
        <v>0</v>
      </c>
      <c r="K296" s="58" t="s">
        <v>521</v>
      </c>
      <c r="L296" s="105"/>
      <c r="M296" s="23"/>
      <c r="N296" s="23"/>
      <c r="O296" s="23"/>
      <c r="P296" s="23"/>
      <c r="Q296" s="23"/>
      <c r="S296" s="184">
        <v>2019</v>
      </c>
    </row>
    <row r="297" spans="1:19" ht="33.75">
      <c r="A297" s="160" t="s">
        <v>1</v>
      </c>
      <c r="B297" s="29" t="s">
        <v>529</v>
      </c>
      <c r="C297" s="25" t="s">
        <v>387</v>
      </c>
      <c r="D297" s="88" t="s">
        <v>320</v>
      </c>
      <c r="E297" s="30" t="s">
        <v>650</v>
      </c>
      <c r="F297" s="23"/>
      <c r="G297" s="23">
        <v>1</v>
      </c>
      <c r="H297" s="23"/>
      <c r="I297" s="23"/>
      <c r="J297" s="2">
        <v>0.45</v>
      </c>
      <c r="K297" s="58" t="s">
        <v>38</v>
      </c>
      <c r="L297" s="105"/>
      <c r="M297" s="23"/>
      <c r="N297" s="23"/>
      <c r="O297" s="23"/>
      <c r="P297" s="23"/>
      <c r="Q297" s="23"/>
      <c r="S297" s="184">
        <v>2019</v>
      </c>
    </row>
    <row r="298" spans="1:19" ht="67.5">
      <c r="A298" s="160" t="s">
        <v>1</v>
      </c>
      <c r="B298" s="29" t="s">
        <v>530</v>
      </c>
      <c r="C298" s="25" t="s">
        <v>438</v>
      </c>
      <c r="D298" s="88" t="s">
        <v>320</v>
      </c>
      <c r="E298" s="30" t="s">
        <v>650</v>
      </c>
      <c r="F298" s="23"/>
      <c r="G298" s="23">
        <v>1</v>
      </c>
      <c r="H298" s="23"/>
      <c r="I298" s="23"/>
      <c r="J298" s="24">
        <v>0</v>
      </c>
      <c r="K298" s="58" t="s">
        <v>388</v>
      </c>
      <c r="L298" s="105"/>
      <c r="M298" s="23"/>
      <c r="N298" s="23"/>
      <c r="O298" s="23"/>
      <c r="P298" s="23"/>
      <c r="Q298" s="23"/>
      <c r="S298" s="184">
        <v>2019</v>
      </c>
    </row>
    <row r="299" spans="1:19" ht="67.5">
      <c r="A299" s="160" t="s">
        <v>1</v>
      </c>
      <c r="B299" s="29" t="s">
        <v>531</v>
      </c>
      <c r="C299" s="25" t="s">
        <v>438</v>
      </c>
      <c r="D299" s="88" t="s">
        <v>320</v>
      </c>
      <c r="E299" s="30" t="s">
        <v>650</v>
      </c>
      <c r="F299" s="23"/>
      <c r="G299" s="23">
        <v>1</v>
      </c>
      <c r="H299" s="23"/>
      <c r="I299" s="23"/>
      <c r="J299" s="24">
        <v>0</v>
      </c>
      <c r="K299" s="58" t="s">
        <v>388</v>
      </c>
      <c r="L299" s="105"/>
      <c r="M299" s="23"/>
      <c r="N299" s="23"/>
      <c r="O299" s="23"/>
      <c r="P299" s="23"/>
      <c r="Q299" s="23"/>
      <c r="S299" s="184">
        <v>2019</v>
      </c>
    </row>
    <row r="300" spans="1:19" ht="67.5">
      <c r="A300" s="160" t="s">
        <v>1</v>
      </c>
      <c r="B300" s="29" t="s">
        <v>533</v>
      </c>
      <c r="C300" s="25" t="s">
        <v>438</v>
      </c>
      <c r="D300" s="88" t="s">
        <v>320</v>
      </c>
      <c r="E300" s="30" t="s">
        <v>650</v>
      </c>
      <c r="F300" s="23"/>
      <c r="G300" s="23">
        <v>1</v>
      </c>
      <c r="H300" s="23"/>
      <c r="I300" s="23"/>
      <c r="J300" s="24">
        <v>0</v>
      </c>
      <c r="K300" s="58" t="s">
        <v>388</v>
      </c>
      <c r="L300" s="105"/>
      <c r="M300" s="23"/>
      <c r="N300" s="23"/>
      <c r="O300" s="23"/>
      <c r="P300" s="23"/>
      <c r="Q300" s="23"/>
      <c r="S300" s="184">
        <v>2019</v>
      </c>
    </row>
    <row r="301" spans="1:19" ht="22.5">
      <c r="A301" s="160" t="s">
        <v>1</v>
      </c>
      <c r="B301" s="68" t="s">
        <v>536</v>
      </c>
      <c r="C301" s="25" t="s">
        <v>387</v>
      </c>
      <c r="D301" s="88" t="s">
        <v>320</v>
      </c>
      <c r="E301" s="30" t="s">
        <v>663</v>
      </c>
      <c r="F301" s="23"/>
      <c r="G301" s="23">
        <v>1</v>
      </c>
      <c r="H301" s="23"/>
      <c r="I301" s="50"/>
      <c r="J301" s="2">
        <v>0.45</v>
      </c>
      <c r="K301" s="58" t="s">
        <v>38</v>
      </c>
      <c r="L301" s="105"/>
      <c r="M301" s="23"/>
      <c r="N301" s="50"/>
      <c r="O301" s="50"/>
      <c r="P301" s="50"/>
      <c r="Q301" s="50"/>
      <c r="S301" s="184">
        <v>2019</v>
      </c>
    </row>
    <row r="302" spans="1:19" ht="33.75">
      <c r="A302" s="160" t="s">
        <v>1</v>
      </c>
      <c r="B302" s="68" t="s">
        <v>537</v>
      </c>
      <c r="C302" s="25" t="s">
        <v>387</v>
      </c>
      <c r="D302" s="88" t="s">
        <v>320</v>
      </c>
      <c r="E302" s="30" t="s">
        <v>657</v>
      </c>
      <c r="F302" s="23"/>
      <c r="G302" s="23">
        <v>1</v>
      </c>
      <c r="H302" s="23"/>
      <c r="I302" s="50"/>
      <c r="J302" s="2">
        <v>0.45</v>
      </c>
      <c r="K302" s="58" t="s">
        <v>38</v>
      </c>
      <c r="L302" s="105"/>
      <c r="M302" s="23"/>
      <c r="N302" s="50"/>
      <c r="O302" s="50"/>
      <c r="P302" s="50"/>
      <c r="Q302" s="50"/>
      <c r="S302" s="184">
        <v>2019</v>
      </c>
    </row>
    <row r="303" spans="1:19" ht="22.5">
      <c r="A303" s="160" t="s">
        <v>1</v>
      </c>
      <c r="B303" s="68" t="s">
        <v>538</v>
      </c>
      <c r="C303" s="25" t="s">
        <v>387</v>
      </c>
      <c r="D303" s="88" t="s">
        <v>320</v>
      </c>
      <c r="E303" s="30" t="s">
        <v>659</v>
      </c>
      <c r="F303" s="23"/>
      <c r="G303" s="23">
        <v>1</v>
      </c>
      <c r="H303" s="23"/>
      <c r="I303" s="50"/>
      <c r="J303" s="2">
        <v>0.45</v>
      </c>
      <c r="K303" s="58" t="s">
        <v>38</v>
      </c>
      <c r="L303" s="105"/>
      <c r="M303" s="23"/>
      <c r="N303" s="50"/>
      <c r="O303" s="50"/>
      <c r="P303" s="50"/>
      <c r="Q303" s="50"/>
      <c r="S303" s="184">
        <v>2019</v>
      </c>
    </row>
    <row r="304" spans="1:19" ht="67.5">
      <c r="A304" s="160" t="s">
        <v>1</v>
      </c>
      <c r="B304" s="29" t="s">
        <v>571</v>
      </c>
      <c r="C304" s="25" t="s">
        <v>438</v>
      </c>
      <c r="D304" s="88" t="s">
        <v>320</v>
      </c>
      <c r="E304" s="30" t="s">
        <v>630</v>
      </c>
      <c r="F304" s="23"/>
      <c r="G304" s="23">
        <v>1</v>
      </c>
      <c r="H304" s="23"/>
      <c r="I304" s="23"/>
      <c r="J304" s="2">
        <v>0</v>
      </c>
      <c r="K304" s="58" t="s">
        <v>388</v>
      </c>
      <c r="L304" s="105"/>
      <c r="M304" s="23"/>
      <c r="N304" s="23"/>
      <c r="O304" s="23"/>
      <c r="P304" s="23"/>
      <c r="Q304" s="23"/>
      <c r="S304" s="184">
        <v>2019</v>
      </c>
    </row>
    <row r="305" spans="1:19" ht="67.5">
      <c r="A305" s="160" t="s">
        <v>1</v>
      </c>
      <c r="B305" s="29" t="s">
        <v>572</v>
      </c>
      <c r="C305" s="25" t="s">
        <v>438</v>
      </c>
      <c r="D305" s="88" t="s">
        <v>320</v>
      </c>
      <c r="E305" s="30" t="s">
        <v>630</v>
      </c>
      <c r="F305" s="23"/>
      <c r="G305" s="23">
        <v>1</v>
      </c>
      <c r="H305" s="23"/>
      <c r="I305" s="23"/>
      <c r="J305" s="2">
        <v>0</v>
      </c>
      <c r="K305" s="58" t="s">
        <v>388</v>
      </c>
      <c r="L305" s="105"/>
      <c r="M305" s="23"/>
      <c r="N305" s="23"/>
      <c r="O305" s="23"/>
      <c r="P305" s="23"/>
      <c r="Q305" s="23"/>
      <c r="S305" s="184">
        <v>2019</v>
      </c>
    </row>
    <row r="306" spans="1:19" ht="67.5">
      <c r="A306" s="160" t="s">
        <v>1</v>
      </c>
      <c r="B306" s="29" t="s">
        <v>573</v>
      </c>
      <c r="C306" s="25" t="s">
        <v>438</v>
      </c>
      <c r="D306" s="88" t="s">
        <v>320</v>
      </c>
      <c r="E306" s="30" t="s">
        <v>630</v>
      </c>
      <c r="F306" s="23"/>
      <c r="G306" s="23">
        <v>1</v>
      </c>
      <c r="H306" s="23"/>
      <c r="I306" s="23"/>
      <c r="J306" s="2">
        <v>0</v>
      </c>
      <c r="K306" s="58" t="s">
        <v>388</v>
      </c>
      <c r="L306" s="105"/>
      <c r="M306" s="23"/>
      <c r="N306" s="23"/>
      <c r="O306" s="23"/>
      <c r="P306" s="23"/>
      <c r="Q306" s="23"/>
      <c r="S306" s="184">
        <v>2019</v>
      </c>
    </row>
    <row r="307" spans="1:19" ht="67.5">
      <c r="A307" s="160" t="s">
        <v>1</v>
      </c>
      <c r="B307" s="29" t="s">
        <v>574</v>
      </c>
      <c r="C307" s="25" t="s">
        <v>438</v>
      </c>
      <c r="D307" s="88" t="s">
        <v>320</v>
      </c>
      <c r="E307" s="30" t="s">
        <v>630</v>
      </c>
      <c r="F307" s="23"/>
      <c r="G307" s="23">
        <v>1</v>
      </c>
      <c r="H307" s="23"/>
      <c r="I307" s="23"/>
      <c r="J307" s="2">
        <v>0</v>
      </c>
      <c r="K307" s="58" t="s">
        <v>388</v>
      </c>
      <c r="L307" s="105"/>
      <c r="M307" s="23"/>
      <c r="N307" s="23"/>
      <c r="O307" s="23"/>
      <c r="P307" s="23"/>
      <c r="Q307" s="23"/>
      <c r="S307" s="184">
        <v>2019</v>
      </c>
    </row>
    <row r="308" spans="1:19" ht="67.5">
      <c r="A308" s="160" t="s">
        <v>1</v>
      </c>
      <c r="B308" s="29" t="s">
        <v>575</v>
      </c>
      <c r="C308" s="25" t="s">
        <v>438</v>
      </c>
      <c r="D308" s="88" t="s">
        <v>320</v>
      </c>
      <c r="E308" s="30" t="s">
        <v>630</v>
      </c>
      <c r="F308" s="23"/>
      <c r="G308" s="23">
        <v>1</v>
      </c>
      <c r="H308" s="23"/>
      <c r="I308" s="23"/>
      <c r="J308" s="2">
        <v>0</v>
      </c>
      <c r="K308" s="58" t="s">
        <v>388</v>
      </c>
      <c r="L308" s="105"/>
      <c r="M308" s="23"/>
      <c r="N308" s="23"/>
      <c r="O308" s="23"/>
      <c r="P308" s="23"/>
      <c r="Q308" s="23"/>
      <c r="S308" s="184">
        <v>2019</v>
      </c>
    </row>
    <row r="309" spans="1:19" ht="67.5">
      <c r="A309" s="160" t="s">
        <v>1</v>
      </c>
      <c r="B309" s="29" t="s">
        <v>576</v>
      </c>
      <c r="C309" s="25" t="s">
        <v>438</v>
      </c>
      <c r="D309" s="88" t="s">
        <v>320</v>
      </c>
      <c r="E309" s="30" t="s">
        <v>630</v>
      </c>
      <c r="F309" s="23"/>
      <c r="G309" s="23">
        <v>1</v>
      </c>
      <c r="H309" s="23"/>
      <c r="I309" s="23"/>
      <c r="J309" s="2">
        <v>0</v>
      </c>
      <c r="K309" s="58" t="s">
        <v>388</v>
      </c>
      <c r="L309" s="105"/>
      <c r="M309" s="23"/>
      <c r="N309" s="23"/>
      <c r="O309" s="23"/>
      <c r="P309" s="23"/>
      <c r="Q309" s="23"/>
      <c r="S309" s="184">
        <v>2019</v>
      </c>
    </row>
    <row r="310" spans="1:19" ht="22.5">
      <c r="A310" s="160" t="s">
        <v>1</v>
      </c>
      <c r="B310" s="29" t="s">
        <v>577</v>
      </c>
      <c r="C310" s="25" t="s">
        <v>387</v>
      </c>
      <c r="D310" s="88" t="s">
        <v>320</v>
      </c>
      <c r="E310" s="30" t="s">
        <v>630</v>
      </c>
      <c r="F310" s="23"/>
      <c r="G310" s="23">
        <v>1</v>
      </c>
      <c r="H310" s="23"/>
      <c r="I310" s="23"/>
      <c r="J310" s="2">
        <v>0.45</v>
      </c>
      <c r="K310" s="58" t="s">
        <v>38</v>
      </c>
      <c r="L310" s="105"/>
      <c r="M310" s="23"/>
      <c r="N310" s="23"/>
      <c r="O310" s="23"/>
      <c r="P310" s="23"/>
      <c r="Q310" s="23"/>
      <c r="S310" s="184">
        <v>2019</v>
      </c>
    </row>
    <row r="311" spans="1:19" ht="45">
      <c r="A311" s="160" t="s">
        <v>1</v>
      </c>
      <c r="B311" s="29" t="s">
        <v>914</v>
      </c>
      <c r="C311" s="25" t="s">
        <v>387</v>
      </c>
      <c r="D311" s="88" t="s">
        <v>320</v>
      </c>
      <c r="E311" s="30" t="s">
        <v>630</v>
      </c>
      <c r="F311" s="23"/>
      <c r="G311" s="23">
        <v>1</v>
      </c>
      <c r="H311" s="23"/>
      <c r="I311" s="23">
        <v>1</v>
      </c>
      <c r="J311" s="2">
        <v>0</v>
      </c>
      <c r="K311" s="58" t="s">
        <v>521</v>
      </c>
      <c r="L311" s="105"/>
      <c r="M311" s="23"/>
      <c r="N311" s="23"/>
      <c r="O311" s="23"/>
      <c r="P311" s="23"/>
      <c r="Q311" s="23"/>
      <c r="S311" s="184">
        <v>2019</v>
      </c>
    </row>
    <row r="312" spans="1:19" ht="33.75">
      <c r="A312" s="160" t="s">
        <v>1</v>
      </c>
      <c r="B312" s="29" t="s">
        <v>590</v>
      </c>
      <c r="C312" s="25" t="s">
        <v>387</v>
      </c>
      <c r="D312" s="88" t="s">
        <v>320</v>
      </c>
      <c r="E312" s="30" t="s">
        <v>663</v>
      </c>
      <c r="F312" s="23"/>
      <c r="G312" s="23">
        <v>1</v>
      </c>
      <c r="H312" s="23"/>
      <c r="I312" s="23"/>
      <c r="J312" s="2">
        <v>0</v>
      </c>
      <c r="K312" s="88" t="s">
        <v>388</v>
      </c>
      <c r="L312" s="105"/>
      <c r="M312" s="23"/>
      <c r="N312" s="23"/>
      <c r="O312" s="23"/>
      <c r="P312" s="23"/>
      <c r="Q312" s="23"/>
      <c r="S312" s="184">
        <v>2019</v>
      </c>
    </row>
    <row r="313" spans="1:19" ht="33.75">
      <c r="A313" s="160" t="s">
        <v>1</v>
      </c>
      <c r="B313" s="29" t="s">
        <v>587</v>
      </c>
      <c r="C313" s="25" t="s">
        <v>387</v>
      </c>
      <c r="D313" s="88" t="s">
        <v>320</v>
      </c>
      <c r="E313" s="30" t="s">
        <v>663</v>
      </c>
      <c r="F313" s="23"/>
      <c r="G313" s="23"/>
      <c r="H313" s="23"/>
      <c r="I313" s="23"/>
      <c r="J313" s="2">
        <v>1</v>
      </c>
      <c r="K313" s="58" t="s">
        <v>646</v>
      </c>
      <c r="L313" s="110" t="s">
        <v>814</v>
      </c>
      <c r="M313" s="23"/>
      <c r="N313" s="23"/>
      <c r="O313" s="50"/>
      <c r="P313" s="50"/>
      <c r="Q313" s="50"/>
      <c r="S313" s="184">
        <v>2019</v>
      </c>
    </row>
    <row r="314" spans="1:19" ht="67.5">
      <c r="A314" s="160" t="s">
        <v>1</v>
      </c>
      <c r="B314" s="29" t="s">
        <v>624</v>
      </c>
      <c r="C314" s="25" t="s">
        <v>387</v>
      </c>
      <c r="D314" s="88" t="s">
        <v>320</v>
      </c>
      <c r="E314" s="30" t="s">
        <v>655</v>
      </c>
      <c r="F314" s="23"/>
      <c r="G314" s="23">
        <v>1</v>
      </c>
      <c r="H314" s="23"/>
      <c r="I314" s="23"/>
      <c r="J314" s="2">
        <v>0.45</v>
      </c>
      <c r="K314" s="58" t="s">
        <v>38</v>
      </c>
      <c r="L314" s="105" t="s">
        <v>677</v>
      </c>
      <c r="M314" s="23"/>
      <c r="N314" s="23"/>
      <c r="O314" s="23"/>
      <c r="P314" s="23"/>
      <c r="Q314" s="23"/>
      <c r="S314" s="184">
        <v>2019</v>
      </c>
    </row>
    <row r="315" spans="1:19" ht="22.5">
      <c r="A315" s="160" t="s">
        <v>1</v>
      </c>
      <c r="B315" s="29" t="s">
        <v>626</v>
      </c>
      <c r="C315" s="25" t="s">
        <v>387</v>
      </c>
      <c r="D315" s="88" t="s">
        <v>320</v>
      </c>
      <c r="E315" s="30" t="s">
        <v>647</v>
      </c>
      <c r="F315" s="23"/>
      <c r="G315" s="23">
        <v>1</v>
      </c>
      <c r="H315" s="23"/>
      <c r="I315" s="23"/>
      <c r="J315" s="2">
        <v>0.45</v>
      </c>
      <c r="K315" s="58" t="s">
        <v>38</v>
      </c>
      <c r="L315" s="105" t="s">
        <v>677</v>
      </c>
      <c r="M315" s="23"/>
      <c r="N315" s="23"/>
      <c r="O315" s="23"/>
      <c r="P315" s="23"/>
      <c r="Q315" s="23"/>
      <c r="S315" s="184">
        <v>2019</v>
      </c>
    </row>
    <row r="316" spans="1:19" ht="22.5">
      <c r="A316" s="160" t="s">
        <v>1</v>
      </c>
      <c r="B316" s="29" t="s">
        <v>804</v>
      </c>
      <c r="C316" s="25" t="s">
        <v>387</v>
      </c>
      <c r="D316" s="88" t="s">
        <v>320</v>
      </c>
      <c r="E316" s="30" t="s">
        <v>659</v>
      </c>
      <c r="F316" s="23"/>
      <c r="G316" s="23">
        <v>1</v>
      </c>
      <c r="H316" s="23"/>
      <c r="I316" s="23"/>
      <c r="J316" s="2">
        <v>0.45</v>
      </c>
      <c r="K316" s="58" t="s">
        <v>38</v>
      </c>
      <c r="L316" s="105"/>
      <c r="M316" s="23"/>
      <c r="N316" s="23"/>
      <c r="O316" s="23"/>
      <c r="P316" s="23"/>
      <c r="Q316" s="23"/>
      <c r="S316" s="184">
        <v>2019</v>
      </c>
    </row>
    <row r="317" spans="1:19" ht="67.5">
      <c r="A317" s="160" t="s">
        <v>1</v>
      </c>
      <c r="B317" s="88" t="s">
        <v>1203</v>
      </c>
      <c r="C317" s="25" t="s">
        <v>387</v>
      </c>
      <c r="D317" s="88" t="s">
        <v>320</v>
      </c>
      <c r="E317" s="30" t="s">
        <v>659</v>
      </c>
      <c r="F317" s="23"/>
      <c r="G317" s="23">
        <v>1</v>
      </c>
      <c r="H317" s="23"/>
      <c r="I317" s="23"/>
      <c r="J317" s="2">
        <v>0.45</v>
      </c>
      <c r="K317" s="58" t="s">
        <v>38</v>
      </c>
      <c r="L317" s="105"/>
      <c r="M317" s="23"/>
      <c r="N317" s="23"/>
      <c r="O317" s="23"/>
      <c r="P317" s="23"/>
      <c r="Q317" s="23"/>
      <c r="S317" s="184">
        <v>2019</v>
      </c>
    </row>
    <row r="318" spans="1:19" ht="33.75">
      <c r="A318" s="160" t="s">
        <v>1</v>
      </c>
      <c r="B318" s="29" t="s">
        <v>1201</v>
      </c>
      <c r="C318" s="25" t="s">
        <v>387</v>
      </c>
      <c r="D318" s="88" t="s">
        <v>320</v>
      </c>
      <c r="E318" s="30" t="s">
        <v>647</v>
      </c>
      <c r="F318" s="23"/>
      <c r="G318" s="23">
        <v>1</v>
      </c>
      <c r="H318" s="23"/>
      <c r="I318" s="23"/>
      <c r="J318" s="2">
        <v>0.45</v>
      </c>
      <c r="K318" s="58" t="s">
        <v>38</v>
      </c>
      <c r="L318" s="105"/>
      <c r="M318" s="23"/>
      <c r="N318" s="23"/>
      <c r="O318" s="23"/>
      <c r="P318" s="23"/>
      <c r="Q318" s="23"/>
      <c r="S318" s="184">
        <v>2019</v>
      </c>
    </row>
    <row r="319" spans="1:19" ht="45">
      <c r="A319" s="160" t="s">
        <v>1</v>
      </c>
      <c r="B319" s="29" t="s">
        <v>994</v>
      </c>
      <c r="C319" s="25" t="s">
        <v>387</v>
      </c>
      <c r="D319" s="88" t="s">
        <v>320</v>
      </c>
      <c r="E319" s="30" t="s">
        <v>647</v>
      </c>
      <c r="F319" s="23"/>
      <c r="G319" s="23">
        <v>1</v>
      </c>
      <c r="H319" s="23"/>
      <c r="I319" s="23"/>
      <c r="J319" s="2">
        <v>0.45</v>
      </c>
      <c r="K319" s="58" t="s">
        <v>38</v>
      </c>
      <c r="L319" s="110" t="s">
        <v>816</v>
      </c>
      <c r="M319" s="23"/>
      <c r="N319" s="23"/>
      <c r="O319" s="23"/>
      <c r="P319" s="23"/>
      <c r="Q319" s="23"/>
      <c r="S319" s="184">
        <v>2019</v>
      </c>
    </row>
    <row r="320" spans="1:19" ht="22.5">
      <c r="A320" s="160" t="s">
        <v>1</v>
      </c>
      <c r="B320" s="29" t="s">
        <v>820</v>
      </c>
      <c r="C320" s="25" t="s">
        <v>387</v>
      </c>
      <c r="D320" s="88" t="s">
        <v>320</v>
      </c>
      <c r="E320" s="30" t="s">
        <v>647</v>
      </c>
      <c r="F320" s="23"/>
      <c r="G320" s="23">
        <v>1</v>
      </c>
      <c r="H320" s="23"/>
      <c r="I320" s="23"/>
      <c r="J320" s="2">
        <v>0.45</v>
      </c>
      <c r="K320" s="58" t="s">
        <v>38</v>
      </c>
      <c r="L320" s="110" t="s">
        <v>912</v>
      </c>
      <c r="M320" s="23"/>
      <c r="N320" s="50"/>
      <c r="O320" s="50"/>
      <c r="P320" s="50"/>
      <c r="Q320" s="50"/>
      <c r="S320" s="184">
        <v>2019</v>
      </c>
    </row>
    <row r="321" spans="1:19" ht="22.5">
      <c r="A321" s="160" t="s">
        <v>1</v>
      </c>
      <c r="B321" s="29" t="s">
        <v>824</v>
      </c>
      <c r="C321" s="25" t="s">
        <v>387</v>
      </c>
      <c r="D321" s="88" t="s">
        <v>320</v>
      </c>
      <c r="E321" s="30" t="s">
        <v>647</v>
      </c>
      <c r="F321" s="23"/>
      <c r="G321" s="23">
        <v>1</v>
      </c>
      <c r="H321" s="23"/>
      <c r="I321" s="23"/>
      <c r="J321" s="2">
        <v>0.45</v>
      </c>
      <c r="K321" s="58" t="s">
        <v>38</v>
      </c>
      <c r="L321" s="105"/>
      <c r="M321" s="23"/>
      <c r="N321" s="23"/>
      <c r="O321" s="23"/>
      <c r="P321" s="23"/>
      <c r="Q321" s="23"/>
      <c r="S321" s="184">
        <v>2019</v>
      </c>
    </row>
    <row r="322" spans="1:19" ht="67.5">
      <c r="A322" s="160" t="s">
        <v>1</v>
      </c>
      <c r="B322" s="29" t="s">
        <v>1029</v>
      </c>
      <c r="C322" s="25" t="s">
        <v>438</v>
      </c>
      <c r="D322" s="88" t="s">
        <v>320</v>
      </c>
      <c r="E322" s="30" t="s">
        <v>713</v>
      </c>
      <c r="F322" s="23"/>
      <c r="G322" s="23">
        <v>1</v>
      </c>
      <c r="H322" s="23"/>
      <c r="I322" s="50"/>
      <c r="J322" s="2">
        <v>0</v>
      </c>
      <c r="K322" s="88" t="s">
        <v>388</v>
      </c>
      <c r="L322" s="105"/>
      <c r="M322" s="23"/>
      <c r="N322" s="50"/>
      <c r="O322" s="50"/>
      <c r="P322" s="50"/>
      <c r="Q322" s="50"/>
      <c r="S322" s="184">
        <v>2019</v>
      </c>
    </row>
    <row r="323" spans="1:19" ht="67.5">
      <c r="A323" s="160" t="s">
        <v>1</v>
      </c>
      <c r="B323" s="29" t="s">
        <v>891</v>
      </c>
      <c r="C323" s="25" t="s">
        <v>438</v>
      </c>
      <c r="D323" s="88" t="s">
        <v>320</v>
      </c>
      <c r="E323" s="30" t="s">
        <v>713</v>
      </c>
      <c r="F323" s="23"/>
      <c r="G323" s="23">
        <v>1</v>
      </c>
      <c r="H323" s="23"/>
      <c r="I323" s="50"/>
      <c r="J323" s="2">
        <v>0</v>
      </c>
      <c r="K323" s="88" t="s">
        <v>388</v>
      </c>
      <c r="L323" s="105"/>
      <c r="M323" s="23"/>
      <c r="N323" s="50"/>
      <c r="O323" s="50"/>
      <c r="P323" s="50"/>
      <c r="Q323" s="50"/>
      <c r="S323" s="184">
        <v>2019</v>
      </c>
    </row>
    <row r="324" spans="1:19" ht="67.5">
      <c r="A324" s="160" t="s">
        <v>1</v>
      </c>
      <c r="B324" s="29" t="s">
        <v>889</v>
      </c>
      <c r="C324" s="25" t="s">
        <v>438</v>
      </c>
      <c r="D324" s="88" t="s">
        <v>320</v>
      </c>
      <c r="E324" s="30" t="s">
        <v>713</v>
      </c>
      <c r="F324" s="23"/>
      <c r="G324" s="23">
        <v>1</v>
      </c>
      <c r="H324" s="23"/>
      <c r="I324" s="50"/>
      <c r="J324" s="2">
        <v>0</v>
      </c>
      <c r="K324" s="88" t="s">
        <v>388</v>
      </c>
      <c r="L324" s="105"/>
      <c r="M324" s="23"/>
      <c r="N324" s="50"/>
      <c r="O324" s="50"/>
      <c r="P324" s="50"/>
      <c r="Q324" s="50"/>
      <c r="S324" s="184">
        <v>2019</v>
      </c>
    </row>
    <row r="325" spans="1:19" ht="67.5">
      <c r="A325" s="160" t="s">
        <v>1</v>
      </c>
      <c r="B325" s="29" t="s">
        <v>1075</v>
      </c>
      <c r="C325" s="25" t="s">
        <v>438</v>
      </c>
      <c r="D325" s="88" t="s">
        <v>320</v>
      </c>
      <c r="E325" s="30" t="s">
        <v>713</v>
      </c>
      <c r="F325" s="23"/>
      <c r="G325" s="23">
        <v>1</v>
      </c>
      <c r="H325" s="23"/>
      <c r="I325" s="50"/>
      <c r="J325" s="2">
        <v>0</v>
      </c>
      <c r="K325" s="88" t="s">
        <v>388</v>
      </c>
      <c r="L325" s="105"/>
      <c r="M325" s="23"/>
      <c r="N325" s="50"/>
      <c r="O325" s="50"/>
      <c r="P325" s="50"/>
      <c r="Q325" s="50"/>
      <c r="S325" s="184">
        <v>2019</v>
      </c>
    </row>
    <row r="326" spans="1:19" ht="67.5">
      <c r="A326" s="160" t="s">
        <v>1</v>
      </c>
      <c r="B326" s="29" t="s">
        <v>890</v>
      </c>
      <c r="C326" s="25" t="s">
        <v>438</v>
      </c>
      <c r="D326" s="88" t="s">
        <v>320</v>
      </c>
      <c r="E326" s="30" t="s">
        <v>713</v>
      </c>
      <c r="F326" s="23"/>
      <c r="G326" s="23">
        <v>1</v>
      </c>
      <c r="H326" s="23"/>
      <c r="I326" s="50"/>
      <c r="J326" s="2">
        <v>0</v>
      </c>
      <c r="K326" s="88" t="s">
        <v>388</v>
      </c>
      <c r="L326" s="105"/>
      <c r="M326" s="23"/>
      <c r="N326" s="50"/>
      <c r="O326" s="50"/>
      <c r="P326" s="50"/>
      <c r="Q326" s="50"/>
      <c r="S326" s="184">
        <v>2019</v>
      </c>
    </row>
    <row r="327" spans="1:19" ht="67.5">
      <c r="A327" s="160" t="s">
        <v>1</v>
      </c>
      <c r="B327" s="29" t="s">
        <v>1202</v>
      </c>
      <c r="C327" s="25" t="s">
        <v>387</v>
      </c>
      <c r="D327" s="88" t="s">
        <v>320</v>
      </c>
      <c r="E327" s="30" t="s">
        <v>659</v>
      </c>
      <c r="F327" s="23"/>
      <c r="G327" s="23">
        <v>1</v>
      </c>
      <c r="H327" s="23"/>
      <c r="I327" s="50"/>
      <c r="J327" s="2">
        <v>0.45</v>
      </c>
      <c r="K327" s="58" t="s">
        <v>38</v>
      </c>
      <c r="L327" s="105"/>
      <c r="M327" s="23"/>
      <c r="N327" s="50"/>
      <c r="O327" s="50"/>
      <c r="P327" s="50"/>
      <c r="Q327" s="50"/>
      <c r="S327" s="184">
        <v>2019</v>
      </c>
    </row>
    <row r="328" spans="1:19" ht="45">
      <c r="A328" s="160" t="s">
        <v>1</v>
      </c>
      <c r="B328" s="29" t="s">
        <v>896</v>
      </c>
      <c r="C328" s="25" t="s">
        <v>387</v>
      </c>
      <c r="D328" s="88" t="s">
        <v>320</v>
      </c>
      <c r="E328" s="30" t="s">
        <v>647</v>
      </c>
      <c r="F328" s="23"/>
      <c r="G328" s="23">
        <v>1</v>
      </c>
      <c r="H328" s="23"/>
      <c r="I328" s="23"/>
      <c r="J328" s="2">
        <v>0.45</v>
      </c>
      <c r="K328" s="58" t="s">
        <v>38</v>
      </c>
      <c r="L328" s="105"/>
      <c r="M328" s="23"/>
      <c r="N328" s="50"/>
      <c r="O328" s="50"/>
      <c r="P328" s="50"/>
      <c r="Q328" s="50"/>
      <c r="S328" s="184">
        <v>2019</v>
      </c>
    </row>
    <row r="329" spans="1:19" ht="45">
      <c r="A329" s="160" t="s">
        <v>1</v>
      </c>
      <c r="B329" s="29" t="s">
        <v>898</v>
      </c>
      <c r="C329" s="25" t="s">
        <v>387</v>
      </c>
      <c r="D329" s="88" t="s">
        <v>320</v>
      </c>
      <c r="E329" s="30" t="s">
        <v>647</v>
      </c>
      <c r="F329" s="23"/>
      <c r="G329" s="23">
        <v>1</v>
      </c>
      <c r="H329" s="23"/>
      <c r="I329" s="23"/>
      <c r="J329" s="2">
        <v>0.45</v>
      </c>
      <c r="K329" s="58" t="s">
        <v>38</v>
      </c>
      <c r="L329" s="105"/>
      <c r="M329" s="23"/>
      <c r="N329" s="50"/>
      <c r="O329" s="50"/>
      <c r="P329" s="50"/>
      <c r="Q329" s="50"/>
      <c r="S329" s="184">
        <v>2019</v>
      </c>
    </row>
    <row r="330" spans="1:19" ht="56.25">
      <c r="A330" s="160" t="s">
        <v>1</v>
      </c>
      <c r="B330" s="29" t="s">
        <v>899</v>
      </c>
      <c r="C330" s="25" t="s">
        <v>387</v>
      </c>
      <c r="D330" s="88" t="s">
        <v>320</v>
      </c>
      <c r="E330" s="30" t="s">
        <v>647</v>
      </c>
      <c r="F330" s="23"/>
      <c r="G330" s="23">
        <v>1</v>
      </c>
      <c r="H330" s="23"/>
      <c r="I330" s="23"/>
      <c r="J330" s="2">
        <v>0.45</v>
      </c>
      <c r="K330" s="58" t="s">
        <v>38</v>
      </c>
      <c r="L330" s="105"/>
      <c r="M330" s="23"/>
      <c r="N330" s="50"/>
      <c r="O330" s="50"/>
      <c r="P330" s="50"/>
      <c r="Q330" s="50"/>
      <c r="S330" s="184">
        <v>2019</v>
      </c>
    </row>
    <row r="331" spans="1:19" ht="33.75">
      <c r="A331" s="160" t="s">
        <v>1</v>
      </c>
      <c r="B331" s="29" t="s">
        <v>900</v>
      </c>
      <c r="C331" s="25" t="s">
        <v>387</v>
      </c>
      <c r="D331" s="88" t="s">
        <v>320</v>
      </c>
      <c r="E331" s="30" t="s">
        <v>663</v>
      </c>
      <c r="F331" s="23"/>
      <c r="G331" s="23">
        <v>1</v>
      </c>
      <c r="H331" s="23"/>
      <c r="I331" s="23">
        <v>1</v>
      </c>
      <c r="J331" s="2">
        <v>0</v>
      </c>
      <c r="K331" s="58" t="s">
        <v>521</v>
      </c>
      <c r="L331" s="105"/>
      <c r="M331" s="23"/>
      <c r="N331" s="50"/>
      <c r="O331" s="50"/>
      <c r="P331" s="50"/>
      <c r="Q331" s="50"/>
      <c r="S331" s="184">
        <v>2019</v>
      </c>
    </row>
    <row r="332" spans="1:19" ht="22.5">
      <c r="A332" s="160" t="s">
        <v>1</v>
      </c>
      <c r="B332" s="29" t="s">
        <v>904</v>
      </c>
      <c r="C332" s="25" t="s">
        <v>387</v>
      </c>
      <c r="D332" s="88" t="s">
        <v>320</v>
      </c>
      <c r="E332" s="30" t="s">
        <v>715</v>
      </c>
      <c r="F332" s="23"/>
      <c r="G332" s="23">
        <v>1</v>
      </c>
      <c r="H332" s="23"/>
      <c r="I332" s="50"/>
      <c r="J332" s="2">
        <v>0</v>
      </c>
      <c r="K332" s="88" t="s">
        <v>388</v>
      </c>
      <c r="L332" s="105"/>
      <c r="M332" s="23"/>
      <c r="N332" s="50"/>
      <c r="O332" s="50"/>
      <c r="P332" s="50"/>
      <c r="Q332" s="50"/>
      <c r="S332" s="184">
        <v>2019</v>
      </c>
    </row>
    <row r="333" spans="1:19" ht="22.5">
      <c r="A333" s="160" t="s">
        <v>1</v>
      </c>
      <c r="B333" s="29" t="s">
        <v>905</v>
      </c>
      <c r="C333" s="25" t="s">
        <v>387</v>
      </c>
      <c r="D333" s="88" t="s">
        <v>320</v>
      </c>
      <c r="E333" s="30" t="s">
        <v>715</v>
      </c>
      <c r="F333" s="23"/>
      <c r="G333" s="23">
        <v>1</v>
      </c>
      <c r="H333" s="23"/>
      <c r="I333" s="50"/>
      <c r="J333" s="2">
        <v>0</v>
      </c>
      <c r="K333" s="88" t="s">
        <v>388</v>
      </c>
      <c r="L333" s="105"/>
      <c r="M333" s="23"/>
      <c r="N333" s="50"/>
      <c r="O333" s="50"/>
      <c r="P333" s="50"/>
      <c r="Q333" s="50"/>
      <c r="S333" s="184">
        <v>2019</v>
      </c>
    </row>
    <row r="334" spans="1:19" ht="67.5">
      <c r="A334" s="160" t="s">
        <v>1</v>
      </c>
      <c r="B334" s="29" t="s">
        <v>906</v>
      </c>
      <c r="C334" s="25" t="s">
        <v>438</v>
      </c>
      <c r="D334" s="88" t="s">
        <v>320</v>
      </c>
      <c r="E334" s="30" t="s">
        <v>715</v>
      </c>
      <c r="F334" s="23"/>
      <c r="G334" s="23">
        <v>1</v>
      </c>
      <c r="H334" s="23"/>
      <c r="I334" s="50"/>
      <c r="J334" s="2">
        <v>0</v>
      </c>
      <c r="K334" s="88" t="s">
        <v>388</v>
      </c>
      <c r="L334" s="105"/>
      <c r="M334" s="23"/>
      <c r="N334" s="50"/>
      <c r="O334" s="50"/>
      <c r="P334" s="50"/>
      <c r="Q334" s="50"/>
      <c r="S334" s="184">
        <v>2019</v>
      </c>
    </row>
    <row r="335" spans="1:19" ht="67.5">
      <c r="A335" s="160" t="s">
        <v>1</v>
      </c>
      <c r="B335" s="29" t="s">
        <v>907</v>
      </c>
      <c r="C335" s="25" t="s">
        <v>438</v>
      </c>
      <c r="D335" s="88" t="s">
        <v>320</v>
      </c>
      <c r="E335" s="30" t="s">
        <v>715</v>
      </c>
      <c r="F335" s="23"/>
      <c r="G335" s="23">
        <v>1</v>
      </c>
      <c r="H335" s="23"/>
      <c r="I335" s="50"/>
      <c r="J335" s="2">
        <v>0</v>
      </c>
      <c r="K335" s="88" t="s">
        <v>388</v>
      </c>
      <c r="L335" s="105"/>
      <c r="M335" s="23"/>
      <c r="N335" s="50"/>
      <c r="O335" s="50"/>
      <c r="P335" s="50"/>
      <c r="Q335" s="50"/>
      <c r="S335" s="184">
        <v>2019</v>
      </c>
    </row>
    <row r="336" spans="1:19" ht="33.75">
      <c r="A336" s="160" t="s">
        <v>1</v>
      </c>
      <c r="B336" s="29" t="s">
        <v>908</v>
      </c>
      <c r="C336" s="25" t="s">
        <v>387</v>
      </c>
      <c r="D336" s="88" t="s">
        <v>320</v>
      </c>
      <c r="E336" s="30" t="s">
        <v>715</v>
      </c>
      <c r="F336" s="23"/>
      <c r="G336" s="23">
        <v>1</v>
      </c>
      <c r="H336" s="23"/>
      <c r="I336" s="50"/>
      <c r="J336" s="2">
        <v>0</v>
      </c>
      <c r="K336" s="88" t="s">
        <v>388</v>
      </c>
      <c r="L336" s="105"/>
      <c r="M336" s="23"/>
      <c r="N336" s="50"/>
      <c r="O336" s="50"/>
      <c r="P336" s="50"/>
      <c r="Q336" s="50"/>
      <c r="S336" s="184">
        <v>2019</v>
      </c>
    </row>
    <row r="337" spans="1:19" ht="22.5">
      <c r="A337" s="160" t="s">
        <v>1</v>
      </c>
      <c r="B337" s="29" t="s">
        <v>901</v>
      </c>
      <c r="C337" s="25" t="s">
        <v>387</v>
      </c>
      <c r="D337" s="88" t="s">
        <v>320</v>
      </c>
      <c r="E337" s="30" t="s">
        <v>715</v>
      </c>
      <c r="F337" s="23"/>
      <c r="G337" s="23">
        <v>1</v>
      </c>
      <c r="H337" s="23"/>
      <c r="I337" s="23"/>
      <c r="J337" s="2">
        <v>0.45</v>
      </c>
      <c r="K337" s="58" t="s">
        <v>38</v>
      </c>
      <c r="L337" s="105"/>
      <c r="M337" s="23"/>
      <c r="N337" s="50"/>
      <c r="O337" s="50"/>
      <c r="P337" s="50"/>
      <c r="Q337" s="50"/>
      <c r="S337" s="184">
        <v>2019</v>
      </c>
    </row>
    <row r="338" spans="1:19" ht="67.5">
      <c r="A338" s="160" t="s">
        <v>1</v>
      </c>
      <c r="B338" s="29" t="s">
        <v>910</v>
      </c>
      <c r="C338" s="25" t="s">
        <v>438</v>
      </c>
      <c r="D338" s="88" t="s">
        <v>320</v>
      </c>
      <c r="E338" s="30" t="s">
        <v>731</v>
      </c>
      <c r="F338" s="23"/>
      <c r="G338" s="23">
        <v>1</v>
      </c>
      <c r="H338" s="23"/>
      <c r="I338" s="50"/>
      <c r="J338" s="2">
        <v>0</v>
      </c>
      <c r="K338" s="88" t="s">
        <v>388</v>
      </c>
      <c r="L338" s="105"/>
      <c r="M338" s="23"/>
      <c r="N338" s="50"/>
      <c r="O338" s="50"/>
      <c r="P338" s="50"/>
      <c r="Q338" s="50"/>
      <c r="S338" s="184">
        <v>2019</v>
      </c>
    </row>
    <row r="339" spans="1:19" ht="67.5">
      <c r="A339" s="160" t="s">
        <v>1</v>
      </c>
      <c r="B339" s="29" t="s">
        <v>909</v>
      </c>
      <c r="C339" s="25" t="s">
        <v>438</v>
      </c>
      <c r="D339" s="88" t="s">
        <v>320</v>
      </c>
      <c r="E339" s="30" t="s">
        <v>731</v>
      </c>
      <c r="F339" s="23"/>
      <c r="G339" s="23">
        <v>1</v>
      </c>
      <c r="H339" s="23"/>
      <c r="I339" s="23"/>
      <c r="J339" s="2">
        <v>0</v>
      </c>
      <c r="K339" s="88" t="s">
        <v>388</v>
      </c>
      <c r="L339" s="105"/>
      <c r="M339" s="23"/>
      <c r="N339" s="50"/>
      <c r="O339" s="50"/>
      <c r="P339" s="50"/>
      <c r="Q339" s="50"/>
      <c r="S339" s="184">
        <v>2019</v>
      </c>
    </row>
    <row r="340" spans="1:19" ht="67.5">
      <c r="A340" s="160" t="s">
        <v>1</v>
      </c>
      <c r="B340" s="25" t="s">
        <v>953</v>
      </c>
      <c r="C340" s="25" t="s">
        <v>387</v>
      </c>
      <c r="D340" s="88" t="s">
        <v>320</v>
      </c>
      <c r="E340" s="30" t="s">
        <v>968</v>
      </c>
      <c r="F340" s="159"/>
      <c r="G340" s="159">
        <v>1</v>
      </c>
      <c r="H340" s="159"/>
      <c r="I340" s="23">
        <v>1</v>
      </c>
      <c r="J340" s="2">
        <v>0</v>
      </c>
      <c r="K340" s="88" t="s">
        <v>521</v>
      </c>
      <c r="L340" s="105"/>
      <c r="M340" s="23"/>
      <c r="N340" s="50"/>
      <c r="O340" s="50"/>
      <c r="P340" s="50"/>
      <c r="Q340" s="50"/>
      <c r="S340" s="184">
        <v>2019</v>
      </c>
    </row>
    <row r="341" spans="1:19" ht="56.25">
      <c r="A341" s="160" t="s">
        <v>1</v>
      </c>
      <c r="B341" s="25" t="s">
        <v>954</v>
      </c>
      <c r="C341" s="25" t="s">
        <v>387</v>
      </c>
      <c r="D341" s="88" t="s">
        <v>320</v>
      </c>
      <c r="E341" s="30" t="s">
        <v>968</v>
      </c>
      <c r="F341" s="159"/>
      <c r="G341" s="159">
        <v>1</v>
      </c>
      <c r="H341" s="159"/>
      <c r="I341" s="23"/>
      <c r="J341" s="2">
        <v>0.45</v>
      </c>
      <c r="K341" s="58" t="s">
        <v>38</v>
      </c>
      <c r="L341" s="105"/>
      <c r="M341" s="23"/>
      <c r="N341" s="50"/>
      <c r="O341" s="50"/>
      <c r="P341" s="50"/>
      <c r="Q341" s="50"/>
      <c r="S341" s="184">
        <v>2019</v>
      </c>
    </row>
    <row r="342" spans="1:19" ht="56.25">
      <c r="A342" s="160" t="s">
        <v>1</v>
      </c>
      <c r="B342" s="25" t="s">
        <v>955</v>
      </c>
      <c r="C342" s="25" t="s">
        <v>387</v>
      </c>
      <c r="D342" s="88" t="s">
        <v>320</v>
      </c>
      <c r="E342" s="30" t="s">
        <v>968</v>
      </c>
      <c r="F342" s="159"/>
      <c r="G342" s="159">
        <v>1</v>
      </c>
      <c r="H342" s="159"/>
      <c r="I342" s="23"/>
      <c r="J342" s="2">
        <v>0.45</v>
      </c>
      <c r="K342" s="58" t="s">
        <v>38</v>
      </c>
      <c r="L342" s="105"/>
      <c r="M342" s="23"/>
      <c r="N342" s="50"/>
      <c r="O342" s="50"/>
      <c r="P342" s="50"/>
      <c r="Q342" s="50"/>
      <c r="S342" s="184">
        <v>2019</v>
      </c>
    </row>
    <row r="343" spans="1:19" ht="22.5">
      <c r="A343" s="160" t="s">
        <v>1</v>
      </c>
      <c r="B343" s="66" t="s">
        <v>956</v>
      </c>
      <c r="C343" s="25" t="s">
        <v>387</v>
      </c>
      <c r="D343" s="88" t="s">
        <v>320</v>
      </c>
      <c r="E343" s="30" t="s">
        <v>968</v>
      </c>
      <c r="F343" s="159"/>
      <c r="G343" s="159">
        <v>1</v>
      </c>
      <c r="H343" s="159"/>
      <c r="I343" s="23"/>
      <c r="J343" s="2">
        <v>0.45</v>
      </c>
      <c r="K343" s="58" t="s">
        <v>38</v>
      </c>
      <c r="L343" s="105"/>
      <c r="M343" s="23"/>
      <c r="N343" s="50"/>
      <c r="O343" s="50"/>
      <c r="P343" s="50"/>
      <c r="Q343" s="50"/>
      <c r="S343" s="184">
        <v>2019</v>
      </c>
    </row>
    <row r="344" spans="1:19" ht="22.5">
      <c r="A344" s="160" t="s">
        <v>1</v>
      </c>
      <c r="B344" s="66" t="s">
        <v>957</v>
      </c>
      <c r="C344" s="25" t="s">
        <v>387</v>
      </c>
      <c r="D344" s="88" t="s">
        <v>320</v>
      </c>
      <c r="E344" s="30" t="s">
        <v>968</v>
      </c>
      <c r="F344" s="159"/>
      <c r="G344" s="159">
        <v>1</v>
      </c>
      <c r="H344" s="159"/>
      <c r="I344" s="23"/>
      <c r="J344" s="133">
        <v>0</v>
      </c>
      <c r="K344" s="58" t="s">
        <v>38</v>
      </c>
      <c r="L344" s="105"/>
      <c r="M344" s="23"/>
      <c r="N344" s="50"/>
      <c r="O344" s="50"/>
      <c r="P344" s="50"/>
      <c r="Q344" s="50"/>
      <c r="S344" s="184">
        <v>2019</v>
      </c>
    </row>
    <row r="345" spans="1:19" ht="22.5">
      <c r="A345" s="160" t="s">
        <v>1</v>
      </c>
      <c r="B345" s="66" t="s">
        <v>958</v>
      </c>
      <c r="C345" s="25" t="s">
        <v>387</v>
      </c>
      <c r="D345" s="88" t="s">
        <v>320</v>
      </c>
      <c r="E345" s="30" t="s">
        <v>968</v>
      </c>
      <c r="F345" s="159"/>
      <c r="G345" s="159">
        <v>1</v>
      </c>
      <c r="H345" s="159"/>
      <c r="I345" s="23"/>
      <c r="J345" s="2">
        <v>0</v>
      </c>
      <c r="K345" s="88" t="s">
        <v>38</v>
      </c>
      <c r="L345" s="105"/>
      <c r="M345" s="23"/>
      <c r="N345" s="50"/>
      <c r="O345" s="50"/>
      <c r="P345" s="50"/>
      <c r="Q345" s="50"/>
      <c r="S345" s="184">
        <v>2019</v>
      </c>
    </row>
    <row r="346" spans="1:19" ht="22.5">
      <c r="A346" s="160" t="s">
        <v>1</v>
      </c>
      <c r="B346" s="66" t="s">
        <v>959</v>
      </c>
      <c r="C346" s="25" t="s">
        <v>387</v>
      </c>
      <c r="D346" s="88" t="s">
        <v>320</v>
      </c>
      <c r="E346" s="30" t="s">
        <v>968</v>
      </c>
      <c r="F346" s="159"/>
      <c r="G346" s="159">
        <v>1</v>
      </c>
      <c r="H346" s="159"/>
      <c r="I346" s="23"/>
      <c r="J346" s="2">
        <v>0</v>
      </c>
      <c r="K346" s="88" t="s">
        <v>38</v>
      </c>
      <c r="L346" s="105"/>
      <c r="M346" s="23"/>
      <c r="N346" s="50"/>
      <c r="O346" s="50"/>
      <c r="P346" s="50"/>
      <c r="Q346" s="50"/>
      <c r="S346" s="184">
        <v>2019</v>
      </c>
    </row>
    <row r="347" spans="1:19" ht="22.5">
      <c r="A347" s="160" t="s">
        <v>1</v>
      </c>
      <c r="B347" s="66" t="s">
        <v>960</v>
      </c>
      <c r="C347" s="25" t="s">
        <v>387</v>
      </c>
      <c r="D347" s="88" t="s">
        <v>320</v>
      </c>
      <c r="E347" s="30" t="s">
        <v>968</v>
      </c>
      <c r="F347" s="159"/>
      <c r="G347" s="159">
        <v>1</v>
      </c>
      <c r="H347" s="159"/>
      <c r="I347" s="23">
        <v>1</v>
      </c>
      <c r="J347" s="2">
        <v>0</v>
      </c>
      <c r="K347" s="88" t="s">
        <v>521</v>
      </c>
      <c r="L347" s="105"/>
      <c r="M347" s="23"/>
      <c r="N347" s="50"/>
      <c r="O347" s="50"/>
      <c r="P347" s="50"/>
      <c r="Q347" s="50"/>
      <c r="S347" s="184">
        <v>2019</v>
      </c>
    </row>
    <row r="348" spans="1:19" ht="22.5">
      <c r="A348" s="160" t="s">
        <v>1</v>
      </c>
      <c r="B348" s="66" t="s">
        <v>961</v>
      </c>
      <c r="C348" s="25" t="s">
        <v>387</v>
      </c>
      <c r="D348" s="88" t="s">
        <v>320</v>
      </c>
      <c r="E348" s="30" t="s">
        <v>968</v>
      </c>
      <c r="F348" s="159"/>
      <c r="G348" s="159">
        <v>1</v>
      </c>
      <c r="H348" s="159"/>
      <c r="I348" s="23">
        <v>1</v>
      </c>
      <c r="J348" s="2">
        <v>0</v>
      </c>
      <c r="K348" s="88" t="s">
        <v>521</v>
      </c>
      <c r="L348" s="105"/>
      <c r="M348" s="23"/>
      <c r="N348" s="50"/>
      <c r="O348" s="50"/>
      <c r="P348" s="50"/>
      <c r="Q348" s="50"/>
      <c r="S348" s="184">
        <v>2019</v>
      </c>
    </row>
    <row r="349" spans="1:19" ht="22.5">
      <c r="A349" s="160" t="s">
        <v>1</v>
      </c>
      <c r="B349" s="66" t="s">
        <v>962</v>
      </c>
      <c r="C349" s="25" t="s">
        <v>387</v>
      </c>
      <c r="D349" s="88" t="s">
        <v>320</v>
      </c>
      <c r="E349" s="30" t="s">
        <v>968</v>
      </c>
      <c r="F349" s="159"/>
      <c r="G349" s="159">
        <v>1</v>
      </c>
      <c r="H349" s="159"/>
      <c r="I349" s="23">
        <v>1</v>
      </c>
      <c r="J349" s="2">
        <v>0</v>
      </c>
      <c r="K349" s="88" t="s">
        <v>521</v>
      </c>
      <c r="L349" s="105"/>
      <c r="M349" s="23"/>
      <c r="N349" s="50"/>
      <c r="O349" s="50"/>
      <c r="P349" s="50"/>
      <c r="Q349" s="50"/>
      <c r="S349" s="184">
        <v>2019</v>
      </c>
    </row>
    <row r="350" spans="1:19" ht="78.75">
      <c r="A350" s="160" t="s">
        <v>1</v>
      </c>
      <c r="B350" s="25" t="s">
        <v>963</v>
      </c>
      <c r="C350" s="25" t="s">
        <v>387</v>
      </c>
      <c r="D350" s="88" t="s">
        <v>320</v>
      </c>
      <c r="E350" s="30" t="s">
        <v>968</v>
      </c>
      <c r="F350" s="159"/>
      <c r="G350" s="159">
        <v>1</v>
      </c>
      <c r="H350" s="159"/>
      <c r="I350" s="23">
        <v>1</v>
      </c>
      <c r="J350" s="2">
        <v>0</v>
      </c>
      <c r="K350" s="88" t="s">
        <v>521</v>
      </c>
      <c r="L350" s="105"/>
      <c r="M350" s="23"/>
      <c r="N350" s="50"/>
      <c r="O350" s="50"/>
      <c r="P350" s="50"/>
      <c r="Q350" s="50"/>
      <c r="S350" s="184">
        <v>2019</v>
      </c>
    </row>
    <row r="351" spans="1:19" ht="56.25">
      <c r="A351" s="160" t="s">
        <v>1</v>
      </c>
      <c r="B351" s="25" t="s">
        <v>1013</v>
      </c>
      <c r="C351" s="25" t="s">
        <v>387</v>
      </c>
      <c r="D351" s="88" t="s">
        <v>320</v>
      </c>
      <c r="E351" s="30" t="s">
        <v>968</v>
      </c>
      <c r="F351" s="159"/>
      <c r="G351" s="159">
        <v>1</v>
      </c>
      <c r="H351" s="159"/>
      <c r="I351" s="23">
        <v>1</v>
      </c>
      <c r="J351" s="2">
        <v>0</v>
      </c>
      <c r="K351" s="88" t="s">
        <v>521</v>
      </c>
      <c r="L351" s="105"/>
      <c r="M351" s="23"/>
      <c r="N351" s="50"/>
      <c r="O351" s="50"/>
      <c r="P351" s="50"/>
      <c r="Q351" s="50"/>
      <c r="S351" s="184">
        <v>2019</v>
      </c>
    </row>
    <row r="352" spans="1:19" ht="22.5">
      <c r="A352" s="160" t="s">
        <v>1</v>
      </c>
      <c r="B352" s="66" t="s">
        <v>975</v>
      </c>
      <c r="C352" s="25" t="s">
        <v>387</v>
      </c>
      <c r="D352" s="88" t="s">
        <v>320</v>
      </c>
      <c r="E352" s="30" t="s">
        <v>647</v>
      </c>
      <c r="F352" s="159"/>
      <c r="G352" s="159">
        <v>1</v>
      </c>
      <c r="H352" s="159"/>
      <c r="I352" s="23"/>
      <c r="J352" s="2">
        <v>0.45</v>
      </c>
      <c r="K352" s="88" t="s">
        <v>38</v>
      </c>
      <c r="L352" s="105"/>
      <c r="M352" s="23"/>
      <c r="N352" s="50"/>
      <c r="O352" s="50"/>
      <c r="P352" s="50"/>
      <c r="Q352" s="50"/>
      <c r="S352" s="184">
        <v>2019</v>
      </c>
    </row>
    <row r="353" spans="1:19" ht="22.5">
      <c r="A353" s="160" t="s">
        <v>1</v>
      </c>
      <c r="B353" s="66" t="s">
        <v>1012</v>
      </c>
      <c r="C353" s="25" t="s">
        <v>387</v>
      </c>
      <c r="D353" s="88" t="s">
        <v>320</v>
      </c>
      <c r="E353" s="30" t="s">
        <v>968</v>
      </c>
      <c r="F353" s="159"/>
      <c r="G353" s="159">
        <v>1</v>
      </c>
      <c r="H353" s="159"/>
      <c r="I353" s="23">
        <v>1</v>
      </c>
      <c r="J353" s="2">
        <v>0</v>
      </c>
      <c r="K353" s="88" t="s">
        <v>521</v>
      </c>
      <c r="L353" s="105"/>
      <c r="M353" s="23"/>
      <c r="N353" s="50"/>
      <c r="O353" s="50"/>
      <c r="P353" s="50"/>
      <c r="Q353" s="50"/>
      <c r="S353" s="184">
        <v>2019</v>
      </c>
    </row>
    <row r="354" spans="1:19" ht="22.5">
      <c r="A354" s="160" t="s">
        <v>1</v>
      </c>
      <c r="B354" s="66" t="s">
        <v>1025</v>
      </c>
      <c r="C354" s="25" t="s">
        <v>387</v>
      </c>
      <c r="D354" s="25" t="s">
        <v>320</v>
      </c>
      <c r="E354" s="30" t="s">
        <v>663</v>
      </c>
      <c r="F354" s="159"/>
      <c r="G354" s="159">
        <v>1</v>
      </c>
      <c r="H354" s="159"/>
      <c r="I354" s="23">
        <v>1</v>
      </c>
      <c r="J354" s="2">
        <v>0</v>
      </c>
      <c r="K354" s="88" t="s">
        <v>521</v>
      </c>
      <c r="L354" s="105"/>
      <c r="M354" s="23"/>
      <c r="N354" s="50"/>
      <c r="O354" s="50"/>
      <c r="P354" s="50"/>
      <c r="Q354" s="50"/>
      <c r="S354" s="184">
        <v>2019</v>
      </c>
    </row>
    <row r="355" spans="1:19" ht="33.75">
      <c r="A355" s="160" t="s">
        <v>1</v>
      </c>
      <c r="B355" s="66" t="s">
        <v>1027</v>
      </c>
      <c r="C355" s="88" t="s">
        <v>984</v>
      </c>
      <c r="D355" s="25" t="s">
        <v>320</v>
      </c>
      <c r="E355" s="30" t="s">
        <v>661</v>
      </c>
      <c r="F355" s="159"/>
      <c r="G355" s="159">
        <v>1</v>
      </c>
      <c r="H355" s="159"/>
      <c r="I355" s="23"/>
      <c r="J355" s="2">
        <v>0</v>
      </c>
      <c r="K355" s="88" t="s">
        <v>388</v>
      </c>
      <c r="L355" s="105"/>
      <c r="M355" s="23"/>
      <c r="N355" s="50"/>
      <c r="O355" s="50"/>
      <c r="P355" s="50"/>
      <c r="Q355" s="50"/>
      <c r="S355" s="184">
        <v>2019</v>
      </c>
    </row>
    <row r="356" spans="1:19" ht="22.5">
      <c r="A356" s="160" t="s">
        <v>1</v>
      </c>
      <c r="B356" s="66" t="s">
        <v>1033</v>
      </c>
      <c r="C356" s="25" t="s">
        <v>387</v>
      </c>
      <c r="D356" s="25" t="s">
        <v>320</v>
      </c>
      <c r="E356" s="30" t="s">
        <v>663</v>
      </c>
      <c r="F356" s="159"/>
      <c r="G356" s="159">
        <v>1</v>
      </c>
      <c r="H356" s="159"/>
      <c r="I356" s="23">
        <v>1</v>
      </c>
      <c r="J356" s="2">
        <v>0</v>
      </c>
      <c r="K356" s="88" t="s">
        <v>521</v>
      </c>
      <c r="L356" s="105"/>
      <c r="M356" s="23"/>
      <c r="N356" s="50"/>
      <c r="O356" s="50"/>
      <c r="P356" s="50"/>
      <c r="Q356" s="50"/>
      <c r="S356" s="184">
        <v>2019</v>
      </c>
    </row>
    <row r="357" spans="1:19" ht="67.5">
      <c r="A357" s="160" t="s">
        <v>1</v>
      </c>
      <c r="B357" s="25" t="s">
        <v>1094</v>
      </c>
      <c r="C357" s="88" t="s">
        <v>438</v>
      </c>
      <c r="D357" s="25" t="s">
        <v>320</v>
      </c>
      <c r="E357" s="30" t="s">
        <v>1058</v>
      </c>
      <c r="F357" s="159"/>
      <c r="G357" s="159">
        <v>1</v>
      </c>
      <c r="H357" s="159"/>
      <c r="I357" s="23"/>
      <c r="J357" s="2">
        <v>0</v>
      </c>
      <c r="K357" s="88" t="s">
        <v>388</v>
      </c>
      <c r="L357" s="105"/>
      <c r="M357" s="23"/>
      <c r="N357" s="50"/>
      <c r="O357" s="50"/>
      <c r="P357" s="50"/>
      <c r="Q357" s="50"/>
      <c r="S357" s="184">
        <v>2019</v>
      </c>
    </row>
    <row r="358" spans="1:19" ht="22.5">
      <c r="A358" s="160" t="s">
        <v>1</v>
      </c>
      <c r="B358" s="66" t="s">
        <v>1095</v>
      </c>
      <c r="C358" s="88" t="s">
        <v>387</v>
      </c>
      <c r="D358" s="25" t="s">
        <v>320</v>
      </c>
      <c r="E358" s="30" t="s">
        <v>1058</v>
      </c>
      <c r="F358" s="159"/>
      <c r="G358" s="159">
        <v>1</v>
      </c>
      <c r="H358" s="159"/>
      <c r="I358" s="23"/>
      <c r="J358" s="2">
        <v>0</v>
      </c>
      <c r="K358" s="88" t="s">
        <v>388</v>
      </c>
      <c r="L358" s="105"/>
      <c r="M358" s="23"/>
      <c r="N358" s="50"/>
      <c r="O358" s="50"/>
      <c r="P358" s="50"/>
      <c r="Q358" s="50"/>
      <c r="S358" s="184">
        <v>2019</v>
      </c>
    </row>
    <row r="359" spans="1:19" ht="45">
      <c r="A359" s="160" t="s">
        <v>1</v>
      </c>
      <c r="B359" s="25" t="s">
        <v>1096</v>
      </c>
      <c r="C359" s="88" t="s">
        <v>387</v>
      </c>
      <c r="D359" s="25" t="s">
        <v>320</v>
      </c>
      <c r="E359" s="30" t="s">
        <v>1058</v>
      </c>
      <c r="F359" s="159"/>
      <c r="G359" s="159">
        <v>1</v>
      </c>
      <c r="H359" s="159"/>
      <c r="I359" s="23"/>
      <c r="J359" s="2">
        <v>0</v>
      </c>
      <c r="K359" s="88" t="s">
        <v>388</v>
      </c>
      <c r="L359" s="105"/>
      <c r="M359" s="23"/>
      <c r="N359" s="50"/>
      <c r="O359" s="50"/>
      <c r="P359" s="50"/>
      <c r="Q359" s="50"/>
      <c r="S359" s="184">
        <v>2019</v>
      </c>
    </row>
    <row r="360" spans="1:19" ht="67.5">
      <c r="A360" s="160" t="s">
        <v>1</v>
      </c>
      <c r="B360" s="25" t="s">
        <v>1097</v>
      </c>
      <c r="C360" s="88" t="s">
        <v>387</v>
      </c>
      <c r="D360" s="25" t="s">
        <v>320</v>
      </c>
      <c r="E360" s="30" t="s">
        <v>1058</v>
      </c>
      <c r="F360" s="159"/>
      <c r="G360" s="159">
        <v>1</v>
      </c>
      <c r="H360" s="159"/>
      <c r="I360" s="23"/>
      <c r="J360" s="2">
        <v>0</v>
      </c>
      <c r="K360" s="88" t="s">
        <v>388</v>
      </c>
      <c r="L360" s="105"/>
      <c r="M360" s="23"/>
      <c r="N360" s="50"/>
      <c r="O360" s="50"/>
      <c r="P360" s="50"/>
      <c r="Q360" s="50"/>
      <c r="S360" s="184">
        <v>2019</v>
      </c>
    </row>
    <row r="361" spans="1:19" ht="22.5">
      <c r="A361" s="160" t="s">
        <v>1</v>
      </c>
      <c r="B361" s="66" t="s">
        <v>595</v>
      </c>
      <c r="C361" s="88" t="s">
        <v>387</v>
      </c>
      <c r="D361" s="25" t="s">
        <v>320</v>
      </c>
      <c r="E361" s="30" t="s">
        <v>1058</v>
      </c>
      <c r="F361" s="159"/>
      <c r="G361" s="159">
        <v>1</v>
      </c>
      <c r="H361" s="159"/>
      <c r="I361" s="23"/>
      <c r="J361" s="2">
        <v>0</v>
      </c>
      <c r="K361" s="88" t="s">
        <v>388</v>
      </c>
      <c r="L361" s="105"/>
      <c r="M361" s="23"/>
      <c r="N361" s="50"/>
      <c r="O361" s="50"/>
      <c r="P361" s="50"/>
      <c r="Q361" s="50"/>
      <c r="S361" s="184">
        <v>2019</v>
      </c>
    </row>
    <row r="362" spans="1:19" ht="67.5">
      <c r="A362" s="160" t="s">
        <v>1</v>
      </c>
      <c r="B362" s="25" t="s">
        <v>1098</v>
      </c>
      <c r="C362" s="88" t="s">
        <v>387</v>
      </c>
      <c r="D362" s="25" t="s">
        <v>320</v>
      </c>
      <c r="E362" s="30" t="s">
        <v>1058</v>
      </c>
      <c r="F362" s="159"/>
      <c r="G362" s="159">
        <v>1</v>
      </c>
      <c r="H362" s="159"/>
      <c r="I362" s="23"/>
      <c r="J362" s="2">
        <v>0</v>
      </c>
      <c r="K362" s="88" t="s">
        <v>388</v>
      </c>
      <c r="L362" s="105"/>
      <c r="M362" s="23"/>
      <c r="N362" s="50"/>
      <c r="O362" s="50"/>
      <c r="P362" s="50"/>
      <c r="Q362" s="50"/>
      <c r="S362" s="184">
        <v>2019</v>
      </c>
    </row>
    <row r="363" spans="1:19" ht="22.5">
      <c r="A363" s="160" t="s">
        <v>1</v>
      </c>
      <c r="B363" s="66" t="s">
        <v>1099</v>
      </c>
      <c r="C363" s="88" t="s">
        <v>387</v>
      </c>
      <c r="D363" s="25" t="s">
        <v>320</v>
      </c>
      <c r="E363" s="30" t="s">
        <v>1058</v>
      </c>
      <c r="F363" s="159"/>
      <c r="G363" s="159">
        <v>1</v>
      </c>
      <c r="H363" s="159"/>
      <c r="I363" s="23"/>
      <c r="J363" s="2">
        <v>0</v>
      </c>
      <c r="K363" s="88" t="s">
        <v>388</v>
      </c>
      <c r="L363" s="105"/>
      <c r="M363" s="23"/>
      <c r="N363" s="50"/>
      <c r="O363" s="50"/>
      <c r="P363" s="50"/>
      <c r="Q363" s="50"/>
      <c r="S363" s="184">
        <v>2019</v>
      </c>
    </row>
    <row r="364" spans="1:19" ht="78.75">
      <c r="A364" s="160" t="s">
        <v>1</v>
      </c>
      <c r="B364" s="25" t="s">
        <v>1100</v>
      </c>
      <c r="C364" s="88" t="s">
        <v>387</v>
      </c>
      <c r="D364" s="25" t="s">
        <v>320</v>
      </c>
      <c r="E364" s="30" t="s">
        <v>1058</v>
      </c>
      <c r="F364" s="159"/>
      <c r="G364" s="159">
        <v>1</v>
      </c>
      <c r="H364" s="159"/>
      <c r="I364" s="23"/>
      <c r="J364" s="2">
        <v>0</v>
      </c>
      <c r="K364" s="88" t="s">
        <v>388</v>
      </c>
      <c r="L364" s="105"/>
      <c r="M364" s="23"/>
      <c r="N364" s="50"/>
      <c r="O364" s="50"/>
      <c r="P364" s="50"/>
      <c r="Q364" s="50"/>
      <c r="S364" s="184">
        <v>2019</v>
      </c>
    </row>
    <row r="365" spans="1:19" ht="22.5">
      <c r="A365" s="160" t="s">
        <v>1</v>
      </c>
      <c r="B365" s="66" t="s">
        <v>1101</v>
      </c>
      <c r="C365" s="88" t="s">
        <v>387</v>
      </c>
      <c r="D365" s="25" t="s">
        <v>320</v>
      </c>
      <c r="E365" s="30" t="s">
        <v>1058</v>
      </c>
      <c r="F365" s="159"/>
      <c r="G365" s="159">
        <v>1</v>
      </c>
      <c r="H365" s="159"/>
      <c r="I365" s="23"/>
      <c r="J365" s="2">
        <v>0</v>
      </c>
      <c r="K365" s="88" t="s">
        <v>388</v>
      </c>
      <c r="L365" s="105"/>
      <c r="M365" s="23"/>
      <c r="N365" s="50"/>
      <c r="O365" s="50"/>
      <c r="P365" s="50"/>
      <c r="Q365" s="50"/>
      <c r="S365" s="184">
        <v>2019</v>
      </c>
    </row>
    <row r="366" spans="1:19" ht="22.5">
      <c r="A366" s="160" t="s">
        <v>1</v>
      </c>
      <c r="B366" s="66" t="s">
        <v>1180</v>
      </c>
      <c r="C366" s="88" t="s">
        <v>1184</v>
      </c>
      <c r="D366" s="25" t="s">
        <v>320</v>
      </c>
      <c r="E366" s="30" t="s">
        <v>647</v>
      </c>
      <c r="F366" s="159"/>
      <c r="G366" s="159">
        <v>1</v>
      </c>
      <c r="H366" s="159"/>
      <c r="I366" s="159"/>
      <c r="J366" s="2">
        <v>0.45</v>
      </c>
      <c r="K366" s="88" t="s">
        <v>38</v>
      </c>
      <c r="L366" s="105"/>
      <c r="M366" s="23"/>
      <c r="N366" s="50"/>
      <c r="O366" s="50"/>
      <c r="P366" s="50"/>
      <c r="Q366" s="50"/>
      <c r="S366" s="184">
        <v>2019</v>
      </c>
    </row>
    <row r="367" spans="1:19" ht="33.75">
      <c r="A367" s="160" t="s">
        <v>1</v>
      </c>
      <c r="B367" s="66" t="s">
        <v>1186</v>
      </c>
      <c r="C367" s="88" t="s">
        <v>1183</v>
      </c>
      <c r="D367" s="25" t="s">
        <v>320</v>
      </c>
      <c r="E367" s="30" t="s">
        <v>647</v>
      </c>
      <c r="F367" s="159"/>
      <c r="G367" s="159">
        <v>1</v>
      </c>
      <c r="H367" s="159"/>
      <c r="I367" s="23">
        <v>1</v>
      </c>
      <c r="J367" s="2">
        <v>0</v>
      </c>
      <c r="K367" s="88" t="s">
        <v>521</v>
      </c>
      <c r="L367" s="105"/>
      <c r="M367" s="23"/>
      <c r="N367" s="50"/>
      <c r="O367" s="159"/>
      <c r="P367" s="159"/>
      <c r="Q367" s="159"/>
      <c r="S367" s="184">
        <v>2019</v>
      </c>
    </row>
    <row r="368" spans="1:19" ht="67.5">
      <c r="A368" s="160" t="s">
        <v>1</v>
      </c>
      <c r="B368" s="66" t="s">
        <v>1187</v>
      </c>
      <c r="C368" s="88" t="s">
        <v>985</v>
      </c>
      <c r="D368" s="25" t="s">
        <v>320</v>
      </c>
      <c r="E368" s="30" t="s">
        <v>1116</v>
      </c>
      <c r="F368" s="159"/>
      <c r="G368" s="159">
        <v>1</v>
      </c>
      <c r="H368" s="159"/>
      <c r="I368" s="23"/>
      <c r="J368" s="2">
        <v>0</v>
      </c>
      <c r="K368" s="88" t="s">
        <v>388</v>
      </c>
      <c r="L368" s="105"/>
      <c r="M368" s="23"/>
      <c r="N368" s="50"/>
      <c r="O368" s="50"/>
      <c r="P368" s="50"/>
      <c r="Q368" s="50"/>
      <c r="S368" s="184">
        <v>2019</v>
      </c>
    </row>
    <row r="369" spans="1:19" ht="67.5">
      <c r="A369" s="160" t="s">
        <v>1</v>
      </c>
      <c r="B369" s="66" t="s">
        <v>1188</v>
      </c>
      <c r="C369" s="88" t="s">
        <v>985</v>
      </c>
      <c r="D369" s="25" t="s">
        <v>320</v>
      </c>
      <c r="E369" s="30" t="s">
        <v>1116</v>
      </c>
      <c r="F369" s="159"/>
      <c r="G369" s="159">
        <v>1</v>
      </c>
      <c r="H369" s="159"/>
      <c r="I369" s="23"/>
      <c r="J369" s="2">
        <v>0</v>
      </c>
      <c r="K369" s="88" t="s">
        <v>388</v>
      </c>
      <c r="L369" s="105"/>
      <c r="M369" s="23"/>
      <c r="N369" s="50"/>
      <c r="O369" s="50"/>
      <c r="P369" s="50"/>
      <c r="Q369" s="50"/>
      <c r="S369" s="184">
        <v>2019</v>
      </c>
    </row>
    <row r="370" spans="1:19" ht="67.5">
      <c r="A370" s="160" t="s">
        <v>1</v>
      </c>
      <c r="B370" s="66" t="s">
        <v>1189</v>
      </c>
      <c r="C370" s="88" t="s">
        <v>985</v>
      </c>
      <c r="D370" s="25" t="s">
        <v>320</v>
      </c>
      <c r="E370" s="30" t="s">
        <v>1116</v>
      </c>
      <c r="F370" s="159"/>
      <c r="G370" s="159">
        <v>1</v>
      </c>
      <c r="H370" s="159"/>
      <c r="I370" s="23"/>
      <c r="J370" s="2">
        <v>0</v>
      </c>
      <c r="K370" s="88" t="s">
        <v>388</v>
      </c>
      <c r="L370" s="105"/>
      <c r="M370" s="23"/>
      <c r="N370" s="50"/>
      <c r="O370" s="50"/>
      <c r="P370" s="50"/>
      <c r="Q370" s="50"/>
      <c r="S370" s="184">
        <v>2019</v>
      </c>
    </row>
    <row r="371" spans="1:19" ht="67.5">
      <c r="A371" s="160" t="s">
        <v>1</v>
      </c>
      <c r="B371" s="66" t="s">
        <v>1190</v>
      </c>
      <c r="C371" s="88" t="s">
        <v>985</v>
      </c>
      <c r="D371" s="25" t="s">
        <v>320</v>
      </c>
      <c r="E371" s="30" t="s">
        <v>1116</v>
      </c>
      <c r="F371" s="159"/>
      <c r="G371" s="159">
        <v>1</v>
      </c>
      <c r="H371" s="159"/>
      <c r="I371" s="23"/>
      <c r="J371" s="2">
        <v>0</v>
      </c>
      <c r="K371" s="88" t="s">
        <v>388</v>
      </c>
      <c r="L371" s="105"/>
      <c r="M371" s="23"/>
      <c r="N371" s="50"/>
      <c r="O371" s="50"/>
      <c r="P371" s="50"/>
      <c r="Q371" s="50"/>
      <c r="S371" s="184">
        <v>2019</v>
      </c>
    </row>
    <row r="372" spans="1:19" ht="67.5">
      <c r="A372" s="160" t="s">
        <v>1</v>
      </c>
      <c r="B372" s="66" t="s">
        <v>1191</v>
      </c>
      <c r="C372" s="88" t="s">
        <v>985</v>
      </c>
      <c r="D372" s="25" t="s">
        <v>320</v>
      </c>
      <c r="E372" s="30" t="s">
        <v>1116</v>
      </c>
      <c r="F372" s="159"/>
      <c r="G372" s="159">
        <v>1</v>
      </c>
      <c r="H372" s="159"/>
      <c r="I372" s="23"/>
      <c r="J372" s="2">
        <v>0</v>
      </c>
      <c r="K372" s="88" t="s">
        <v>388</v>
      </c>
      <c r="L372" s="105"/>
      <c r="M372" s="23"/>
      <c r="N372" s="50"/>
      <c r="O372" s="50"/>
      <c r="P372" s="50"/>
      <c r="Q372" s="50"/>
      <c r="S372" s="184">
        <v>2019</v>
      </c>
    </row>
    <row r="373" spans="1:19" ht="67.5">
      <c r="A373" s="160" t="s">
        <v>1</v>
      </c>
      <c r="B373" s="66" t="s">
        <v>1192</v>
      </c>
      <c r="C373" s="88" t="s">
        <v>985</v>
      </c>
      <c r="D373" s="25" t="s">
        <v>320</v>
      </c>
      <c r="E373" s="30" t="s">
        <v>1116</v>
      </c>
      <c r="F373" s="159"/>
      <c r="G373" s="159">
        <v>1</v>
      </c>
      <c r="H373" s="159"/>
      <c r="I373" s="23"/>
      <c r="J373" s="2">
        <v>0</v>
      </c>
      <c r="K373" s="88" t="s">
        <v>388</v>
      </c>
      <c r="L373" s="105"/>
      <c r="M373" s="23"/>
      <c r="N373" s="50"/>
      <c r="O373" s="50"/>
      <c r="P373" s="50"/>
      <c r="Q373" s="50"/>
      <c r="S373" s="184">
        <v>2019</v>
      </c>
    </row>
    <row r="374" spans="1:19" ht="67.5">
      <c r="A374" s="160" t="s">
        <v>1</v>
      </c>
      <c r="B374" s="66" t="s">
        <v>1193</v>
      </c>
      <c r="C374" s="88" t="s">
        <v>985</v>
      </c>
      <c r="D374" s="25" t="s">
        <v>320</v>
      </c>
      <c r="E374" s="30" t="s">
        <v>1116</v>
      </c>
      <c r="F374" s="159"/>
      <c r="G374" s="159">
        <v>1</v>
      </c>
      <c r="H374" s="159"/>
      <c r="I374" s="23"/>
      <c r="J374" s="2">
        <v>0</v>
      </c>
      <c r="K374" s="88" t="s">
        <v>388</v>
      </c>
      <c r="L374" s="105"/>
      <c r="M374" s="23"/>
      <c r="N374" s="50"/>
      <c r="O374" s="50"/>
      <c r="P374" s="50"/>
      <c r="Q374" s="50"/>
      <c r="S374" s="184">
        <v>2019</v>
      </c>
    </row>
    <row r="375" spans="1:19" ht="67.5">
      <c r="A375" s="160" t="s">
        <v>1</v>
      </c>
      <c r="B375" s="66" t="s">
        <v>1194</v>
      </c>
      <c r="C375" s="88" t="s">
        <v>985</v>
      </c>
      <c r="D375" s="25" t="s">
        <v>320</v>
      </c>
      <c r="E375" s="30" t="s">
        <v>1116</v>
      </c>
      <c r="F375" s="159"/>
      <c r="G375" s="159">
        <v>1</v>
      </c>
      <c r="H375" s="159"/>
      <c r="I375" s="23"/>
      <c r="J375" s="2">
        <v>0</v>
      </c>
      <c r="K375" s="88" t="s">
        <v>388</v>
      </c>
      <c r="L375" s="105"/>
      <c r="M375" s="23"/>
      <c r="N375" s="50"/>
      <c r="O375" s="50"/>
      <c r="P375" s="50"/>
      <c r="Q375" s="50"/>
      <c r="S375" s="184">
        <v>2019</v>
      </c>
    </row>
    <row r="376" spans="1:19" ht="22.5">
      <c r="A376" s="160" t="s">
        <v>1</v>
      </c>
      <c r="B376" s="66" t="s">
        <v>1195</v>
      </c>
      <c r="C376" s="88" t="s">
        <v>1184</v>
      </c>
      <c r="D376" s="25" t="s">
        <v>320</v>
      </c>
      <c r="E376" s="30" t="s">
        <v>1116</v>
      </c>
      <c r="F376" s="159"/>
      <c r="G376" s="159">
        <v>1</v>
      </c>
      <c r="H376" s="159"/>
      <c r="I376" s="23"/>
      <c r="J376" s="2">
        <v>0</v>
      </c>
      <c r="K376" s="88" t="s">
        <v>388</v>
      </c>
      <c r="L376" s="105"/>
      <c r="M376" s="23"/>
      <c r="N376" s="50"/>
      <c r="O376" s="50"/>
      <c r="P376" s="50"/>
      <c r="Q376" s="50"/>
      <c r="S376" s="184">
        <v>2019</v>
      </c>
    </row>
    <row r="377" spans="1:19" ht="22.5">
      <c r="A377" s="160" t="s">
        <v>1</v>
      </c>
      <c r="B377" s="66" t="s">
        <v>1196</v>
      </c>
      <c r="C377" s="88" t="s">
        <v>1184</v>
      </c>
      <c r="D377" s="25" t="s">
        <v>320</v>
      </c>
      <c r="E377" s="30" t="s">
        <v>1116</v>
      </c>
      <c r="F377" s="159"/>
      <c r="G377" s="159">
        <v>1</v>
      </c>
      <c r="H377" s="159"/>
      <c r="I377" s="23"/>
      <c r="J377" s="2">
        <v>0</v>
      </c>
      <c r="K377" s="88" t="s">
        <v>388</v>
      </c>
      <c r="L377" s="105"/>
      <c r="M377" s="23"/>
      <c r="N377" s="50"/>
      <c r="O377" s="50"/>
      <c r="P377" s="50"/>
      <c r="Q377" s="50"/>
      <c r="S377" s="184">
        <v>2019</v>
      </c>
    </row>
    <row r="378" spans="1:19" ht="67.5">
      <c r="A378" s="160" t="s">
        <v>1</v>
      </c>
      <c r="B378" s="66" t="s">
        <v>1197</v>
      </c>
      <c r="C378" s="88" t="s">
        <v>985</v>
      </c>
      <c r="D378" s="25" t="s">
        <v>320</v>
      </c>
      <c r="E378" s="30" t="s">
        <v>1116</v>
      </c>
      <c r="F378" s="159"/>
      <c r="G378" s="159">
        <v>1</v>
      </c>
      <c r="H378" s="159"/>
      <c r="I378" s="23"/>
      <c r="J378" s="2">
        <v>0</v>
      </c>
      <c r="K378" s="88" t="s">
        <v>388</v>
      </c>
      <c r="L378" s="105"/>
      <c r="M378" s="23"/>
      <c r="N378" s="50"/>
      <c r="O378" s="50"/>
      <c r="P378" s="50"/>
      <c r="Q378" s="50"/>
      <c r="S378" s="184">
        <v>2019</v>
      </c>
    </row>
    <row r="379" spans="1:19" ht="67.5">
      <c r="A379" s="160" t="s">
        <v>1</v>
      </c>
      <c r="B379" s="66" t="s">
        <v>1198</v>
      </c>
      <c r="C379" s="88" t="s">
        <v>985</v>
      </c>
      <c r="D379" s="25" t="s">
        <v>320</v>
      </c>
      <c r="E379" s="30" t="s">
        <v>1116</v>
      </c>
      <c r="F379" s="159"/>
      <c r="G379" s="159">
        <v>1</v>
      </c>
      <c r="H379" s="159"/>
      <c r="I379" s="23"/>
      <c r="J379" s="2">
        <v>0</v>
      </c>
      <c r="K379" s="88" t="s">
        <v>388</v>
      </c>
      <c r="L379" s="105"/>
      <c r="M379" s="23"/>
      <c r="N379" s="50"/>
      <c r="O379" s="50"/>
      <c r="P379" s="50"/>
      <c r="Q379" s="50"/>
      <c r="S379" s="184">
        <v>2019</v>
      </c>
    </row>
    <row r="380" spans="1:19" ht="67.5">
      <c r="A380" s="160" t="s">
        <v>1</v>
      </c>
      <c r="B380" s="66" t="s">
        <v>1199</v>
      </c>
      <c r="C380" s="88" t="s">
        <v>985</v>
      </c>
      <c r="D380" s="25" t="s">
        <v>320</v>
      </c>
      <c r="E380" s="30" t="s">
        <v>1116</v>
      </c>
      <c r="F380" s="159"/>
      <c r="G380" s="159">
        <v>1</v>
      </c>
      <c r="H380" s="159"/>
      <c r="I380" s="23"/>
      <c r="J380" s="2">
        <v>0</v>
      </c>
      <c r="K380" s="88" t="s">
        <v>388</v>
      </c>
      <c r="L380" s="105"/>
      <c r="M380" s="23"/>
      <c r="N380" s="50"/>
      <c r="O380" s="50"/>
      <c r="P380" s="50"/>
      <c r="Q380" s="50"/>
      <c r="S380" s="184">
        <v>2019</v>
      </c>
    </row>
    <row r="381" spans="1:19" ht="56.25">
      <c r="A381" s="160" t="s">
        <v>1</v>
      </c>
      <c r="B381" s="25" t="s">
        <v>1200</v>
      </c>
      <c r="C381" s="88" t="s">
        <v>1183</v>
      </c>
      <c r="D381" s="25" t="s">
        <v>320</v>
      </c>
      <c r="E381" s="30" t="s">
        <v>1116</v>
      </c>
      <c r="F381" s="159"/>
      <c r="G381" s="159">
        <v>1</v>
      </c>
      <c r="H381" s="159"/>
      <c r="I381" s="23"/>
      <c r="J381" s="2">
        <v>0</v>
      </c>
      <c r="K381" s="88" t="s">
        <v>388</v>
      </c>
      <c r="L381" s="105"/>
      <c r="M381" s="23"/>
      <c r="N381" s="50"/>
      <c r="O381" s="50"/>
      <c r="P381" s="50"/>
      <c r="Q381" s="50"/>
      <c r="S381" s="184">
        <v>2019</v>
      </c>
    </row>
    <row r="382" spans="1:19" ht="67.5">
      <c r="A382" s="160" t="s">
        <v>1</v>
      </c>
      <c r="B382" s="25" t="s">
        <v>1220</v>
      </c>
      <c r="C382" s="88" t="s">
        <v>1183</v>
      </c>
      <c r="D382" s="25" t="s">
        <v>320</v>
      </c>
      <c r="E382" s="30" t="s">
        <v>647</v>
      </c>
      <c r="F382" s="159"/>
      <c r="G382" s="159">
        <v>1</v>
      </c>
      <c r="H382" s="159"/>
      <c r="I382" s="23"/>
      <c r="J382" s="2">
        <v>0</v>
      </c>
      <c r="K382" s="88" t="s">
        <v>388</v>
      </c>
      <c r="L382" s="105"/>
      <c r="M382" s="23"/>
      <c r="N382" s="50"/>
      <c r="O382" s="159"/>
      <c r="P382" s="159"/>
      <c r="Q382" s="159"/>
      <c r="S382" s="184">
        <v>2019</v>
      </c>
    </row>
    <row r="383" spans="1:19" ht="78.75">
      <c r="A383" s="160" t="s">
        <v>1</v>
      </c>
      <c r="B383" s="25" t="s">
        <v>1221</v>
      </c>
      <c r="C383" s="88" t="s">
        <v>1184</v>
      </c>
      <c r="D383" s="25" t="s">
        <v>320</v>
      </c>
      <c r="E383" s="30" t="s">
        <v>647</v>
      </c>
      <c r="F383" s="159"/>
      <c r="G383" s="159">
        <v>1</v>
      </c>
      <c r="H383" s="159"/>
      <c r="I383" s="23"/>
      <c r="J383" s="2">
        <v>0</v>
      </c>
      <c r="K383" s="58" t="s">
        <v>38</v>
      </c>
      <c r="L383" s="105"/>
      <c r="M383" s="23"/>
      <c r="N383" s="50"/>
      <c r="O383" s="159"/>
      <c r="P383" s="159"/>
      <c r="Q383" s="159"/>
      <c r="S383" s="184">
        <v>2019</v>
      </c>
    </row>
    <row r="384" spans="1:19" ht="33.75">
      <c r="A384" s="160" t="s">
        <v>1</v>
      </c>
      <c r="B384" s="25" t="s">
        <v>1272</v>
      </c>
      <c r="C384" s="88" t="s">
        <v>1184</v>
      </c>
      <c r="D384" s="25" t="s">
        <v>320</v>
      </c>
      <c r="E384" s="30" t="s">
        <v>1232</v>
      </c>
      <c r="F384" s="159"/>
      <c r="G384" s="159">
        <v>1</v>
      </c>
      <c r="H384" s="159"/>
      <c r="I384" s="197">
        <v>1</v>
      </c>
      <c r="J384" s="2">
        <v>0</v>
      </c>
      <c r="K384" s="88" t="s">
        <v>521</v>
      </c>
      <c r="L384" s="105"/>
      <c r="M384" s="23"/>
      <c r="N384" s="50"/>
      <c r="O384" s="159"/>
      <c r="P384" s="159"/>
      <c r="Q384" s="159"/>
      <c r="S384" s="184">
        <v>2019</v>
      </c>
    </row>
    <row r="385" spans="1:19" ht="67.5">
      <c r="A385" s="160" t="s">
        <v>1</v>
      </c>
      <c r="B385" s="25" t="s">
        <v>1273</v>
      </c>
      <c r="C385" s="88" t="s">
        <v>985</v>
      </c>
      <c r="D385" s="25" t="s">
        <v>320</v>
      </c>
      <c r="E385" s="30" t="s">
        <v>1232</v>
      </c>
      <c r="F385" s="159"/>
      <c r="G385" s="159">
        <v>1</v>
      </c>
      <c r="H385" s="159"/>
      <c r="I385" s="197">
        <v>1</v>
      </c>
      <c r="J385" s="2">
        <v>0</v>
      </c>
      <c r="K385" s="88" t="s">
        <v>521</v>
      </c>
      <c r="L385" s="105"/>
      <c r="M385" s="23"/>
      <c r="N385" s="50"/>
      <c r="O385" s="159"/>
      <c r="P385" s="159"/>
      <c r="Q385" s="159"/>
      <c r="S385" s="184">
        <v>2019</v>
      </c>
    </row>
    <row r="386" spans="1:19" ht="67.5">
      <c r="A386" s="160" t="s">
        <v>1</v>
      </c>
      <c r="B386" s="25" t="s">
        <v>1274</v>
      </c>
      <c r="C386" s="88" t="s">
        <v>985</v>
      </c>
      <c r="D386" s="25" t="s">
        <v>320</v>
      </c>
      <c r="E386" s="30" t="s">
        <v>1232</v>
      </c>
      <c r="F386" s="159"/>
      <c r="G386" s="159">
        <v>1</v>
      </c>
      <c r="H386" s="159"/>
      <c r="I386" s="197">
        <v>1</v>
      </c>
      <c r="J386" s="2">
        <v>0</v>
      </c>
      <c r="K386" s="88" t="s">
        <v>521</v>
      </c>
      <c r="L386" s="105"/>
      <c r="M386" s="23"/>
      <c r="N386" s="50"/>
      <c r="O386" s="159"/>
      <c r="P386" s="159"/>
      <c r="Q386" s="159"/>
      <c r="S386" s="184">
        <v>2019</v>
      </c>
    </row>
    <row r="387" spans="1:19" ht="67.5">
      <c r="A387" s="160" t="s">
        <v>1</v>
      </c>
      <c r="B387" s="25" t="s">
        <v>1275</v>
      </c>
      <c r="C387" s="88" t="s">
        <v>985</v>
      </c>
      <c r="D387" s="25" t="s">
        <v>320</v>
      </c>
      <c r="E387" s="30" t="s">
        <v>1232</v>
      </c>
      <c r="F387" s="159"/>
      <c r="G387" s="159">
        <v>1</v>
      </c>
      <c r="H387" s="159"/>
      <c r="I387" s="197">
        <v>1</v>
      </c>
      <c r="J387" s="2">
        <v>0</v>
      </c>
      <c r="K387" s="88" t="s">
        <v>521</v>
      </c>
      <c r="L387" s="105"/>
      <c r="M387" s="23"/>
      <c r="N387" s="50"/>
      <c r="O387" s="159"/>
      <c r="P387" s="159"/>
      <c r="Q387" s="159"/>
      <c r="S387" s="184">
        <v>2019</v>
      </c>
    </row>
    <row r="388" spans="1:19" ht="67.5">
      <c r="A388" s="160" t="s">
        <v>1</v>
      </c>
      <c r="B388" s="25" t="s">
        <v>1276</v>
      </c>
      <c r="C388" s="88" t="s">
        <v>985</v>
      </c>
      <c r="D388" s="25" t="s">
        <v>320</v>
      </c>
      <c r="E388" s="30" t="s">
        <v>1232</v>
      </c>
      <c r="F388" s="159"/>
      <c r="G388" s="159">
        <v>1</v>
      </c>
      <c r="H388" s="159"/>
      <c r="I388" s="197">
        <v>1</v>
      </c>
      <c r="J388" s="2">
        <v>0</v>
      </c>
      <c r="K388" s="88" t="s">
        <v>521</v>
      </c>
      <c r="L388" s="105"/>
      <c r="M388" s="23"/>
      <c r="N388" s="50"/>
      <c r="O388" s="159"/>
      <c r="P388" s="159"/>
      <c r="Q388" s="159"/>
      <c r="S388" s="184">
        <v>2019</v>
      </c>
    </row>
    <row r="389" spans="1:19" ht="67.5">
      <c r="A389" s="160" t="s">
        <v>1</v>
      </c>
      <c r="B389" s="25" t="s">
        <v>1277</v>
      </c>
      <c r="C389" s="88" t="s">
        <v>985</v>
      </c>
      <c r="D389" s="25" t="s">
        <v>320</v>
      </c>
      <c r="E389" s="30" t="s">
        <v>1232</v>
      </c>
      <c r="F389" s="159"/>
      <c r="G389" s="159">
        <v>1</v>
      </c>
      <c r="H389" s="159"/>
      <c r="I389" s="197">
        <v>1</v>
      </c>
      <c r="J389" s="2">
        <v>0</v>
      </c>
      <c r="K389" s="88" t="s">
        <v>521</v>
      </c>
      <c r="L389" s="105"/>
      <c r="M389" s="23"/>
      <c r="N389" s="50"/>
      <c r="O389" s="159"/>
      <c r="P389" s="159"/>
      <c r="Q389" s="159"/>
      <c r="S389" s="184">
        <v>2019</v>
      </c>
    </row>
    <row r="390" spans="1:19" ht="67.5">
      <c r="A390" s="160" t="s">
        <v>1</v>
      </c>
      <c r="B390" s="25" t="s">
        <v>1278</v>
      </c>
      <c r="C390" s="88" t="s">
        <v>985</v>
      </c>
      <c r="D390" s="25" t="s">
        <v>320</v>
      </c>
      <c r="E390" s="30" t="s">
        <v>1232</v>
      </c>
      <c r="F390" s="159"/>
      <c r="G390" s="159">
        <v>1</v>
      </c>
      <c r="H390" s="159"/>
      <c r="I390" s="197">
        <v>1</v>
      </c>
      <c r="J390" s="2">
        <v>0</v>
      </c>
      <c r="K390" s="88" t="s">
        <v>521</v>
      </c>
      <c r="L390" s="105"/>
      <c r="M390" s="23"/>
      <c r="N390" s="50"/>
      <c r="O390" s="159"/>
      <c r="P390" s="159"/>
      <c r="Q390" s="159"/>
      <c r="S390" s="184">
        <v>2019</v>
      </c>
    </row>
    <row r="391" spans="1:19" ht="45">
      <c r="A391" s="160" t="s">
        <v>1</v>
      </c>
      <c r="B391" s="25" t="s">
        <v>1279</v>
      </c>
      <c r="C391" s="88" t="s">
        <v>1184</v>
      </c>
      <c r="D391" s="25" t="s">
        <v>320</v>
      </c>
      <c r="E391" s="30" t="s">
        <v>1232</v>
      </c>
      <c r="F391" s="159"/>
      <c r="G391" s="159">
        <v>1</v>
      </c>
      <c r="H391" s="159"/>
      <c r="I391" s="197">
        <v>1</v>
      </c>
      <c r="J391" s="2">
        <v>0</v>
      </c>
      <c r="K391" s="88" t="s">
        <v>521</v>
      </c>
      <c r="L391" s="105"/>
      <c r="M391" s="23"/>
      <c r="N391" s="50"/>
      <c r="O391" s="159"/>
      <c r="P391" s="159"/>
      <c r="Q391" s="159"/>
      <c r="S391" s="184">
        <v>2019</v>
      </c>
    </row>
    <row r="392" spans="1:19" ht="67.5">
      <c r="A392" s="160" t="s">
        <v>1</v>
      </c>
      <c r="B392" s="25" t="s">
        <v>1280</v>
      </c>
      <c r="C392" s="88" t="s">
        <v>985</v>
      </c>
      <c r="D392" s="25" t="s">
        <v>320</v>
      </c>
      <c r="E392" s="30" t="s">
        <v>1232</v>
      </c>
      <c r="F392" s="159"/>
      <c r="G392" s="159">
        <v>1</v>
      </c>
      <c r="H392" s="159"/>
      <c r="I392" s="197">
        <v>1</v>
      </c>
      <c r="J392" s="2">
        <v>0</v>
      </c>
      <c r="K392" s="88" t="s">
        <v>521</v>
      </c>
      <c r="L392" s="105"/>
      <c r="M392" s="23"/>
      <c r="N392" s="50"/>
      <c r="O392" s="159"/>
      <c r="P392" s="159"/>
      <c r="Q392" s="159"/>
      <c r="S392" s="184">
        <v>2019</v>
      </c>
    </row>
    <row r="393" spans="1:19" ht="67.5">
      <c r="A393" s="160" t="s">
        <v>1</v>
      </c>
      <c r="B393" s="25" t="s">
        <v>1281</v>
      </c>
      <c r="C393" s="88" t="s">
        <v>985</v>
      </c>
      <c r="D393" s="25" t="s">
        <v>320</v>
      </c>
      <c r="E393" s="30" t="s">
        <v>1232</v>
      </c>
      <c r="F393" s="159"/>
      <c r="G393" s="159">
        <v>1</v>
      </c>
      <c r="H393" s="159"/>
      <c r="I393" s="197">
        <v>1</v>
      </c>
      <c r="J393" s="2">
        <v>0</v>
      </c>
      <c r="K393" s="88" t="s">
        <v>521</v>
      </c>
      <c r="L393" s="105"/>
      <c r="M393" s="23"/>
      <c r="N393" s="50"/>
      <c r="O393" s="159"/>
      <c r="P393" s="159"/>
      <c r="Q393" s="159"/>
      <c r="S393" s="184">
        <v>2019</v>
      </c>
    </row>
    <row r="394" spans="1:19" ht="67.5">
      <c r="A394" s="160" t="s">
        <v>1</v>
      </c>
      <c r="B394" s="25" t="s">
        <v>1284</v>
      </c>
      <c r="C394" s="88" t="s">
        <v>985</v>
      </c>
      <c r="D394" s="25" t="s">
        <v>320</v>
      </c>
      <c r="E394" s="30" t="s">
        <v>1113</v>
      </c>
      <c r="F394" s="159"/>
      <c r="G394" s="159">
        <v>1</v>
      </c>
      <c r="H394" s="159"/>
      <c r="I394" s="197">
        <v>1</v>
      </c>
      <c r="J394" s="2">
        <v>0</v>
      </c>
      <c r="K394" s="88" t="s">
        <v>521</v>
      </c>
      <c r="L394" s="105"/>
      <c r="M394" s="23"/>
      <c r="N394" s="50"/>
      <c r="O394" s="159"/>
      <c r="P394" s="159"/>
      <c r="Q394" s="159"/>
      <c r="S394" s="184">
        <v>2019</v>
      </c>
    </row>
    <row r="395" spans="1:19" ht="67.5">
      <c r="A395" s="160" t="s">
        <v>1</v>
      </c>
      <c r="B395" s="25" t="s">
        <v>1285</v>
      </c>
      <c r="C395" s="88" t="s">
        <v>985</v>
      </c>
      <c r="D395" s="25" t="s">
        <v>320</v>
      </c>
      <c r="E395" s="30" t="s">
        <v>1113</v>
      </c>
      <c r="F395" s="159"/>
      <c r="G395" s="159">
        <v>1</v>
      </c>
      <c r="H395" s="159"/>
      <c r="I395" s="197">
        <v>1</v>
      </c>
      <c r="J395" s="2">
        <v>0</v>
      </c>
      <c r="K395" s="88" t="s">
        <v>521</v>
      </c>
      <c r="L395" s="105"/>
      <c r="M395" s="23"/>
      <c r="N395" s="50"/>
      <c r="O395" s="159"/>
      <c r="P395" s="159"/>
      <c r="Q395" s="159"/>
      <c r="S395" s="184">
        <v>2019</v>
      </c>
    </row>
    <row r="396" spans="1:19" ht="67.5">
      <c r="A396" s="160" t="s">
        <v>1</v>
      </c>
      <c r="B396" s="25" t="s">
        <v>1286</v>
      </c>
      <c r="C396" s="88" t="s">
        <v>985</v>
      </c>
      <c r="D396" s="25" t="s">
        <v>320</v>
      </c>
      <c r="E396" s="30" t="s">
        <v>1113</v>
      </c>
      <c r="F396" s="159"/>
      <c r="G396" s="159">
        <v>1</v>
      </c>
      <c r="H396" s="159"/>
      <c r="I396" s="197">
        <v>1</v>
      </c>
      <c r="J396" s="2">
        <v>0</v>
      </c>
      <c r="K396" s="88" t="s">
        <v>521</v>
      </c>
      <c r="L396" s="105"/>
      <c r="M396" s="23"/>
      <c r="N396" s="50"/>
      <c r="O396" s="159"/>
      <c r="P396" s="159"/>
      <c r="Q396" s="159"/>
      <c r="S396" s="184">
        <v>2019</v>
      </c>
    </row>
    <row r="397" spans="1:19">
      <c r="A397" s="201" t="s">
        <v>1052</v>
      </c>
      <c r="B397" s="201"/>
      <c r="C397" s="201"/>
      <c r="D397" s="201"/>
      <c r="E397" s="196"/>
      <c r="F397" s="21">
        <v>3513</v>
      </c>
      <c r="G397" s="21">
        <v>4353</v>
      </c>
      <c r="H397" s="21">
        <v>4980</v>
      </c>
      <c r="I397" s="21">
        <v>2207</v>
      </c>
      <c r="J397" s="20"/>
      <c r="K397" s="62"/>
      <c r="L397" s="105"/>
      <c r="M397" s="21">
        <v>4238</v>
      </c>
      <c r="N397" s="21">
        <v>3446</v>
      </c>
      <c r="O397" s="21">
        <v>3447</v>
      </c>
      <c r="P397" s="21">
        <v>1338</v>
      </c>
      <c r="Q397" s="21">
        <v>2528</v>
      </c>
      <c r="S397" s="187">
        <v>2019</v>
      </c>
    </row>
    <row r="399" spans="1:19">
      <c r="F399" t="s">
        <v>1325</v>
      </c>
      <c r="I399" s="202">
        <v>304</v>
      </c>
    </row>
    <row r="400" spans="1:19">
      <c r="F400" t="s">
        <v>1326</v>
      </c>
      <c r="I400" s="183">
        <v>1588</v>
      </c>
    </row>
  </sheetData>
  <mergeCells count="3">
    <mergeCell ref="BI1:BR1"/>
    <mergeCell ref="A1:S1"/>
    <mergeCell ref="A2:S2"/>
  </mergeCell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1"/>
  <sheetViews>
    <sheetView topLeftCell="A100" workbookViewId="0">
      <selection activeCell="A115" sqref="A115:XFD115"/>
    </sheetView>
  </sheetViews>
  <sheetFormatPr baseColWidth="10" defaultRowHeight="15"/>
  <cols>
    <col min="6" max="6" width="27.140625" bestFit="1" customWidth="1"/>
  </cols>
  <sheetData>
    <row r="1" spans="1:9">
      <c r="A1" s="760" t="s">
        <v>2427</v>
      </c>
      <c r="B1" s="760"/>
      <c r="C1" s="760"/>
      <c r="D1" s="760"/>
      <c r="E1" s="760"/>
      <c r="F1" s="760"/>
      <c r="G1" s="760"/>
      <c r="H1" s="760"/>
      <c r="I1" s="760"/>
    </row>
    <row r="2" spans="1:9">
      <c r="A2" s="760" t="s">
        <v>2007</v>
      </c>
      <c r="B2" s="760"/>
      <c r="C2" s="760"/>
      <c r="D2" s="760"/>
      <c r="E2" s="760"/>
      <c r="F2" s="760"/>
      <c r="G2" s="760"/>
      <c r="H2" s="760"/>
      <c r="I2" s="760"/>
    </row>
    <row r="3" spans="1:9">
      <c r="A3" s="763" t="s">
        <v>2008</v>
      </c>
      <c r="B3" s="763" t="s">
        <v>1287</v>
      </c>
      <c r="C3" s="763" t="s">
        <v>2009</v>
      </c>
      <c r="D3" s="761" t="s">
        <v>2010</v>
      </c>
      <c r="E3" s="761"/>
      <c r="F3" s="761"/>
      <c r="G3" s="761"/>
      <c r="H3" s="761"/>
      <c r="I3" s="761"/>
    </row>
    <row r="4" spans="1:9">
      <c r="A4" s="763"/>
      <c r="B4" s="763"/>
      <c r="C4" s="763"/>
      <c r="D4" s="726" t="s">
        <v>2011</v>
      </c>
      <c r="E4" s="726" t="s">
        <v>2012</v>
      </c>
      <c r="F4" s="726" t="s">
        <v>2013</v>
      </c>
      <c r="G4" s="726" t="s">
        <v>2014</v>
      </c>
      <c r="H4" s="726" t="s">
        <v>2015</v>
      </c>
      <c r="I4" s="726" t="s">
        <v>2016</v>
      </c>
    </row>
    <row r="5" spans="1:9">
      <c r="A5" s="403">
        <v>1</v>
      </c>
      <c r="B5" s="404" t="s">
        <v>2017</v>
      </c>
      <c r="C5" s="404" t="s">
        <v>2018</v>
      </c>
      <c r="D5" s="404">
        <f>63-63+31</f>
        <v>31</v>
      </c>
      <c r="E5" s="404">
        <f>67+63+50-67-63</f>
        <v>50</v>
      </c>
      <c r="F5" s="404">
        <f>56+38-56-38+67+63</f>
        <v>130</v>
      </c>
      <c r="G5" s="404"/>
      <c r="H5" s="404"/>
      <c r="I5" s="404"/>
    </row>
    <row r="6" spans="1:9">
      <c r="A6" s="403"/>
      <c r="B6" s="404"/>
      <c r="C6" s="404" t="s">
        <v>2019</v>
      </c>
      <c r="D6" s="404">
        <f>198-197</f>
        <v>1</v>
      </c>
      <c r="E6" s="404">
        <f>197-197</f>
        <v>0</v>
      </c>
      <c r="F6" s="404">
        <f>36-36+197</f>
        <v>197</v>
      </c>
      <c r="G6" s="404"/>
      <c r="H6" s="404"/>
      <c r="I6" s="404"/>
    </row>
    <row r="7" spans="1:9">
      <c r="A7" s="403"/>
      <c r="B7" s="404"/>
      <c r="C7" s="404" t="s">
        <v>2020</v>
      </c>
      <c r="D7" s="404"/>
      <c r="E7" s="404">
        <v>50</v>
      </c>
      <c r="F7" s="404"/>
      <c r="G7" s="404">
        <v>60</v>
      </c>
      <c r="H7" s="404"/>
      <c r="I7" s="404"/>
    </row>
    <row r="8" spans="1:9">
      <c r="A8" s="403"/>
      <c r="B8" s="404"/>
      <c r="C8" s="404" t="s">
        <v>2021</v>
      </c>
      <c r="D8" s="404">
        <f>40-40</f>
        <v>0</v>
      </c>
      <c r="E8" s="404">
        <f>32+13+55-32-13-55+40</f>
        <v>40</v>
      </c>
      <c r="F8" s="404">
        <v>0</v>
      </c>
      <c r="G8" s="730"/>
      <c r="H8" s="404"/>
      <c r="I8" s="404"/>
    </row>
    <row r="9" spans="1:9">
      <c r="A9" s="403"/>
      <c r="B9" s="404"/>
      <c r="C9" s="404" t="s">
        <v>2022</v>
      </c>
      <c r="D9" s="404">
        <f>57-55</f>
        <v>2</v>
      </c>
      <c r="E9" s="404">
        <f>55-55</f>
        <v>0</v>
      </c>
      <c r="F9" s="406">
        <f>55</f>
        <v>55</v>
      </c>
      <c r="G9" s="405"/>
      <c r="H9" s="405"/>
      <c r="I9" s="404"/>
    </row>
    <row r="10" spans="1:9">
      <c r="A10" s="403"/>
      <c r="B10" s="404"/>
      <c r="C10" s="404" t="s">
        <v>2017</v>
      </c>
      <c r="D10" s="404">
        <f>42-42</f>
        <v>0</v>
      </c>
      <c r="E10" s="404">
        <f>39+42</f>
        <v>81</v>
      </c>
      <c r="F10" s="404">
        <v>0</v>
      </c>
      <c r="G10" s="404"/>
      <c r="H10" s="404"/>
      <c r="I10" s="404"/>
    </row>
    <row r="11" spans="1:9">
      <c r="A11" s="403"/>
      <c r="B11" s="404"/>
      <c r="C11" s="404" t="s">
        <v>2023</v>
      </c>
      <c r="D11" s="404">
        <f>60+1-59-1</f>
        <v>1</v>
      </c>
      <c r="E11" s="404">
        <f>59</f>
        <v>59</v>
      </c>
      <c r="F11" s="406">
        <v>1</v>
      </c>
      <c r="G11" s="404"/>
      <c r="H11" s="404"/>
      <c r="I11" s="404"/>
    </row>
    <row r="12" spans="1:9">
      <c r="A12" s="403"/>
      <c r="B12" s="404"/>
      <c r="C12" s="404" t="s">
        <v>2303</v>
      </c>
      <c r="D12" s="404">
        <f>0</f>
        <v>0</v>
      </c>
      <c r="E12" s="404">
        <f>60</f>
        <v>60</v>
      </c>
      <c r="F12" s="406">
        <f>0</f>
        <v>0</v>
      </c>
      <c r="G12" s="404"/>
      <c r="H12" s="404"/>
      <c r="I12" s="404"/>
    </row>
    <row r="13" spans="1:9">
      <c r="A13" s="403"/>
      <c r="B13" s="404"/>
      <c r="C13" s="404" t="s">
        <v>2024</v>
      </c>
      <c r="D13" s="404"/>
      <c r="E13" s="404">
        <f>17+26</f>
        <v>43</v>
      </c>
      <c r="F13" s="405"/>
      <c r="G13" s="404"/>
      <c r="H13" s="404"/>
      <c r="I13" s="404"/>
    </row>
    <row r="14" spans="1:9">
      <c r="A14" s="403">
        <v>2</v>
      </c>
      <c r="B14" s="404" t="s">
        <v>2025</v>
      </c>
      <c r="C14" s="404" t="s">
        <v>2026</v>
      </c>
      <c r="D14" s="404">
        <f>6+2+26+34+50-26-34-50</f>
        <v>8</v>
      </c>
      <c r="E14" s="404">
        <f>70+26+34+50-70-26-34-50</f>
        <v>0</v>
      </c>
      <c r="F14" s="404"/>
      <c r="G14" s="404"/>
      <c r="H14" s="404"/>
      <c r="I14" s="404"/>
    </row>
    <row r="15" spans="1:9">
      <c r="A15" s="403"/>
      <c r="B15" s="404"/>
      <c r="C15" s="404" t="s">
        <v>2027</v>
      </c>
      <c r="D15" s="404"/>
      <c r="E15" s="404">
        <f>54+1-54-1+46</f>
        <v>46</v>
      </c>
      <c r="F15" s="404"/>
      <c r="G15" s="404"/>
      <c r="H15" s="404"/>
      <c r="I15" s="404"/>
    </row>
    <row r="16" spans="1:9">
      <c r="A16" s="403"/>
      <c r="B16" s="404"/>
      <c r="C16" s="404" t="s">
        <v>2028</v>
      </c>
      <c r="D16" s="404"/>
      <c r="E16" s="404">
        <f>98-98</f>
        <v>0</v>
      </c>
      <c r="F16" s="404">
        <v>98</v>
      </c>
      <c r="G16" s="404"/>
      <c r="H16" s="404"/>
      <c r="I16" s="404"/>
    </row>
    <row r="17" spans="1:9">
      <c r="A17" s="403"/>
      <c r="B17" s="404"/>
      <c r="C17" s="404" t="s">
        <v>2029</v>
      </c>
      <c r="D17" s="404">
        <f>4+2-2+2-2</f>
        <v>4</v>
      </c>
      <c r="E17" s="404">
        <f>120+60+2-2-120-60+52</f>
        <v>52</v>
      </c>
      <c r="F17" s="404"/>
      <c r="G17" s="404"/>
      <c r="H17" s="404"/>
      <c r="I17" s="404">
        <v>2</v>
      </c>
    </row>
    <row r="18" spans="1:9">
      <c r="A18" s="403"/>
      <c r="B18" s="404"/>
      <c r="C18" s="404" t="s">
        <v>2030</v>
      </c>
      <c r="D18" s="404">
        <f>2+44-44</f>
        <v>2</v>
      </c>
      <c r="E18" s="404">
        <f>44</f>
        <v>44</v>
      </c>
      <c r="F18" s="404">
        <f>105-105</f>
        <v>0</v>
      </c>
      <c r="G18" s="404"/>
      <c r="H18" s="404"/>
      <c r="I18" s="404"/>
    </row>
    <row r="19" spans="1:9">
      <c r="A19" s="403"/>
      <c r="B19" s="404"/>
      <c r="C19" s="404" t="s">
        <v>2031</v>
      </c>
      <c r="D19" s="404">
        <f>2-2</f>
        <v>0</v>
      </c>
      <c r="E19" s="404">
        <f>152+37-152-37+54+79</f>
        <v>133</v>
      </c>
      <c r="F19" s="404">
        <v>0</v>
      </c>
      <c r="G19" s="404"/>
      <c r="H19" s="404"/>
      <c r="I19" s="404"/>
    </row>
    <row r="20" spans="1:9">
      <c r="A20" s="403"/>
      <c r="B20" s="404"/>
      <c r="C20" s="404" t="s">
        <v>2032</v>
      </c>
      <c r="D20" s="404">
        <f>16-16</f>
        <v>0</v>
      </c>
      <c r="E20" s="404">
        <f>16</f>
        <v>16</v>
      </c>
      <c r="F20" s="404"/>
      <c r="G20" s="404"/>
      <c r="H20" s="404"/>
      <c r="I20" s="404"/>
    </row>
    <row r="21" spans="1:9">
      <c r="A21" s="403"/>
      <c r="B21" s="404"/>
      <c r="C21" s="404" t="s">
        <v>2033</v>
      </c>
      <c r="D21" s="404">
        <f>70-70</f>
        <v>0</v>
      </c>
      <c r="E21" s="404">
        <f>13-13+70</f>
        <v>70</v>
      </c>
      <c r="F21" s="404">
        <v>0</v>
      </c>
      <c r="G21" s="404"/>
      <c r="H21" s="404"/>
      <c r="I21" s="404"/>
    </row>
    <row r="22" spans="1:9">
      <c r="A22" s="403"/>
      <c r="B22" s="404"/>
      <c r="C22" s="404" t="s">
        <v>2034</v>
      </c>
      <c r="D22" s="404">
        <f>13-13</f>
        <v>0</v>
      </c>
      <c r="E22" s="404">
        <f>13-13</f>
        <v>0</v>
      </c>
      <c r="F22" s="404"/>
      <c r="G22" s="404"/>
      <c r="H22" s="404"/>
      <c r="I22" s="404"/>
    </row>
    <row r="23" spans="1:9" ht="22.5">
      <c r="A23" s="403"/>
      <c r="B23" s="404"/>
      <c r="C23" s="173" t="s">
        <v>2428</v>
      </c>
      <c r="D23" s="404">
        <f>1</f>
        <v>1</v>
      </c>
      <c r="E23" s="404">
        <f>68+1+40</f>
        <v>109</v>
      </c>
      <c r="F23" s="404"/>
      <c r="G23" s="404"/>
      <c r="H23" s="404"/>
      <c r="I23" s="404"/>
    </row>
    <row r="24" spans="1:9">
      <c r="A24" s="403">
        <v>3</v>
      </c>
      <c r="B24" s="404" t="s">
        <v>2036</v>
      </c>
      <c r="C24" s="404" t="s">
        <v>2037</v>
      </c>
      <c r="D24" s="404"/>
      <c r="E24" s="404">
        <f>2-2+38-38</f>
        <v>0</v>
      </c>
      <c r="F24" s="404">
        <v>38</v>
      </c>
      <c r="G24" s="404"/>
      <c r="H24" s="404"/>
      <c r="I24" s="404"/>
    </row>
    <row r="25" spans="1:9">
      <c r="A25" s="403"/>
      <c r="B25" s="404"/>
      <c r="C25" s="404" t="s">
        <v>2038</v>
      </c>
      <c r="D25" s="404">
        <f>1-1</f>
        <v>0</v>
      </c>
      <c r="E25" s="404">
        <f>24-24</f>
        <v>0</v>
      </c>
      <c r="F25" s="404">
        <v>0</v>
      </c>
      <c r="G25" s="404"/>
      <c r="H25" s="404"/>
      <c r="I25" s="404">
        <v>0</v>
      </c>
    </row>
    <row r="26" spans="1:9">
      <c r="A26" s="403"/>
      <c r="B26" s="404"/>
      <c r="C26" s="404" t="s">
        <v>2039</v>
      </c>
      <c r="D26" s="404">
        <f>10</f>
        <v>10</v>
      </c>
      <c r="E26" s="404"/>
      <c r="F26" s="404">
        <f>38-38</f>
        <v>0</v>
      </c>
      <c r="G26" s="404"/>
      <c r="H26" s="404"/>
      <c r="I26" s="404"/>
    </row>
    <row r="27" spans="1:9">
      <c r="A27" s="403"/>
      <c r="B27" s="404"/>
      <c r="C27" s="404" t="s">
        <v>2040</v>
      </c>
      <c r="D27" s="404"/>
      <c r="E27" s="404"/>
      <c r="F27" s="404">
        <v>0</v>
      </c>
      <c r="G27" s="404">
        <f>24-24</f>
        <v>0</v>
      </c>
      <c r="H27" s="404"/>
      <c r="I27" s="404"/>
    </row>
    <row r="28" spans="1:9">
      <c r="A28" s="403"/>
      <c r="B28" s="404"/>
      <c r="C28" s="404" t="s">
        <v>2041</v>
      </c>
      <c r="D28" s="404">
        <f>44-44</f>
        <v>0</v>
      </c>
      <c r="E28" s="404">
        <f>44-44</f>
        <v>0</v>
      </c>
      <c r="F28" s="404">
        <v>0</v>
      </c>
      <c r="G28" s="404"/>
      <c r="H28" s="404"/>
      <c r="I28" s="404"/>
    </row>
    <row r="29" spans="1:9">
      <c r="A29" s="403"/>
      <c r="B29" s="404"/>
      <c r="C29" s="404" t="s">
        <v>2042</v>
      </c>
      <c r="D29" s="404">
        <f>33-33</f>
        <v>0</v>
      </c>
      <c r="E29" s="404">
        <f>87+33+49-87-33-49</f>
        <v>0</v>
      </c>
      <c r="F29" s="404">
        <v>49</v>
      </c>
      <c r="G29" s="404"/>
      <c r="H29" s="404"/>
      <c r="I29" s="404"/>
    </row>
    <row r="30" spans="1:9">
      <c r="A30" s="403"/>
      <c r="B30" s="404"/>
      <c r="C30" s="404" t="s">
        <v>2043</v>
      </c>
      <c r="D30" s="404">
        <f>14-14</f>
        <v>0</v>
      </c>
      <c r="E30" s="404">
        <f>14-14</f>
        <v>0</v>
      </c>
      <c r="F30" s="404">
        <v>0</v>
      </c>
      <c r="G30" s="404"/>
      <c r="H30" s="404"/>
      <c r="I30" s="404"/>
    </row>
    <row r="31" spans="1:9">
      <c r="A31" s="403"/>
      <c r="B31" s="404"/>
      <c r="C31" s="404" t="s">
        <v>2044</v>
      </c>
      <c r="D31" s="404">
        <f>43-43</f>
        <v>0</v>
      </c>
      <c r="E31" s="404">
        <v>43</v>
      </c>
      <c r="F31" s="404"/>
      <c r="G31" s="404"/>
      <c r="H31" s="404"/>
      <c r="I31" s="404"/>
    </row>
    <row r="32" spans="1:9">
      <c r="A32" s="403"/>
      <c r="B32" s="404"/>
      <c r="C32" s="404" t="s">
        <v>2045</v>
      </c>
      <c r="D32" s="404">
        <f>19-19</f>
        <v>0</v>
      </c>
      <c r="E32" s="404">
        <v>19</v>
      </c>
      <c r="F32" s="404"/>
      <c r="G32" s="404"/>
      <c r="H32" s="404"/>
      <c r="I32" s="404"/>
    </row>
    <row r="33" spans="1:9">
      <c r="A33" s="403"/>
      <c r="B33" s="404"/>
      <c r="C33" s="404" t="s">
        <v>2046</v>
      </c>
      <c r="D33" s="404"/>
      <c r="E33" s="404">
        <f>46-46</f>
        <v>0</v>
      </c>
      <c r="F33" s="404">
        <v>46</v>
      </c>
      <c r="G33" s="404"/>
      <c r="H33" s="404"/>
      <c r="I33" s="404"/>
    </row>
    <row r="34" spans="1:9">
      <c r="A34" s="403"/>
      <c r="B34" s="404"/>
      <c r="C34" s="404" t="s">
        <v>2304</v>
      </c>
      <c r="D34" s="404">
        <f>60</f>
        <v>60</v>
      </c>
      <c r="E34" s="404"/>
      <c r="F34" s="404"/>
      <c r="G34" s="404"/>
      <c r="H34" s="404"/>
      <c r="I34" s="404"/>
    </row>
    <row r="35" spans="1:9">
      <c r="A35" s="403">
        <v>4</v>
      </c>
      <c r="B35" s="404" t="s">
        <v>2047</v>
      </c>
      <c r="C35" s="404" t="s">
        <v>2048</v>
      </c>
      <c r="D35" s="404">
        <f>70-70</f>
        <v>0</v>
      </c>
      <c r="E35" s="404">
        <f>50+40-50-40+56+70-56</f>
        <v>70</v>
      </c>
      <c r="F35" s="404">
        <v>56</v>
      </c>
      <c r="G35" s="404"/>
      <c r="H35" s="404">
        <f>22-22</f>
        <v>0</v>
      </c>
      <c r="I35" s="404"/>
    </row>
    <row r="36" spans="1:9">
      <c r="A36" s="403"/>
      <c r="B36" s="404"/>
      <c r="C36" s="404" t="s">
        <v>2049</v>
      </c>
      <c r="D36" s="404">
        <f>1+1+1+21-21-1-1</f>
        <v>1</v>
      </c>
      <c r="E36" s="404">
        <f>78+69+1+31+97+40-97-69-1-78-31-40+37+21</f>
        <v>58</v>
      </c>
      <c r="F36" s="404"/>
      <c r="G36" s="404"/>
      <c r="H36" s="404">
        <v>31</v>
      </c>
      <c r="I36" s="404">
        <f>1+1</f>
        <v>2</v>
      </c>
    </row>
    <row r="37" spans="1:9">
      <c r="A37" s="403"/>
      <c r="B37" s="404"/>
      <c r="C37" s="404" t="s">
        <v>2050</v>
      </c>
      <c r="D37" s="404">
        <f>6-6</f>
        <v>0</v>
      </c>
      <c r="E37" s="404">
        <f>101+2+37+20+2-101-2-37-20-2+6</f>
        <v>6</v>
      </c>
      <c r="F37" s="404">
        <v>0</v>
      </c>
      <c r="G37" s="404"/>
      <c r="H37" s="404"/>
      <c r="I37" s="404"/>
    </row>
    <row r="38" spans="1:9">
      <c r="A38" s="403"/>
      <c r="B38" s="404"/>
      <c r="C38" s="404" t="s">
        <v>2051</v>
      </c>
      <c r="D38" s="404"/>
      <c r="E38" s="404">
        <v>44</v>
      </c>
      <c r="F38" s="404"/>
      <c r="G38" s="404"/>
      <c r="H38" s="404"/>
      <c r="I38" s="404"/>
    </row>
    <row r="39" spans="1:9">
      <c r="A39" s="403">
        <v>5</v>
      </c>
      <c r="B39" s="404" t="s">
        <v>2052</v>
      </c>
      <c r="C39" s="404" t="s">
        <v>2053</v>
      </c>
      <c r="D39" s="404">
        <f>1-1+2+5+3-3+2+13-13+26-26+20+3+20-20+50+21+15-5+60-60-50-15-3</f>
        <v>45</v>
      </c>
      <c r="E39" s="404">
        <f>74+1+26-74-1+20-26-20+1+7+15+20+33+41+50+60+20</f>
        <v>247</v>
      </c>
      <c r="F39" s="404">
        <v>0</v>
      </c>
      <c r="G39" s="404">
        <f>54-54</f>
        <v>0</v>
      </c>
      <c r="H39" s="404"/>
      <c r="I39" s="404">
        <f>2</f>
        <v>2</v>
      </c>
    </row>
    <row r="40" spans="1:9">
      <c r="A40" s="403"/>
      <c r="B40" s="404"/>
      <c r="C40" s="404" t="s">
        <v>2052</v>
      </c>
      <c r="D40" s="404">
        <f>3+1-3-1</f>
        <v>0</v>
      </c>
      <c r="E40" s="404">
        <f>9-9+68+14-14-68</f>
        <v>0</v>
      </c>
      <c r="F40" s="404">
        <v>68</v>
      </c>
      <c r="G40" s="404"/>
      <c r="H40" s="404"/>
      <c r="I40" s="404">
        <v>4</v>
      </c>
    </row>
    <row r="41" spans="1:9">
      <c r="A41" s="403"/>
      <c r="B41" s="404"/>
      <c r="C41" s="404" t="s">
        <v>2054</v>
      </c>
      <c r="D41" s="404">
        <f>1-1</f>
        <v>0</v>
      </c>
      <c r="E41" s="404">
        <f>53+35-53</f>
        <v>35</v>
      </c>
      <c r="F41" s="404">
        <f>53</f>
        <v>53</v>
      </c>
      <c r="G41" s="404"/>
      <c r="H41" s="404"/>
      <c r="I41" s="404"/>
    </row>
    <row r="42" spans="1:9">
      <c r="A42" s="403"/>
      <c r="B42" s="404"/>
      <c r="C42" s="404" t="s">
        <v>2055</v>
      </c>
      <c r="D42" s="404"/>
      <c r="E42" s="404"/>
      <c r="F42" s="404"/>
      <c r="G42" s="404">
        <f>70</f>
        <v>70</v>
      </c>
      <c r="H42" s="404"/>
      <c r="I42" s="404"/>
    </row>
    <row r="43" spans="1:9">
      <c r="A43" s="403"/>
      <c r="B43" s="404"/>
      <c r="C43" s="404" t="s">
        <v>2056</v>
      </c>
      <c r="D43" s="404"/>
      <c r="E43" s="404">
        <f>51+1-51-1</f>
        <v>0</v>
      </c>
      <c r="F43" s="404">
        <v>1</v>
      </c>
      <c r="G43" s="404"/>
      <c r="H43" s="404"/>
      <c r="I43" s="404"/>
    </row>
    <row r="44" spans="1:9" ht="33.75">
      <c r="A44" s="403"/>
      <c r="B44" s="404"/>
      <c r="C44" s="173" t="s">
        <v>2424</v>
      </c>
      <c r="D44" s="404">
        <f>4-4</f>
        <v>0</v>
      </c>
      <c r="E44" s="404"/>
      <c r="F44" s="404"/>
      <c r="G44" s="404">
        <f>38+4</f>
        <v>42</v>
      </c>
      <c r="H44" s="404">
        <f>38+4-38-4</f>
        <v>0</v>
      </c>
      <c r="I44" s="404"/>
    </row>
    <row r="45" spans="1:9">
      <c r="A45" s="403"/>
      <c r="B45" s="404"/>
      <c r="C45" s="404" t="s">
        <v>2058</v>
      </c>
      <c r="D45" s="404">
        <f>24+18-24-18</f>
        <v>0</v>
      </c>
      <c r="E45" s="404">
        <f>24-24</f>
        <v>0</v>
      </c>
      <c r="F45" s="404">
        <v>0</v>
      </c>
      <c r="G45" s="404"/>
      <c r="H45" s="404"/>
      <c r="I45" s="404"/>
    </row>
    <row r="46" spans="1:9">
      <c r="A46" s="403"/>
      <c r="B46" s="404"/>
      <c r="C46" s="404" t="s">
        <v>2059</v>
      </c>
      <c r="D46" s="404"/>
      <c r="E46" s="404">
        <f>50-50</f>
        <v>0</v>
      </c>
      <c r="F46" s="404">
        <v>0</v>
      </c>
      <c r="G46" s="404"/>
      <c r="H46" s="404"/>
      <c r="I46" s="404"/>
    </row>
    <row r="47" spans="1:9">
      <c r="A47" s="403"/>
      <c r="B47" s="404"/>
      <c r="C47" s="134" t="s">
        <v>1619</v>
      </c>
      <c r="D47" s="404"/>
      <c r="E47" s="404">
        <f>69+1-69-1</f>
        <v>0</v>
      </c>
      <c r="F47" s="404">
        <f>69+1</f>
        <v>70</v>
      </c>
      <c r="G47" s="404"/>
      <c r="H47" s="404"/>
      <c r="I47" s="404"/>
    </row>
    <row r="48" spans="1:9">
      <c r="A48" s="403"/>
      <c r="B48" s="404"/>
      <c r="C48" s="404" t="s">
        <v>2061</v>
      </c>
      <c r="D48" s="404"/>
      <c r="E48" s="404">
        <f>63+5-63-5</f>
        <v>0</v>
      </c>
      <c r="F48" s="404">
        <f>63+5</f>
        <v>68</v>
      </c>
      <c r="G48" s="404"/>
      <c r="H48" s="404"/>
      <c r="I48" s="404"/>
    </row>
    <row r="49" spans="1:9">
      <c r="A49" s="403"/>
      <c r="B49" s="404"/>
      <c r="C49" s="404" t="s">
        <v>2062</v>
      </c>
      <c r="D49" s="404"/>
      <c r="E49" s="404">
        <f>25</f>
        <v>25</v>
      </c>
      <c r="F49" s="404"/>
      <c r="G49" s="404"/>
      <c r="H49" s="404"/>
      <c r="I49" s="404"/>
    </row>
    <row r="50" spans="1:9">
      <c r="A50" s="403"/>
      <c r="B50" s="404"/>
      <c r="C50" s="404" t="s">
        <v>2063</v>
      </c>
      <c r="D50" s="404">
        <f>39+37-39-37</f>
        <v>0</v>
      </c>
      <c r="E50" s="404">
        <f>39+37</f>
        <v>76</v>
      </c>
      <c r="F50" s="404"/>
      <c r="G50" s="404"/>
      <c r="H50" s="404"/>
      <c r="I50" s="404"/>
    </row>
    <row r="51" spans="1:9" ht="33.75">
      <c r="A51" s="403"/>
      <c r="B51" s="404"/>
      <c r="C51" s="728" t="s">
        <v>2425</v>
      </c>
      <c r="D51" s="404"/>
      <c r="E51" s="404">
        <v>40</v>
      </c>
      <c r="F51" s="404"/>
      <c r="G51" s="404"/>
      <c r="H51" s="404"/>
      <c r="I51" s="404"/>
    </row>
    <row r="52" spans="1:9">
      <c r="A52" s="403"/>
      <c r="B52" s="404"/>
      <c r="C52" s="404" t="s">
        <v>2308</v>
      </c>
      <c r="D52" s="404"/>
      <c r="E52" s="404">
        <f>70-69-1+38</f>
        <v>38</v>
      </c>
      <c r="F52" s="404">
        <v>0</v>
      </c>
      <c r="G52" s="404"/>
      <c r="H52" s="404"/>
      <c r="I52" s="404"/>
    </row>
    <row r="53" spans="1:9">
      <c r="A53" s="403"/>
      <c r="B53" s="404"/>
      <c r="C53" s="404" t="s">
        <v>2305</v>
      </c>
      <c r="D53" s="404"/>
      <c r="E53" s="404">
        <v>61</v>
      </c>
      <c r="F53" s="404"/>
      <c r="G53" s="404"/>
      <c r="H53" s="404"/>
      <c r="I53" s="404"/>
    </row>
    <row r="54" spans="1:9">
      <c r="A54" s="403">
        <v>6</v>
      </c>
      <c r="B54" s="404" t="s">
        <v>755</v>
      </c>
      <c r="C54" s="404" t="s">
        <v>2064</v>
      </c>
      <c r="D54" s="404">
        <f>1+38+3-38-1</f>
        <v>3</v>
      </c>
      <c r="E54" s="404">
        <f>52-52+38-38</f>
        <v>0</v>
      </c>
      <c r="F54" s="404">
        <v>0</v>
      </c>
      <c r="G54" s="404"/>
      <c r="H54" s="404"/>
      <c r="I54" s="404">
        <v>1</v>
      </c>
    </row>
    <row r="55" spans="1:9">
      <c r="A55" s="403"/>
      <c r="B55" s="404"/>
      <c r="C55" s="404" t="s">
        <v>2065</v>
      </c>
      <c r="D55" s="404">
        <f>57+22-22-57</f>
        <v>0</v>
      </c>
      <c r="E55" s="404">
        <f>57+41-57</f>
        <v>41</v>
      </c>
      <c r="F55" s="404">
        <f>71-71+57</f>
        <v>57</v>
      </c>
      <c r="G55" s="404"/>
      <c r="H55" s="404"/>
      <c r="I55" s="404"/>
    </row>
    <row r="56" spans="1:9">
      <c r="A56" s="403"/>
      <c r="B56" s="404"/>
      <c r="C56" s="404" t="s">
        <v>2066</v>
      </c>
      <c r="D56" s="404"/>
      <c r="E56" s="404">
        <f>30</f>
        <v>30</v>
      </c>
      <c r="F56" s="404"/>
      <c r="G56" s="404"/>
      <c r="H56" s="404"/>
      <c r="I56" s="404"/>
    </row>
    <row r="57" spans="1:9">
      <c r="A57" s="403"/>
      <c r="B57" s="404"/>
      <c r="C57" s="404" t="s">
        <v>2067</v>
      </c>
      <c r="D57" s="404">
        <f>11-11</f>
        <v>0</v>
      </c>
      <c r="E57" s="404">
        <f>11-11+34</f>
        <v>34</v>
      </c>
      <c r="F57" s="404"/>
      <c r="G57" s="404">
        <f>43</f>
        <v>43</v>
      </c>
      <c r="H57" s="404"/>
      <c r="I57" s="404"/>
    </row>
    <row r="58" spans="1:9">
      <c r="A58" s="403"/>
      <c r="B58" s="404"/>
      <c r="C58" s="404" t="s">
        <v>2068</v>
      </c>
      <c r="D58" s="404">
        <f>1-1</f>
        <v>0</v>
      </c>
      <c r="E58" s="404">
        <f>44-44</f>
        <v>0</v>
      </c>
      <c r="F58" s="404">
        <f>44+1</f>
        <v>45</v>
      </c>
      <c r="G58" s="404"/>
      <c r="H58" s="404"/>
      <c r="I58" s="404"/>
    </row>
    <row r="59" spans="1:9">
      <c r="A59" s="403"/>
      <c r="B59" s="404"/>
      <c r="C59" s="134" t="s">
        <v>126</v>
      </c>
      <c r="D59" s="404"/>
      <c r="E59" s="404">
        <f>34</f>
        <v>34</v>
      </c>
      <c r="F59" s="404"/>
      <c r="G59" s="404"/>
      <c r="H59" s="404"/>
      <c r="I59" s="404"/>
    </row>
    <row r="60" spans="1:9">
      <c r="A60" s="403"/>
      <c r="B60" s="404"/>
      <c r="C60" s="404" t="s">
        <v>2070</v>
      </c>
      <c r="D60" s="404">
        <f>41-41</f>
        <v>0</v>
      </c>
      <c r="E60" s="404">
        <f>41+59</f>
        <v>100</v>
      </c>
      <c r="F60" s="404"/>
      <c r="G60" s="404"/>
      <c r="H60" s="404"/>
      <c r="I60" s="404"/>
    </row>
    <row r="61" spans="1:9">
      <c r="A61" s="403">
        <v>7</v>
      </c>
      <c r="B61" s="404" t="s">
        <v>2071</v>
      </c>
      <c r="C61" s="404" t="s">
        <v>2072</v>
      </c>
      <c r="D61" s="404">
        <f>25+45-45+19+2-2-19</f>
        <v>25</v>
      </c>
      <c r="E61" s="404">
        <v>19</v>
      </c>
      <c r="F61" s="404">
        <v>0</v>
      </c>
      <c r="G61" s="404"/>
      <c r="H61" s="404"/>
      <c r="I61" s="404">
        <v>0</v>
      </c>
    </row>
    <row r="62" spans="1:9">
      <c r="A62" s="403"/>
      <c r="B62" s="404"/>
      <c r="C62" s="404" t="s">
        <v>2073</v>
      </c>
      <c r="D62" s="404">
        <f>1+1-2</f>
        <v>0</v>
      </c>
      <c r="E62" s="404">
        <f>45-45+2</f>
        <v>2</v>
      </c>
      <c r="F62" s="404">
        <v>0</v>
      </c>
      <c r="G62" s="404"/>
      <c r="H62" s="404"/>
      <c r="I62" s="404"/>
    </row>
    <row r="63" spans="1:9">
      <c r="A63" s="403"/>
      <c r="B63" s="404"/>
      <c r="C63" s="404" t="s">
        <v>2074</v>
      </c>
      <c r="D63" s="404">
        <f>3+11+35-34-11</f>
        <v>4</v>
      </c>
      <c r="E63" s="404">
        <f>46+11+34+13+3-11-34-46</f>
        <v>16</v>
      </c>
      <c r="F63" s="404">
        <f>46</f>
        <v>46</v>
      </c>
      <c r="G63" s="404">
        <f>46-46</f>
        <v>0</v>
      </c>
      <c r="H63" s="404"/>
      <c r="I63" s="404"/>
    </row>
    <row r="64" spans="1:9">
      <c r="A64" s="403"/>
      <c r="B64" s="404"/>
      <c r="C64" s="404" t="s">
        <v>2075</v>
      </c>
      <c r="D64" s="404">
        <f>57-57+54</f>
        <v>54</v>
      </c>
      <c r="E64" s="404">
        <f>42+1+87-42-1-87+57</f>
        <v>57</v>
      </c>
      <c r="F64" s="404"/>
      <c r="G64" s="404"/>
      <c r="H64" s="404"/>
      <c r="I64" s="404"/>
    </row>
    <row r="65" spans="1:9">
      <c r="A65" s="403"/>
      <c r="B65" s="404"/>
      <c r="C65" s="404" t="s">
        <v>2076</v>
      </c>
      <c r="D65" s="404">
        <f>4+22-22</f>
        <v>4</v>
      </c>
      <c r="E65" s="404">
        <f>22-22</f>
        <v>0</v>
      </c>
      <c r="F65" s="404">
        <v>0</v>
      </c>
      <c r="G65" s="404"/>
      <c r="H65" s="404"/>
      <c r="I65" s="404"/>
    </row>
    <row r="66" spans="1:9">
      <c r="A66" s="403"/>
      <c r="B66" s="404"/>
      <c r="C66" s="404" t="s">
        <v>2077</v>
      </c>
      <c r="D66" s="404"/>
      <c r="E66" s="404">
        <f>45-45</f>
        <v>0</v>
      </c>
      <c r="F66" s="404">
        <v>0</v>
      </c>
      <c r="G66" s="404"/>
      <c r="H66" s="404"/>
      <c r="I66" s="404"/>
    </row>
    <row r="67" spans="1:9">
      <c r="A67" s="403"/>
      <c r="B67" s="404"/>
      <c r="C67" s="404" t="s">
        <v>2078</v>
      </c>
      <c r="D67" s="404"/>
      <c r="E67" s="404">
        <f>34-34</f>
        <v>0</v>
      </c>
      <c r="F67" s="404">
        <v>0</v>
      </c>
      <c r="G67" s="404"/>
      <c r="H67" s="404"/>
      <c r="I67" s="404"/>
    </row>
    <row r="68" spans="1:9">
      <c r="A68" s="403"/>
      <c r="B68" s="404"/>
      <c r="C68" s="404" t="s">
        <v>2079</v>
      </c>
      <c r="D68" s="404">
        <f>17-17</f>
        <v>0</v>
      </c>
      <c r="E68" s="404">
        <f>17-17</f>
        <v>0</v>
      </c>
      <c r="F68" s="404">
        <v>0</v>
      </c>
      <c r="G68" s="404"/>
      <c r="H68" s="404"/>
      <c r="I68" s="404"/>
    </row>
    <row r="69" spans="1:9">
      <c r="A69" s="403"/>
      <c r="B69" s="404"/>
      <c r="C69" s="404" t="s">
        <v>2080</v>
      </c>
      <c r="D69" s="404">
        <f>59-59</f>
        <v>0</v>
      </c>
      <c r="E69" s="404">
        <f>59</f>
        <v>59</v>
      </c>
      <c r="F69" s="404"/>
      <c r="G69" s="404"/>
      <c r="H69" s="404"/>
      <c r="I69" s="404"/>
    </row>
    <row r="70" spans="1:9">
      <c r="A70" s="403"/>
      <c r="B70" s="404"/>
      <c r="C70" s="404" t="s">
        <v>2081</v>
      </c>
      <c r="D70" s="404">
        <f>45-45</f>
        <v>0</v>
      </c>
      <c r="E70" s="404">
        <f>45-45</f>
        <v>0</v>
      </c>
      <c r="F70" s="404">
        <v>0</v>
      </c>
      <c r="G70" s="404"/>
      <c r="H70" s="404"/>
      <c r="I70" s="404"/>
    </row>
    <row r="71" spans="1:9">
      <c r="A71" s="403"/>
      <c r="B71" s="404"/>
      <c r="C71" s="404" t="s">
        <v>2082</v>
      </c>
      <c r="D71" s="404"/>
      <c r="E71" s="404">
        <f>38-38</f>
        <v>0</v>
      </c>
      <c r="F71" s="404">
        <v>38</v>
      </c>
      <c r="G71" s="404"/>
      <c r="H71" s="404"/>
      <c r="I71" s="404"/>
    </row>
    <row r="72" spans="1:9">
      <c r="A72" s="403"/>
      <c r="B72" s="404"/>
      <c r="C72" s="404"/>
      <c r="D72" s="404"/>
      <c r="E72" s="404"/>
      <c r="F72" s="404"/>
      <c r="G72" s="404"/>
      <c r="H72" s="404"/>
      <c r="I72" s="404"/>
    </row>
    <row r="73" spans="1:9">
      <c r="A73" s="403">
        <v>8</v>
      </c>
      <c r="B73" s="404" t="s">
        <v>2083</v>
      </c>
      <c r="C73" s="404" t="s">
        <v>2084</v>
      </c>
      <c r="D73" s="404">
        <f>35-35+15-15</f>
        <v>0</v>
      </c>
      <c r="E73" s="404">
        <f>35-35+15-15</f>
        <v>0</v>
      </c>
      <c r="F73" s="404">
        <v>15</v>
      </c>
      <c r="G73" s="404"/>
      <c r="H73" s="404"/>
      <c r="I73" s="404"/>
    </row>
    <row r="74" spans="1:9">
      <c r="A74" s="403"/>
      <c r="B74" s="404"/>
      <c r="C74" s="404" t="s">
        <v>2085</v>
      </c>
      <c r="D74" s="404">
        <f>1</f>
        <v>1</v>
      </c>
      <c r="E74" s="404">
        <f>58+18-58-18</f>
        <v>0</v>
      </c>
      <c r="F74" s="404">
        <f>58+18</f>
        <v>76</v>
      </c>
      <c r="G74" s="404"/>
      <c r="H74" s="404"/>
      <c r="I74" s="404"/>
    </row>
    <row r="75" spans="1:9">
      <c r="A75" s="403"/>
      <c r="B75" s="404"/>
      <c r="C75" s="404" t="s">
        <v>2086</v>
      </c>
      <c r="D75" s="404">
        <f>30-30</f>
        <v>0</v>
      </c>
      <c r="E75" s="404">
        <v>30</v>
      </c>
      <c r="F75" s="404"/>
      <c r="G75" s="404"/>
      <c r="H75" s="404"/>
      <c r="I75" s="404"/>
    </row>
    <row r="76" spans="1:9">
      <c r="A76" s="403">
        <v>9</v>
      </c>
      <c r="B76" s="404" t="s">
        <v>2087</v>
      </c>
      <c r="C76" s="404" t="s">
        <v>2087</v>
      </c>
      <c r="D76" s="404">
        <f>4+1-4-1</f>
        <v>0</v>
      </c>
      <c r="E76" s="404">
        <v>29</v>
      </c>
      <c r="F76" s="404">
        <v>0</v>
      </c>
      <c r="G76" s="404"/>
      <c r="H76" s="404"/>
      <c r="I76" s="404">
        <v>0</v>
      </c>
    </row>
    <row r="77" spans="1:9">
      <c r="A77" s="403"/>
      <c r="B77" s="404"/>
      <c r="C77" s="404" t="s">
        <v>2088</v>
      </c>
      <c r="D77" s="404"/>
      <c r="E77" s="404">
        <f>2-2+27+31-31</f>
        <v>27</v>
      </c>
      <c r="F77" s="404">
        <v>31</v>
      </c>
      <c r="G77" s="404">
        <f>47</f>
        <v>47</v>
      </c>
      <c r="H77" s="404">
        <f>2</f>
        <v>2</v>
      </c>
      <c r="I77" s="404"/>
    </row>
    <row r="78" spans="1:9">
      <c r="A78" s="403"/>
      <c r="B78" s="404"/>
      <c r="C78" s="404" t="s">
        <v>2089</v>
      </c>
      <c r="D78" s="404">
        <f>1-1</f>
        <v>0</v>
      </c>
      <c r="E78" s="404"/>
      <c r="F78" s="404">
        <f>38+1-38-1</f>
        <v>0</v>
      </c>
      <c r="G78" s="404"/>
      <c r="H78" s="404"/>
      <c r="I78" s="404">
        <v>0</v>
      </c>
    </row>
    <row r="79" spans="1:9">
      <c r="A79" s="403"/>
      <c r="B79" s="404"/>
      <c r="C79" s="404" t="s">
        <v>2090</v>
      </c>
      <c r="D79" s="404">
        <f>74-71</f>
        <v>3</v>
      </c>
      <c r="E79" s="404">
        <f>71-71</f>
        <v>0</v>
      </c>
      <c r="F79" s="404">
        <v>0</v>
      </c>
      <c r="G79" s="404"/>
      <c r="H79" s="404"/>
      <c r="I79" s="404"/>
    </row>
    <row r="80" spans="1:9">
      <c r="A80" s="403"/>
      <c r="B80" s="404"/>
      <c r="C80" s="404" t="s">
        <v>2091</v>
      </c>
      <c r="D80" s="404"/>
      <c r="E80" s="404"/>
      <c r="F80" s="404"/>
      <c r="G80" s="404"/>
      <c r="H80" s="404">
        <f>13</f>
        <v>13</v>
      </c>
      <c r="I80" s="404"/>
    </row>
    <row r="81" spans="1:9">
      <c r="A81" s="403"/>
      <c r="B81" s="404"/>
      <c r="C81" s="134" t="s">
        <v>2429</v>
      </c>
      <c r="D81" s="404">
        <f>1+19</f>
        <v>20</v>
      </c>
      <c r="E81" s="404">
        <f>57</f>
        <v>57</v>
      </c>
      <c r="F81" s="404"/>
      <c r="G81" s="404"/>
      <c r="H81" s="404"/>
      <c r="I81" s="404"/>
    </row>
    <row r="82" spans="1:9">
      <c r="A82" s="403"/>
      <c r="B82" s="404"/>
      <c r="C82" s="404" t="s">
        <v>2309</v>
      </c>
      <c r="D82" s="404"/>
      <c r="E82" s="404">
        <v>41</v>
      </c>
      <c r="F82" s="404"/>
      <c r="G82" s="404"/>
      <c r="H82" s="404"/>
      <c r="I82" s="404"/>
    </row>
    <row r="83" spans="1:9">
      <c r="A83" s="403"/>
      <c r="B83" s="404"/>
      <c r="C83" s="404" t="s">
        <v>2430</v>
      </c>
      <c r="D83" s="404">
        <v>34</v>
      </c>
      <c r="E83" s="404"/>
      <c r="F83" s="404"/>
      <c r="G83" s="404"/>
      <c r="H83" s="404"/>
      <c r="I83" s="404"/>
    </row>
    <row r="84" spans="1:9">
      <c r="A84" s="403">
        <v>10</v>
      </c>
      <c r="B84" s="404" t="s">
        <v>2093</v>
      </c>
      <c r="C84" s="404" t="s">
        <v>2094</v>
      </c>
      <c r="D84" s="404">
        <f>70+1+1+22-22-1</f>
        <v>71</v>
      </c>
      <c r="E84" s="404">
        <f>33+33-33-33+22+33-22+1-34</f>
        <v>0</v>
      </c>
      <c r="F84" s="404">
        <v>34</v>
      </c>
      <c r="G84" s="404"/>
      <c r="H84" s="404">
        <f>33-33</f>
        <v>0</v>
      </c>
      <c r="I84" s="404"/>
    </row>
    <row r="85" spans="1:9">
      <c r="A85" s="403"/>
      <c r="B85" s="404"/>
      <c r="C85" s="404" t="s">
        <v>2095</v>
      </c>
      <c r="D85" s="404">
        <f>3+1+1-1-3-1+38-38</f>
        <v>0</v>
      </c>
      <c r="E85" s="404">
        <f>51-51+66+38</f>
        <v>104</v>
      </c>
      <c r="F85" s="404">
        <v>0</v>
      </c>
      <c r="G85" s="404"/>
      <c r="H85" s="404"/>
      <c r="I85" s="404"/>
    </row>
    <row r="86" spans="1:9">
      <c r="A86" s="403"/>
      <c r="B86" s="404"/>
      <c r="C86" s="404" t="s">
        <v>2096</v>
      </c>
      <c r="D86" s="404">
        <f>3+1</f>
        <v>4</v>
      </c>
      <c r="E86" s="404">
        <f>97-95-2+43-43+13+31+14</f>
        <v>58</v>
      </c>
      <c r="F86" s="404">
        <f>43</f>
        <v>43</v>
      </c>
      <c r="G86" s="404"/>
      <c r="H86" s="404"/>
      <c r="I86" s="404"/>
    </row>
    <row r="87" spans="1:9">
      <c r="A87" s="403"/>
      <c r="B87" s="404"/>
      <c r="C87" s="404" t="s">
        <v>2097</v>
      </c>
      <c r="D87" s="404">
        <f>54-54</f>
        <v>0</v>
      </c>
      <c r="E87" s="404">
        <f>54</f>
        <v>54</v>
      </c>
      <c r="F87" s="404"/>
      <c r="G87" s="404"/>
      <c r="H87" s="404"/>
      <c r="I87" s="404"/>
    </row>
    <row r="88" spans="1:9">
      <c r="A88" s="403"/>
      <c r="B88" s="404"/>
      <c r="C88" s="404" t="s">
        <v>2098</v>
      </c>
      <c r="D88" s="404">
        <f>1</f>
        <v>1</v>
      </c>
      <c r="E88" s="404">
        <f>3-3+60+52+44</f>
        <v>156</v>
      </c>
      <c r="F88" s="404"/>
      <c r="G88" s="404"/>
      <c r="H88" s="404"/>
      <c r="I88" s="404"/>
    </row>
    <row r="89" spans="1:9">
      <c r="A89" s="403"/>
      <c r="B89" s="404"/>
      <c r="C89" s="404" t="s">
        <v>2099</v>
      </c>
      <c r="D89" s="404">
        <f>71-71</f>
        <v>0</v>
      </c>
      <c r="E89" s="404">
        <f>71</f>
        <v>71</v>
      </c>
      <c r="F89" s="404"/>
      <c r="G89" s="404"/>
      <c r="H89" s="404"/>
      <c r="I89" s="404"/>
    </row>
    <row r="90" spans="1:9">
      <c r="A90" s="403"/>
      <c r="B90" s="404"/>
      <c r="C90" s="134" t="s">
        <v>2431</v>
      </c>
      <c r="D90" s="404">
        <f>43-42</f>
        <v>1</v>
      </c>
      <c r="E90" s="404">
        <f>42</f>
        <v>42</v>
      </c>
      <c r="F90" s="404"/>
      <c r="G90" s="404"/>
      <c r="H90" s="404"/>
      <c r="I90" s="404"/>
    </row>
    <row r="91" spans="1:9">
      <c r="A91" s="403"/>
      <c r="B91" s="404"/>
      <c r="C91" s="404" t="s">
        <v>2101</v>
      </c>
      <c r="D91" s="404">
        <f>39+1-39</f>
        <v>1</v>
      </c>
      <c r="E91" s="404">
        <f>39</f>
        <v>39</v>
      </c>
      <c r="F91" s="404"/>
      <c r="G91" s="404"/>
      <c r="H91" s="404"/>
      <c r="I91" s="404"/>
    </row>
    <row r="92" spans="1:9">
      <c r="A92" s="403"/>
      <c r="B92" s="404"/>
      <c r="C92" s="134" t="s">
        <v>2432</v>
      </c>
      <c r="D92" s="404">
        <f>15-15+2</f>
        <v>2</v>
      </c>
      <c r="E92" s="404">
        <f>51</f>
        <v>51</v>
      </c>
      <c r="F92" s="404">
        <f>15</f>
        <v>15</v>
      </c>
      <c r="G92" s="404"/>
      <c r="H92" s="404"/>
      <c r="I92" s="404"/>
    </row>
    <row r="93" spans="1:9">
      <c r="A93" s="403">
        <v>11</v>
      </c>
      <c r="B93" s="404" t="s">
        <v>2103</v>
      </c>
      <c r="C93" s="404" t="s">
        <v>2104</v>
      </c>
      <c r="D93" s="404">
        <f>84+63-84-63</f>
        <v>0</v>
      </c>
      <c r="E93" s="404">
        <f>63-63</f>
        <v>0</v>
      </c>
      <c r="F93" s="404">
        <f>63</f>
        <v>63</v>
      </c>
      <c r="G93" s="404"/>
      <c r="H93" s="404"/>
      <c r="I93" s="404"/>
    </row>
    <row r="94" spans="1:9">
      <c r="A94" s="403"/>
      <c r="B94" s="404"/>
      <c r="C94" s="404" t="s">
        <v>2105</v>
      </c>
      <c r="D94" s="404">
        <f>1</f>
        <v>1</v>
      </c>
      <c r="E94" s="404">
        <f>58-58</f>
        <v>0</v>
      </c>
      <c r="F94" s="404">
        <f>58</f>
        <v>58</v>
      </c>
      <c r="G94" s="404"/>
      <c r="H94" s="404"/>
      <c r="I94" s="404"/>
    </row>
    <row r="95" spans="1:9">
      <c r="A95" s="403"/>
      <c r="B95" s="404"/>
      <c r="C95" s="404" t="s">
        <v>2106</v>
      </c>
      <c r="D95" s="404">
        <f>53-53+1</f>
        <v>1</v>
      </c>
      <c r="E95" s="404">
        <f>3+1+53-1-3</f>
        <v>53</v>
      </c>
      <c r="F95" s="404">
        <f>3</f>
        <v>3</v>
      </c>
      <c r="G95" s="404"/>
      <c r="H95" s="404"/>
      <c r="I95" s="404"/>
    </row>
    <row r="96" spans="1:9">
      <c r="A96" s="403"/>
      <c r="B96" s="404"/>
      <c r="C96" s="404" t="s">
        <v>2107</v>
      </c>
      <c r="D96" s="404">
        <f>2+1+7+55-7-55-2-1</f>
        <v>0</v>
      </c>
      <c r="E96" s="404">
        <f>47+3+16+7-47-3-16+55-55-7</f>
        <v>0</v>
      </c>
      <c r="F96" s="404">
        <v>0</v>
      </c>
      <c r="G96" s="404"/>
      <c r="H96" s="404"/>
      <c r="I96" s="404">
        <v>0</v>
      </c>
    </row>
    <row r="97" spans="1:9">
      <c r="A97" s="403"/>
      <c r="B97" s="404"/>
      <c r="C97" s="404" t="s">
        <v>2108</v>
      </c>
      <c r="D97" s="404">
        <f>1-1+54+18-18</f>
        <v>54</v>
      </c>
      <c r="E97" s="404">
        <f>15+12-15-12</f>
        <v>0</v>
      </c>
      <c r="F97" s="404">
        <f>18</f>
        <v>18</v>
      </c>
      <c r="G97" s="404"/>
      <c r="H97" s="404"/>
      <c r="I97" s="404"/>
    </row>
    <row r="98" spans="1:9">
      <c r="A98" s="403"/>
      <c r="B98" s="404"/>
      <c r="C98" s="404" t="s">
        <v>2109</v>
      </c>
      <c r="D98" s="404">
        <f>4+39-4-37+54-54+17-17-2</f>
        <v>0</v>
      </c>
      <c r="E98" s="404">
        <f>37+18-18+54+31+27-54-31+17+4-54-31+17</f>
        <v>17</v>
      </c>
      <c r="F98" s="404">
        <f>54+31</f>
        <v>85</v>
      </c>
      <c r="G98" s="404">
        <v>39</v>
      </c>
      <c r="H98" s="404"/>
      <c r="I98" s="404">
        <v>0</v>
      </c>
    </row>
    <row r="99" spans="1:9">
      <c r="A99" s="403"/>
      <c r="B99" s="404"/>
      <c r="C99" s="404" t="s">
        <v>2110</v>
      </c>
      <c r="D99" s="404">
        <f>13+1+32+28-32-13-28-1</f>
        <v>0</v>
      </c>
      <c r="E99" s="404">
        <f>10-10+32+13+28-13-32-28+44+18+47+44</f>
        <v>153</v>
      </c>
      <c r="F99" s="404"/>
      <c r="G99" s="404"/>
      <c r="H99" s="404"/>
      <c r="I99" s="404"/>
    </row>
    <row r="100" spans="1:9">
      <c r="A100" s="403"/>
      <c r="B100" s="404"/>
      <c r="C100" s="404" t="s">
        <v>2111</v>
      </c>
      <c r="D100" s="404">
        <f>20-20+15-15+28-28</f>
        <v>0</v>
      </c>
      <c r="E100" s="404">
        <f>38+6+15+4+16+47+20-38-6-16+15-20-15-47-15-4+28+32</f>
        <v>60</v>
      </c>
      <c r="F100" s="404">
        <v>0</v>
      </c>
      <c r="G100" s="404">
        <f>47-47</f>
        <v>0</v>
      </c>
      <c r="H100" s="404"/>
      <c r="I100" s="404">
        <f>1-1</f>
        <v>0</v>
      </c>
    </row>
    <row r="101" spans="1:9">
      <c r="A101" s="403"/>
      <c r="B101" s="404"/>
      <c r="C101" s="404" t="s">
        <v>2112</v>
      </c>
      <c r="D101" s="404">
        <f>21+21+1+21+10-1-10-21+14-14</f>
        <v>42</v>
      </c>
      <c r="E101" s="404">
        <f>64+56+1+69+9+10+21-64-56-1-69-9-10-21+6+13+4-4-6-13</f>
        <v>0</v>
      </c>
      <c r="F101" s="404">
        <f>4+6+13+14</f>
        <v>37</v>
      </c>
      <c r="G101" s="404"/>
      <c r="H101" s="404"/>
      <c r="I101" s="404"/>
    </row>
    <row r="102" spans="1:9">
      <c r="A102" s="403"/>
      <c r="B102" s="404"/>
      <c r="C102" s="404" t="s">
        <v>2113</v>
      </c>
      <c r="D102" s="404">
        <f>26+1+2+75+68+41+68-73-1-68-41-68+28+17-1-17+56</f>
        <v>113</v>
      </c>
      <c r="E102" s="404">
        <f>28+9+54+14+23+73+68+41-54-14-28-9-23-73-41+25+13+17-13-17-25-68</f>
        <v>0</v>
      </c>
      <c r="F102" s="404">
        <f>13+17+25+68</f>
        <v>123</v>
      </c>
      <c r="G102" s="404"/>
      <c r="H102" s="404"/>
      <c r="I102" s="404">
        <v>0</v>
      </c>
    </row>
    <row r="103" spans="1:9">
      <c r="A103" s="403"/>
      <c r="B103" s="404"/>
      <c r="C103" s="404" t="s">
        <v>2114</v>
      </c>
      <c r="D103" s="404">
        <f>2-2</f>
        <v>0</v>
      </c>
      <c r="E103" s="404"/>
      <c r="F103" s="404">
        <f>40-40</f>
        <v>0</v>
      </c>
      <c r="G103" s="404">
        <v>39</v>
      </c>
      <c r="H103" s="404"/>
      <c r="I103" s="404">
        <v>0</v>
      </c>
    </row>
    <row r="104" spans="1:9">
      <c r="A104" s="403"/>
      <c r="B104" s="404"/>
      <c r="C104" s="404" t="s">
        <v>2115</v>
      </c>
      <c r="D104" s="404">
        <f>10+1-10-1+26</f>
        <v>26</v>
      </c>
      <c r="E104" s="404">
        <f>10+1+40</f>
        <v>51</v>
      </c>
      <c r="F104" s="404">
        <v>0</v>
      </c>
      <c r="G104" s="404">
        <f>18-18</f>
        <v>0</v>
      </c>
      <c r="H104" s="404"/>
      <c r="I104" s="404">
        <f>12-12</f>
        <v>0</v>
      </c>
    </row>
    <row r="105" spans="1:9">
      <c r="A105" s="403"/>
      <c r="B105" s="404"/>
      <c r="C105" s="404" t="s">
        <v>2116</v>
      </c>
      <c r="D105" s="404"/>
      <c r="E105" s="404">
        <f>15-15</f>
        <v>0</v>
      </c>
      <c r="F105" s="404">
        <f>15</f>
        <v>15</v>
      </c>
      <c r="G105" s="404"/>
      <c r="H105" s="404"/>
      <c r="I105" s="404"/>
    </row>
    <row r="106" spans="1:9">
      <c r="A106" s="403"/>
      <c r="B106" s="404"/>
      <c r="C106" s="404" t="s">
        <v>2117</v>
      </c>
      <c r="D106" s="404">
        <f>6-6</f>
        <v>0</v>
      </c>
      <c r="E106" s="404">
        <f>25-25+6</f>
        <v>6</v>
      </c>
      <c r="F106" s="404">
        <v>25</v>
      </c>
      <c r="G106" s="404"/>
      <c r="H106" s="404"/>
      <c r="I106" s="404"/>
    </row>
    <row r="107" spans="1:9">
      <c r="A107" s="403"/>
      <c r="B107" s="404"/>
      <c r="C107" s="404" t="s">
        <v>2118</v>
      </c>
      <c r="D107" s="404">
        <f>62-62</f>
        <v>0</v>
      </c>
      <c r="E107" s="404">
        <f>62</f>
        <v>62</v>
      </c>
      <c r="F107" s="404"/>
      <c r="G107" s="404"/>
      <c r="H107" s="404"/>
      <c r="I107" s="404"/>
    </row>
    <row r="108" spans="1:9">
      <c r="A108" s="403"/>
      <c r="B108" s="404"/>
      <c r="C108" s="404" t="s">
        <v>2119</v>
      </c>
      <c r="D108" s="404">
        <f>31-31</f>
        <v>0</v>
      </c>
      <c r="E108" s="404">
        <f>31</f>
        <v>31</v>
      </c>
      <c r="F108" s="404"/>
      <c r="G108" s="404"/>
      <c r="H108" s="404"/>
      <c r="I108" s="404"/>
    </row>
    <row r="109" spans="1:9">
      <c r="A109" s="403">
        <v>12</v>
      </c>
      <c r="B109" s="404" t="s">
        <v>2120</v>
      </c>
      <c r="C109" s="404" t="s">
        <v>2121</v>
      </c>
      <c r="D109" s="404">
        <f>80+150</f>
        <v>230</v>
      </c>
      <c r="E109" s="404"/>
      <c r="F109" s="404"/>
      <c r="G109" s="404"/>
      <c r="H109" s="404"/>
      <c r="I109" s="404"/>
    </row>
    <row r="110" spans="1:9">
      <c r="A110" s="403">
        <v>13</v>
      </c>
      <c r="B110" s="404" t="s">
        <v>2122</v>
      </c>
      <c r="C110" s="404" t="s">
        <v>2123</v>
      </c>
      <c r="D110" s="404"/>
      <c r="E110" s="404">
        <f>28-28</f>
        <v>0</v>
      </c>
      <c r="F110" s="404"/>
      <c r="G110" s="404">
        <f>28</f>
        <v>28</v>
      </c>
      <c r="H110" s="404"/>
      <c r="I110" s="404"/>
    </row>
    <row r="111" spans="1:9">
      <c r="A111" s="403"/>
      <c r="B111" s="404"/>
      <c r="C111" s="404" t="s">
        <v>2124</v>
      </c>
      <c r="D111" s="404"/>
      <c r="E111" s="404">
        <f>13+47</f>
        <v>60</v>
      </c>
      <c r="F111" s="404"/>
      <c r="G111" s="404"/>
      <c r="H111" s="404"/>
      <c r="I111" s="404"/>
    </row>
    <row r="112" spans="1:9">
      <c r="A112" s="403"/>
      <c r="B112" s="404"/>
      <c r="C112" s="404" t="s">
        <v>2125</v>
      </c>
      <c r="D112" s="404">
        <f>72-72</f>
        <v>0</v>
      </c>
      <c r="E112" s="404">
        <f>72</f>
        <v>72</v>
      </c>
      <c r="F112" s="404"/>
      <c r="G112" s="404"/>
      <c r="H112" s="404"/>
      <c r="I112" s="404"/>
    </row>
    <row r="113" spans="1:9">
      <c r="A113" s="403"/>
      <c r="B113" s="404"/>
      <c r="C113" s="404" t="s">
        <v>2126</v>
      </c>
      <c r="D113" s="404">
        <f>25-24+70-70</f>
        <v>1</v>
      </c>
      <c r="E113" s="404">
        <f>24-24+70</f>
        <v>70</v>
      </c>
      <c r="F113" s="404">
        <f>24-24</f>
        <v>0</v>
      </c>
      <c r="G113" s="404"/>
      <c r="H113" s="404"/>
      <c r="I113" s="404"/>
    </row>
    <row r="114" spans="1:9">
      <c r="A114" s="403">
        <v>14</v>
      </c>
      <c r="B114" s="404" t="s">
        <v>2127</v>
      </c>
      <c r="C114" s="404" t="s">
        <v>2128</v>
      </c>
      <c r="D114" s="404">
        <f>22-22+5+1-5</f>
        <v>1</v>
      </c>
      <c r="E114" s="406">
        <f>41+21+22-41-1+5-5-21</f>
        <v>21</v>
      </c>
      <c r="F114" s="404">
        <f>5+21</f>
        <v>26</v>
      </c>
      <c r="G114" s="404"/>
      <c r="H114" s="404"/>
      <c r="I114" s="404"/>
    </row>
    <row r="115" spans="1:9">
      <c r="A115" s="403"/>
      <c r="B115" s="404"/>
      <c r="C115" s="404" t="s">
        <v>2130</v>
      </c>
      <c r="D115" s="404">
        <f>3-3</f>
        <v>0</v>
      </c>
      <c r="E115" s="404">
        <f>17-17</f>
        <v>0</v>
      </c>
      <c r="F115" s="404">
        <f>17</f>
        <v>17</v>
      </c>
      <c r="G115" s="404"/>
      <c r="H115" s="404"/>
      <c r="I115" s="404"/>
    </row>
    <row r="116" spans="1:9">
      <c r="A116" s="403"/>
      <c r="B116" s="404"/>
      <c r="C116" s="404" t="s">
        <v>2131</v>
      </c>
      <c r="D116" s="404">
        <f>45</f>
        <v>45</v>
      </c>
      <c r="E116" s="404">
        <f>2+93-2</f>
        <v>93</v>
      </c>
      <c r="F116" s="404"/>
      <c r="G116" s="404"/>
      <c r="H116" s="404"/>
      <c r="I116" s="404"/>
    </row>
    <row r="117" spans="1:9">
      <c r="A117" s="404"/>
      <c r="B117" s="404"/>
      <c r="C117" s="404" t="s">
        <v>2132</v>
      </c>
      <c r="D117" s="404">
        <f>64-63-1</f>
        <v>0</v>
      </c>
      <c r="E117" s="404">
        <f>63-63</f>
        <v>0</v>
      </c>
      <c r="F117" s="404">
        <f>63+1</f>
        <v>64</v>
      </c>
      <c r="G117" s="404"/>
      <c r="H117" s="404"/>
      <c r="I117" s="404"/>
    </row>
    <row r="118" spans="1:9">
      <c r="A118" s="404"/>
      <c r="B118" s="404"/>
      <c r="C118" s="404" t="s">
        <v>2133</v>
      </c>
      <c r="D118" s="404">
        <f>44-44</f>
        <v>0</v>
      </c>
      <c r="E118" s="404">
        <f>44-44+53</f>
        <v>53</v>
      </c>
      <c r="F118" s="404">
        <f>44-44</f>
        <v>0</v>
      </c>
      <c r="G118" s="404"/>
      <c r="H118" s="404"/>
      <c r="I118" s="404"/>
    </row>
    <row r="119" spans="1:9">
      <c r="A119" s="404"/>
      <c r="B119" s="404"/>
      <c r="C119" s="404" t="s">
        <v>2134</v>
      </c>
      <c r="D119" s="404"/>
      <c r="E119" s="404">
        <f>11+12+3-12</f>
        <v>14</v>
      </c>
      <c r="F119" s="404">
        <v>13</v>
      </c>
      <c r="G119" s="404"/>
      <c r="H119" s="404"/>
      <c r="I119" s="404"/>
    </row>
    <row r="120" spans="1:9">
      <c r="A120" s="404"/>
      <c r="B120" s="404"/>
      <c r="C120" s="404" t="s">
        <v>2135</v>
      </c>
      <c r="D120" s="404"/>
      <c r="E120" s="404">
        <f>40</f>
        <v>40</v>
      </c>
      <c r="F120" s="404"/>
      <c r="G120" s="404"/>
      <c r="H120" s="404"/>
      <c r="I120" s="404"/>
    </row>
    <row r="121" spans="1:9">
      <c r="A121" s="407">
        <v>15</v>
      </c>
      <c r="B121" s="404" t="s">
        <v>2136</v>
      </c>
      <c r="C121" s="404" t="s">
        <v>2137</v>
      </c>
      <c r="D121" s="404">
        <f>43+2+3+4-1+1+34-1-1</f>
        <v>84</v>
      </c>
      <c r="E121" s="404">
        <f>45+132-45-132+74+77-74</f>
        <v>77</v>
      </c>
      <c r="F121" s="404">
        <f>74+1</f>
        <v>75</v>
      </c>
      <c r="G121" s="404"/>
      <c r="H121" s="404"/>
      <c r="I121" s="404">
        <v>1</v>
      </c>
    </row>
    <row r="122" spans="1:9">
      <c r="A122" s="407"/>
      <c r="B122" s="404"/>
      <c r="C122" s="404" t="s">
        <v>2138</v>
      </c>
      <c r="D122" s="404">
        <f>2+16+29+37+85-84-16-29-37+1</f>
        <v>4</v>
      </c>
      <c r="E122" s="404">
        <f>1+100+61+89+123-100-1-61+84+57+61-89+29+16+37-123-84-57-1</f>
        <v>142</v>
      </c>
      <c r="F122" s="404">
        <f>57+84+123</f>
        <v>264</v>
      </c>
      <c r="G122" s="404">
        <f>52+6</f>
        <v>58</v>
      </c>
      <c r="H122" s="404">
        <v>58</v>
      </c>
      <c r="I122" s="404"/>
    </row>
    <row r="123" spans="1:9">
      <c r="A123" s="407"/>
      <c r="B123" s="404"/>
      <c r="C123" s="404" t="s">
        <v>2139</v>
      </c>
      <c r="D123" s="404"/>
      <c r="E123" s="404">
        <f>69+24-24</f>
        <v>69</v>
      </c>
      <c r="F123" s="404">
        <f>1-1</f>
        <v>0</v>
      </c>
      <c r="G123" s="404">
        <f>24</f>
        <v>24</v>
      </c>
      <c r="H123" s="404"/>
      <c r="I123" s="404"/>
    </row>
    <row r="124" spans="1:9">
      <c r="A124" s="407"/>
      <c r="B124" s="404"/>
      <c r="C124" s="404" t="s">
        <v>2140</v>
      </c>
      <c r="D124" s="404">
        <f>59+1</f>
        <v>60</v>
      </c>
      <c r="E124" s="404"/>
      <c r="F124" s="404">
        <v>0</v>
      </c>
      <c r="G124" s="404"/>
      <c r="H124" s="404"/>
      <c r="I124" s="404"/>
    </row>
    <row r="125" spans="1:9">
      <c r="A125" s="407"/>
      <c r="B125" s="404"/>
      <c r="C125" s="404" t="s">
        <v>2141</v>
      </c>
      <c r="D125" s="404">
        <f>40+85-85-40</f>
        <v>0</v>
      </c>
      <c r="E125" s="404">
        <f>40-40</f>
        <v>0</v>
      </c>
      <c r="F125" s="404">
        <v>0</v>
      </c>
      <c r="G125" s="404"/>
      <c r="H125" s="404"/>
      <c r="I125" s="404"/>
    </row>
    <row r="126" spans="1:9" ht="33.75">
      <c r="A126" s="407">
        <v>16</v>
      </c>
      <c r="B126" s="404" t="s">
        <v>2142</v>
      </c>
      <c r="C126" s="173" t="s">
        <v>2433</v>
      </c>
      <c r="D126" s="404">
        <f>31-30</f>
        <v>1</v>
      </c>
      <c r="E126" s="404">
        <f>30-30+90-90</f>
        <v>0</v>
      </c>
      <c r="F126" s="404">
        <f>90</f>
        <v>90</v>
      </c>
      <c r="G126" s="404"/>
      <c r="H126" s="404"/>
      <c r="I126" s="404"/>
    </row>
    <row r="127" spans="1:9">
      <c r="A127" s="407"/>
      <c r="B127" s="404"/>
      <c r="C127" s="404" t="s">
        <v>2144</v>
      </c>
      <c r="D127" s="404"/>
      <c r="E127" s="404">
        <f>70+23-23-70</f>
        <v>0</v>
      </c>
      <c r="F127" s="404">
        <v>0</v>
      </c>
      <c r="G127" s="404"/>
      <c r="H127" s="404"/>
      <c r="I127" s="404">
        <v>0</v>
      </c>
    </row>
    <row r="128" spans="1:9">
      <c r="A128" s="731"/>
      <c r="B128" s="731"/>
      <c r="C128" s="404" t="s">
        <v>2146</v>
      </c>
      <c r="D128" s="404">
        <f>1-1</f>
        <v>0</v>
      </c>
      <c r="E128" s="404"/>
      <c r="F128" s="404">
        <f>45-45</f>
        <v>0</v>
      </c>
      <c r="G128" s="404"/>
      <c r="H128" s="404"/>
      <c r="I128" s="404">
        <v>0</v>
      </c>
    </row>
    <row r="129" spans="1:9">
      <c r="A129" s="407">
        <v>17</v>
      </c>
      <c r="B129" s="404" t="s">
        <v>2145</v>
      </c>
      <c r="C129" s="404" t="s">
        <v>2147</v>
      </c>
      <c r="D129" s="404">
        <f>3-3+66-66</f>
        <v>0</v>
      </c>
      <c r="E129" s="404">
        <f>54-54+66-66</f>
        <v>0</v>
      </c>
      <c r="F129" s="404">
        <f>66</f>
        <v>66</v>
      </c>
      <c r="G129" s="404"/>
      <c r="H129" s="404"/>
      <c r="I129" s="404"/>
    </row>
    <row r="130" spans="1:9">
      <c r="A130" s="407">
        <v>99</v>
      </c>
      <c r="B130" s="404" t="s">
        <v>2148</v>
      </c>
      <c r="C130" s="404"/>
      <c r="D130" s="404">
        <f>27+80-28</f>
        <v>79</v>
      </c>
      <c r="E130" s="404">
        <f>31+2+28-16</f>
        <v>45</v>
      </c>
      <c r="F130" s="404">
        <v>25</v>
      </c>
      <c r="G130" s="404"/>
      <c r="H130" s="404"/>
      <c r="I130" s="404">
        <v>1</v>
      </c>
    </row>
    <row r="131" spans="1:9">
      <c r="A131" s="768" t="s">
        <v>2149</v>
      </c>
      <c r="B131" s="768"/>
      <c r="C131" s="768"/>
      <c r="D131" s="726">
        <f t="shared" ref="D131:I131" si="0">SUM(D5:D130)</f>
        <v>1136</v>
      </c>
      <c r="E131" s="726">
        <f t="shared" si="0"/>
        <v>3955</v>
      </c>
      <c r="F131" s="726">
        <f t="shared" si="0"/>
        <v>2397</v>
      </c>
      <c r="G131" s="726">
        <f t="shared" si="0"/>
        <v>450</v>
      </c>
      <c r="H131" s="726">
        <f t="shared" si="0"/>
        <v>104</v>
      </c>
      <c r="I131" s="726">
        <f t="shared" si="0"/>
        <v>13</v>
      </c>
    </row>
  </sheetData>
  <mergeCells count="7">
    <mergeCell ref="A131:C131"/>
    <mergeCell ref="A1:I1"/>
    <mergeCell ref="A2:I2"/>
    <mergeCell ref="A3:A4"/>
    <mergeCell ref="B3:B4"/>
    <mergeCell ref="C3:C4"/>
    <mergeCell ref="D3:I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XFC1305"/>
  <sheetViews>
    <sheetView view="pageBreakPreview" topLeftCell="R1" zoomScale="85" zoomScaleNormal="100" zoomScaleSheetLayoutView="85" workbookViewId="0">
      <selection activeCell="AJ1236" sqref="A1:BF1236"/>
    </sheetView>
  </sheetViews>
  <sheetFormatPr baseColWidth="10" defaultColWidth="11.42578125" defaultRowHeight="15"/>
  <cols>
    <col min="1" max="1" width="15.85546875" style="203" customWidth="1"/>
    <col min="2" max="2" width="13.140625" style="203" customWidth="1"/>
    <col min="3" max="3" width="36.28515625" style="203" customWidth="1"/>
    <col min="4" max="4" width="25.140625" style="203" customWidth="1"/>
    <col min="5" max="5" width="11.5703125" style="203" hidden="1" customWidth="1"/>
    <col min="6" max="6" width="7.42578125" style="203" hidden="1" customWidth="1"/>
    <col min="7" max="7" width="5.140625" style="203" hidden="1" customWidth="1"/>
    <col min="8" max="8" width="5.7109375" style="203" customWidth="1"/>
    <col min="9" max="9" width="6.140625" style="203" customWidth="1"/>
    <col min="10" max="10" width="11.85546875" style="203" hidden="1" customWidth="1"/>
    <col min="11" max="11" width="5.5703125" style="203" hidden="1" customWidth="1"/>
    <col min="12" max="12" width="5.140625" style="375" hidden="1" customWidth="1"/>
    <col min="13" max="13" width="9.5703125" style="375" hidden="1" customWidth="1"/>
    <col min="14" max="14" width="7.42578125" style="375" customWidth="1"/>
    <col min="15" max="15" width="7.28515625" style="375" customWidth="1"/>
    <col min="16" max="16" width="15.140625" style="203" customWidth="1"/>
    <col min="17" max="17" width="10.85546875" style="203" customWidth="1"/>
    <col min="18" max="18" width="4.5703125" style="203" customWidth="1"/>
    <col min="19" max="19" width="12.28515625" style="203" bestFit="1" customWidth="1"/>
    <col min="20" max="20" width="13" style="644" customWidth="1"/>
    <col min="21" max="21" width="4.140625" style="203" customWidth="1"/>
    <col min="22" max="22" width="8.28515625" style="203" customWidth="1"/>
    <col min="23" max="23" width="9.85546875" style="203" hidden="1" customWidth="1"/>
    <col min="24" max="24" width="13.7109375" style="203" hidden="1" customWidth="1"/>
    <col min="25" max="25" width="12.140625" style="203" customWidth="1"/>
    <col min="26" max="26" width="4.140625" style="203" customWidth="1"/>
    <col min="27" max="27" width="8.7109375" style="203" customWidth="1"/>
    <col min="28" max="28" width="10.7109375" style="203" hidden="1" customWidth="1"/>
    <col min="29" max="29" width="13.42578125" style="203" hidden="1" customWidth="1"/>
    <col min="30" max="30" width="4.140625" style="203" customWidth="1"/>
    <col min="31" max="31" width="14.7109375" style="203" customWidth="1"/>
    <col min="32" max="32" width="2.7109375" style="203" customWidth="1"/>
    <col min="33" max="33" width="11.5703125" style="203" customWidth="1"/>
    <col min="34" max="34" width="12.140625" style="203" hidden="1" customWidth="1"/>
    <col min="35" max="35" width="4.85546875" style="203" hidden="1" customWidth="1"/>
    <col min="36" max="36" width="12.5703125" style="203" customWidth="1"/>
    <col min="37" max="37" width="7.42578125" style="203" hidden="1" customWidth="1"/>
    <col min="38" max="38" width="8.7109375" style="203" hidden="1" customWidth="1"/>
    <col min="39" max="39" width="6.28515625" style="375" hidden="1" customWidth="1"/>
    <col min="40" max="40" width="5.7109375" style="375" hidden="1" customWidth="1"/>
    <col min="41" max="41" width="6.28515625" style="375" hidden="1" customWidth="1"/>
    <col min="42" max="42" width="6" style="375" hidden="1" customWidth="1"/>
    <col min="43" max="43" width="6.42578125" style="375" hidden="1" customWidth="1"/>
    <col min="44" max="44" width="6" style="375" hidden="1" customWidth="1"/>
    <col min="45" max="45" width="8.5703125" style="203" hidden="1" customWidth="1"/>
    <col min="46" max="46" width="11.42578125" style="203" hidden="1" customWidth="1"/>
    <col min="47" max="47" width="38.28515625" style="203" hidden="1" customWidth="1"/>
    <col min="48" max="53" width="11.42578125" style="203" hidden="1" customWidth="1"/>
    <col min="54" max="55" width="12.28515625" style="203" hidden="1" customWidth="1"/>
    <col min="56" max="56" width="12.7109375" style="203" hidden="1" customWidth="1"/>
    <col min="57" max="57" width="8.5703125" style="203" hidden="1" customWidth="1"/>
    <col min="58" max="58" width="11.28515625" style="203" hidden="1" customWidth="1"/>
    <col min="59" max="16384" width="11.42578125" style="203"/>
  </cols>
  <sheetData>
    <row r="1" spans="1:58" ht="63.75" customHeight="1">
      <c r="A1" s="744" t="s">
        <v>1989</v>
      </c>
      <c r="B1" s="744"/>
      <c r="C1" s="744"/>
      <c r="D1" s="744"/>
      <c r="E1" s="744"/>
      <c r="F1" s="744"/>
      <c r="G1" s="744"/>
      <c r="H1" s="744"/>
      <c r="I1" s="744"/>
      <c r="J1" s="744"/>
      <c r="K1" s="744"/>
      <c r="L1" s="745"/>
      <c r="M1" s="745"/>
      <c r="N1" s="745"/>
      <c r="O1" s="745"/>
      <c r="P1" s="746"/>
      <c r="Q1" s="746"/>
      <c r="R1" s="746"/>
      <c r="S1" s="746"/>
      <c r="T1" s="746"/>
      <c r="U1" s="746"/>
      <c r="V1" s="746"/>
      <c r="W1" s="746"/>
      <c r="X1" s="746"/>
      <c r="Y1" s="746"/>
      <c r="Z1" s="746"/>
      <c r="AA1" s="746"/>
      <c r="AB1" s="746"/>
      <c r="AC1" s="746"/>
      <c r="AD1" s="746"/>
      <c r="AE1" s="746"/>
      <c r="AF1" s="746"/>
      <c r="AG1" s="746"/>
      <c r="AH1" s="746"/>
      <c r="AI1" s="746"/>
      <c r="AJ1" s="746"/>
      <c r="AK1" s="746"/>
      <c r="AL1" s="746"/>
      <c r="AM1" s="745"/>
      <c r="AN1" s="745"/>
      <c r="AO1" s="745"/>
      <c r="AP1" s="745"/>
      <c r="AQ1" s="745"/>
      <c r="AR1" s="745"/>
      <c r="AS1" s="744"/>
      <c r="AT1" s="744"/>
      <c r="AU1" s="744"/>
      <c r="AV1" s="746"/>
      <c r="AW1" s="746"/>
      <c r="AX1" s="746"/>
      <c r="AY1" s="746"/>
      <c r="AZ1" s="746"/>
      <c r="BA1" s="746"/>
      <c r="BB1" s="746"/>
      <c r="BC1" s="746"/>
      <c r="BD1" s="746"/>
      <c r="BE1" s="744"/>
    </row>
    <row r="2" spans="1:58" ht="51.75" customHeight="1">
      <c r="A2" s="747" t="s">
        <v>1455</v>
      </c>
      <c r="B2" s="747"/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  <c r="P2" s="748"/>
      <c r="Q2" s="748"/>
      <c r="R2" s="748"/>
      <c r="S2" s="748"/>
      <c r="T2" s="748"/>
      <c r="U2" s="748"/>
      <c r="V2" s="748"/>
      <c r="W2" s="748"/>
      <c r="X2" s="748"/>
      <c r="Y2" s="748"/>
      <c r="Z2" s="748"/>
      <c r="AA2" s="748"/>
      <c r="AB2" s="748"/>
      <c r="AC2" s="748"/>
      <c r="AD2" s="748"/>
      <c r="AE2" s="748"/>
      <c r="AF2" s="748"/>
      <c r="AG2" s="748"/>
      <c r="AH2" s="748"/>
      <c r="AI2" s="748"/>
      <c r="AJ2" s="748"/>
      <c r="AK2" s="748"/>
      <c r="AL2" s="748"/>
      <c r="AM2" s="747"/>
      <c r="AN2" s="747"/>
      <c r="AO2" s="747"/>
      <c r="AP2" s="747"/>
      <c r="AQ2" s="747"/>
      <c r="AR2" s="747"/>
      <c r="AS2" s="747"/>
      <c r="AT2" s="747"/>
      <c r="AU2" s="747"/>
      <c r="AV2" s="748"/>
      <c r="AW2" s="748"/>
      <c r="AX2" s="748"/>
      <c r="AY2" s="748"/>
      <c r="AZ2" s="748"/>
      <c r="BA2" s="748"/>
      <c r="BB2" s="748"/>
      <c r="BC2" s="748"/>
      <c r="BD2" s="748"/>
      <c r="BE2" s="747"/>
    </row>
    <row r="3" spans="1:58" ht="51.75" customHeight="1">
      <c r="A3" s="442" t="s">
        <v>2153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1"/>
      <c r="T3" s="637"/>
      <c r="U3" s="441"/>
      <c r="V3" s="441"/>
      <c r="W3" s="441"/>
      <c r="X3" s="441"/>
      <c r="Y3" s="441"/>
      <c r="Z3" s="441"/>
      <c r="AA3" s="441"/>
      <c r="AB3" s="441"/>
      <c r="AC3" s="441"/>
      <c r="AD3" s="441"/>
      <c r="AE3" s="441"/>
      <c r="AF3" s="441"/>
      <c r="AG3" s="441"/>
      <c r="AH3" s="441"/>
      <c r="AI3" s="441"/>
      <c r="AJ3" s="441"/>
      <c r="AK3" s="441"/>
      <c r="AL3" s="441"/>
      <c r="AM3" s="441"/>
      <c r="AN3" s="441"/>
      <c r="AO3" s="441"/>
      <c r="AP3" s="441"/>
      <c r="AQ3" s="441"/>
      <c r="AR3" s="441"/>
      <c r="AS3" s="441"/>
      <c r="AT3" s="441"/>
      <c r="AU3" s="441"/>
      <c r="AV3" s="441"/>
      <c r="AW3" s="441"/>
      <c r="AX3" s="441"/>
      <c r="AY3" s="441"/>
      <c r="AZ3" s="441"/>
      <c r="BA3" s="441"/>
      <c r="BB3" s="441"/>
      <c r="BC3" s="441"/>
      <c r="BD3" s="441"/>
      <c r="BE3" s="441"/>
      <c r="BF3" s="441"/>
    </row>
    <row r="4" spans="1:58" ht="16.5" customHeight="1">
      <c r="A4" s="738" t="s">
        <v>2154</v>
      </c>
      <c r="B4" s="738"/>
      <c r="C4" s="738"/>
      <c r="D4" s="738"/>
      <c r="E4" s="738"/>
      <c r="F4" s="738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8"/>
      <c r="S4" s="738"/>
      <c r="T4" s="738"/>
      <c r="U4" s="738"/>
      <c r="V4" s="738"/>
      <c r="W4" s="738"/>
      <c r="X4" s="738"/>
      <c r="Y4" s="738"/>
      <c r="Z4" s="738"/>
      <c r="AA4" s="738"/>
      <c r="AB4" s="738"/>
      <c r="AC4" s="738"/>
      <c r="AD4" s="738"/>
      <c r="AE4" s="738"/>
      <c r="AF4" s="738"/>
      <c r="AG4" s="738"/>
      <c r="AH4" s="738"/>
      <c r="AI4" s="738"/>
      <c r="AJ4" s="738"/>
      <c r="AK4" s="738"/>
      <c r="AL4" s="738"/>
      <c r="AM4" s="738"/>
      <c r="AN4" s="738"/>
      <c r="AO4" s="738"/>
      <c r="AP4" s="738"/>
      <c r="AQ4" s="738"/>
      <c r="AR4" s="738"/>
      <c r="AS4" s="738"/>
      <c r="AT4" s="738"/>
      <c r="AU4" s="738"/>
      <c r="AV4" s="738"/>
      <c r="AW4" s="738"/>
      <c r="AX4" s="738"/>
      <c r="AY4" s="738"/>
      <c r="AZ4" s="738"/>
      <c r="BA4" s="738"/>
      <c r="BB4" s="738"/>
      <c r="BC4" s="738"/>
      <c r="BD4" s="738"/>
      <c r="BE4" s="738"/>
      <c r="BF4" s="738"/>
    </row>
    <row r="5" spans="1:58" ht="78.75" customHeight="1">
      <c r="A5" s="450" t="s">
        <v>2151</v>
      </c>
      <c r="B5" s="436" t="s">
        <v>921</v>
      </c>
      <c r="C5" s="436" t="s">
        <v>1050</v>
      </c>
      <c r="D5" s="439" t="s">
        <v>2</v>
      </c>
      <c r="E5" s="439" t="s">
        <v>2307</v>
      </c>
      <c r="F5" s="439" t="s">
        <v>2244</v>
      </c>
      <c r="G5" s="439" t="s">
        <v>2301</v>
      </c>
      <c r="H5" s="437" t="s">
        <v>629</v>
      </c>
      <c r="I5" s="432" t="s">
        <v>1443</v>
      </c>
      <c r="J5" s="432" t="s">
        <v>1444</v>
      </c>
      <c r="K5" s="643" t="s">
        <v>1335</v>
      </c>
      <c r="L5" s="643" t="s">
        <v>1335</v>
      </c>
      <c r="M5" s="643" t="s">
        <v>2195</v>
      </c>
      <c r="N5" s="643" t="s">
        <v>2196</v>
      </c>
      <c r="O5" s="643" t="s">
        <v>2197</v>
      </c>
      <c r="P5" s="643" t="s">
        <v>1424</v>
      </c>
      <c r="Q5" s="643" t="s">
        <v>1470</v>
      </c>
      <c r="R5" s="432" t="s">
        <v>1453</v>
      </c>
      <c r="S5" s="643" t="s">
        <v>1717</v>
      </c>
      <c r="T5" s="643" t="s">
        <v>1425</v>
      </c>
      <c r="U5" s="432" t="s">
        <v>1453</v>
      </c>
      <c r="V5" s="643" t="s">
        <v>1717</v>
      </c>
      <c r="W5" s="643" t="s">
        <v>2302</v>
      </c>
      <c r="X5" s="643" t="s">
        <v>2300</v>
      </c>
      <c r="Y5" s="643" t="s">
        <v>1426</v>
      </c>
      <c r="Z5" s="643" t="s">
        <v>1453</v>
      </c>
      <c r="AA5" s="643" t="s">
        <v>1717</v>
      </c>
      <c r="AB5" s="643" t="s">
        <v>2302</v>
      </c>
      <c r="AC5" s="643" t="s">
        <v>1536</v>
      </c>
      <c r="AD5" s="643" t="s">
        <v>1453</v>
      </c>
      <c r="AE5" s="643" t="s">
        <v>1634</v>
      </c>
      <c r="AF5" s="643" t="s">
        <v>2294</v>
      </c>
      <c r="AG5" s="643" t="s">
        <v>2160</v>
      </c>
      <c r="AH5" s="643" t="s">
        <v>2239</v>
      </c>
      <c r="AI5" s="643" t="s">
        <v>2294</v>
      </c>
      <c r="AJ5" s="645" t="s">
        <v>1635</v>
      </c>
      <c r="AK5" s="432" t="s">
        <v>631</v>
      </c>
      <c r="AL5" s="432" t="s">
        <v>1453</v>
      </c>
      <c r="AM5" s="433" t="s">
        <v>521</v>
      </c>
      <c r="AN5" s="433" t="s">
        <v>38</v>
      </c>
      <c r="AO5" s="433" t="s">
        <v>646</v>
      </c>
      <c r="AP5" s="433" t="s">
        <v>942</v>
      </c>
      <c r="AQ5" s="433" t="s">
        <v>986</v>
      </c>
      <c r="AR5" s="433" t="s">
        <v>687</v>
      </c>
      <c r="AS5" s="646" t="s">
        <v>1983</v>
      </c>
      <c r="AT5" s="643" t="s">
        <v>1982</v>
      </c>
      <c r="AU5" s="440" t="s">
        <v>703</v>
      </c>
      <c r="AV5" s="327" t="s">
        <v>1263</v>
      </c>
      <c r="AW5" s="327" t="s">
        <v>1264</v>
      </c>
      <c r="AX5" s="327" t="s">
        <v>1265</v>
      </c>
      <c r="AY5" s="327" t="s">
        <v>1266</v>
      </c>
      <c r="AZ5" s="327" t="s">
        <v>2223</v>
      </c>
      <c r="BA5" s="327" t="s">
        <v>1705</v>
      </c>
      <c r="BB5" s="327" t="s">
        <v>2202</v>
      </c>
      <c r="BC5" s="327" t="s">
        <v>2201</v>
      </c>
      <c r="BD5" s="327" t="s">
        <v>1288</v>
      </c>
      <c r="BE5" s="327" t="s">
        <v>1289</v>
      </c>
      <c r="BF5" s="327" t="s">
        <v>2192</v>
      </c>
    </row>
    <row r="6" spans="1:58" ht="18" customHeight="1">
      <c r="A6" s="434" t="s">
        <v>500</v>
      </c>
      <c r="B6" s="434"/>
      <c r="C6" s="434"/>
      <c r="D6" s="434"/>
      <c r="E6" s="434"/>
      <c r="F6" s="434"/>
      <c r="G6" s="434"/>
      <c r="H6" s="434"/>
      <c r="I6" s="435"/>
      <c r="J6" s="435"/>
      <c r="K6" s="435">
        <f>SUM(K7:K51)</f>
        <v>368</v>
      </c>
      <c r="L6" s="435">
        <f t="shared" ref="L6:M6" si="0">SUM(L7:L51)</f>
        <v>423</v>
      </c>
      <c r="M6" s="435">
        <f t="shared" si="0"/>
        <v>525</v>
      </c>
      <c r="N6" s="452">
        <f>SUM(N7:N52)</f>
        <v>770</v>
      </c>
      <c r="O6" s="452">
        <f>SUM(O7:O52)</f>
        <v>60</v>
      </c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452">
        <f t="shared" ref="AM6:AR6" si="1">SUM(AM7:AM52)</f>
        <v>4</v>
      </c>
      <c r="AN6" s="452">
        <f t="shared" si="1"/>
        <v>383</v>
      </c>
      <c r="AO6" s="452">
        <f t="shared" si="1"/>
        <v>383</v>
      </c>
      <c r="AP6" s="452">
        <f t="shared" si="1"/>
        <v>60</v>
      </c>
      <c r="AQ6" s="452">
        <f t="shared" si="1"/>
        <v>0</v>
      </c>
      <c r="AR6" s="452">
        <f t="shared" si="1"/>
        <v>0</v>
      </c>
      <c r="AS6" s="435"/>
      <c r="AT6" s="435"/>
      <c r="AU6" s="438"/>
      <c r="AV6" s="19">
        <f t="shared" ref="AV6:BC6" si="2">SUM(AV7:AV51)</f>
        <v>260</v>
      </c>
      <c r="AW6" s="19">
        <f t="shared" si="2"/>
        <v>304</v>
      </c>
      <c r="AX6" s="19">
        <f t="shared" si="2"/>
        <v>272</v>
      </c>
      <c r="AY6" s="19">
        <f t="shared" si="2"/>
        <v>178</v>
      </c>
      <c r="AZ6" s="19"/>
      <c r="BA6" s="19">
        <f t="shared" si="2"/>
        <v>101</v>
      </c>
      <c r="BB6" s="19">
        <f t="shared" si="2"/>
        <v>732</v>
      </c>
      <c r="BC6" s="19">
        <f t="shared" si="2"/>
        <v>15</v>
      </c>
      <c r="BD6" s="139"/>
      <c r="BE6" s="434">
        <v>2019</v>
      </c>
      <c r="BF6" s="434">
        <v>2020</v>
      </c>
    </row>
    <row r="7" spans="1:58" s="204" customFormat="1" ht="15" hidden="1" customHeight="1">
      <c r="A7" s="160" t="s">
        <v>500</v>
      </c>
      <c r="B7" s="58" t="s">
        <v>6</v>
      </c>
      <c r="C7" s="122" t="s">
        <v>5</v>
      </c>
      <c r="D7" s="58" t="s">
        <v>3</v>
      </c>
      <c r="E7" s="58"/>
      <c r="F7" s="58"/>
      <c r="G7" s="58"/>
      <c r="H7" s="30" t="s">
        <v>647</v>
      </c>
      <c r="I7" s="30"/>
      <c r="J7" s="30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 t="s">
        <v>0</v>
      </c>
      <c r="AL7" s="158"/>
      <c r="AM7" s="158"/>
      <c r="AN7" s="158"/>
      <c r="AO7" s="158"/>
      <c r="AP7" s="158"/>
      <c r="AQ7" s="158"/>
      <c r="AR7" s="158"/>
      <c r="AS7" s="2">
        <v>1</v>
      </c>
      <c r="AT7" s="58" t="s">
        <v>646</v>
      </c>
      <c r="AU7" s="102"/>
      <c r="AV7" s="158"/>
      <c r="AW7" s="158">
        <v>49</v>
      </c>
      <c r="AX7" s="158"/>
      <c r="AY7" s="158"/>
      <c r="AZ7" s="158"/>
      <c r="BA7" s="158"/>
      <c r="BB7" s="69"/>
      <c r="BC7" s="69"/>
      <c r="BD7" s="271" t="s">
        <v>1707</v>
      </c>
      <c r="BE7" s="268"/>
      <c r="BF7" s="431"/>
    </row>
    <row r="8" spans="1:58" s="204" customFormat="1" ht="15" hidden="1" customHeight="1">
      <c r="A8" s="160" t="s">
        <v>500</v>
      </c>
      <c r="B8" s="58" t="s">
        <v>6</v>
      </c>
      <c r="C8" s="122" t="s">
        <v>5</v>
      </c>
      <c r="D8" s="58" t="s">
        <v>3</v>
      </c>
      <c r="E8" s="58"/>
      <c r="F8" s="58"/>
      <c r="G8" s="58"/>
      <c r="H8" s="30" t="s">
        <v>647</v>
      </c>
      <c r="I8" s="30"/>
      <c r="J8" s="30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  <c r="Y8" s="158"/>
      <c r="Z8" s="158"/>
      <c r="AA8" s="158"/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2"/>
      <c r="AN8" s="11"/>
      <c r="AO8" s="11"/>
      <c r="AP8" s="11"/>
      <c r="AQ8" s="11"/>
      <c r="AR8" s="158"/>
      <c r="AS8" s="2">
        <v>0</v>
      </c>
      <c r="AT8" s="58" t="s">
        <v>687</v>
      </c>
      <c r="AU8" s="162" t="s">
        <v>1371</v>
      </c>
      <c r="AV8" s="158"/>
      <c r="AW8" s="11"/>
      <c r="AX8" s="11"/>
      <c r="AY8" s="11"/>
      <c r="AZ8" s="11"/>
      <c r="BA8" s="11"/>
      <c r="BB8" s="70"/>
      <c r="BC8" s="69">
        <v>11</v>
      </c>
      <c r="BD8" s="271" t="s">
        <v>1704</v>
      </c>
      <c r="BE8" s="268"/>
      <c r="BF8" s="271"/>
    </row>
    <row r="9" spans="1:58" s="204" customFormat="1" ht="15" hidden="1" customHeight="1">
      <c r="A9" s="160" t="s">
        <v>500</v>
      </c>
      <c r="B9" s="130" t="s">
        <v>11</v>
      </c>
      <c r="C9" s="130" t="s">
        <v>517</v>
      </c>
      <c r="D9" s="130" t="s">
        <v>10</v>
      </c>
      <c r="E9" s="130"/>
      <c r="F9" s="130"/>
      <c r="G9" s="130"/>
      <c r="H9" s="130"/>
      <c r="I9" s="130"/>
      <c r="J9" s="130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2"/>
      <c r="AN9" s="158"/>
      <c r="AO9" s="158"/>
      <c r="AP9" s="158"/>
      <c r="AQ9" s="158"/>
      <c r="AR9" s="158"/>
      <c r="AS9" s="2">
        <v>1</v>
      </c>
      <c r="AT9" s="58" t="s">
        <v>646</v>
      </c>
      <c r="AU9" s="162"/>
      <c r="AV9" s="158">
        <v>15</v>
      </c>
      <c r="AW9" s="158"/>
      <c r="AX9" s="158"/>
      <c r="AY9" s="158"/>
      <c r="AZ9" s="158"/>
      <c r="BA9" s="158"/>
      <c r="BB9" s="69"/>
      <c r="BC9" s="69"/>
      <c r="BD9" s="271">
        <v>2016</v>
      </c>
      <c r="BE9" s="271"/>
      <c r="BF9" s="271"/>
    </row>
    <row r="10" spans="1:58" s="204" customFormat="1" ht="15" hidden="1" customHeight="1">
      <c r="A10" s="160" t="s">
        <v>500</v>
      </c>
      <c r="B10" s="58" t="s">
        <v>522</v>
      </c>
      <c r="C10" s="122" t="s">
        <v>518</v>
      </c>
      <c r="D10" s="58" t="s">
        <v>9</v>
      </c>
      <c r="E10" s="58"/>
      <c r="F10" s="58"/>
      <c r="G10" s="58"/>
      <c r="H10" s="58"/>
      <c r="I10" s="58"/>
      <c r="J10" s="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8"/>
      <c r="AM10" s="12"/>
      <c r="AN10" s="158"/>
      <c r="AO10" s="158"/>
      <c r="AP10" s="158"/>
      <c r="AQ10" s="158"/>
      <c r="AR10" s="158"/>
      <c r="AS10" s="2">
        <v>1</v>
      </c>
      <c r="AT10" s="58" t="s">
        <v>646</v>
      </c>
      <c r="AU10" s="162"/>
      <c r="AV10" s="158">
        <v>20</v>
      </c>
      <c r="AW10" s="158"/>
      <c r="AX10" s="158"/>
      <c r="AY10" s="158"/>
      <c r="AZ10" s="158"/>
      <c r="BA10" s="158"/>
      <c r="BB10" s="69"/>
      <c r="BC10" s="69"/>
      <c r="BD10" s="271">
        <v>2016</v>
      </c>
      <c r="BE10" s="271"/>
      <c r="BF10" s="271"/>
    </row>
    <row r="11" spans="1:58" s="204" customFormat="1" ht="19.5" hidden="1" customHeight="1">
      <c r="A11" s="160" t="s">
        <v>500</v>
      </c>
      <c r="B11" s="58" t="s">
        <v>4</v>
      </c>
      <c r="C11" s="29" t="s">
        <v>12</v>
      </c>
      <c r="D11" s="58" t="s">
        <v>13</v>
      </c>
      <c r="E11" s="58"/>
      <c r="F11" s="58"/>
      <c r="G11" s="58"/>
      <c r="H11" s="30" t="s">
        <v>648</v>
      </c>
      <c r="I11" s="30"/>
      <c r="J11" s="30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2"/>
      <c r="AN11" s="11"/>
      <c r="AO11" s="11"/>
      <c r="AP11" s="11"/>
      <c r="AQ11" s="11"/>
      <c r="AR11" s="11"/>
      <c r="AS11" s="2">
        <v>0</v>
      </c>
      <c r="AT11" s="58" t="s">
        <v>687</v>
      </c>
      <c r="AU11" s="162" t="s">
        <v>1371</v>
      </c>
      <c r="AV11" s="158" t="s">
        <v>0</v>
      </c>
      <c r="AW11" s="11"/>
      <c r="AX11" s="11"/>
      <c r="AY11" s="11"/>
      <c r="AZ11" s="11"/>
      <c r="BA11" s="11"/>
      <c r="BB11" s="70"/>
      <c r="BC11" s="69">
        <v>2</v>
      </c>
      <c r="BD11" s="271" t="s">
        <v>1703</v>
      </c>
      <c r="BE11" s="268"/>
      <c r="BF11" s="431"/>
    </row>
    <row r="12" spans="1:58" s="204" customFormat="1" ht="15" hidden="1" customHeight="1">
      <c r="A12" s="160" t="s">
        <v>500</v>
      </c>
      <c r="B12" s="1" t="s">
        <v>4</v>
      </c>
      <c r="C12" s="123" t="s">
        <v>14</v>
      </c>
      <c r="D12" s="1" t="s">
        <v>13</v>
      </c>
      <c r="E12" s="1"/>
      <c r="F12" s="1"/>
      <c r="G12" s="1"/>
      <c r="H12" s="58"/>
      <c r="I12" s="58"/>
      <c r="J12" s="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2"/>
      <c r="AN12" s="11"/>
      <c r="AO12" s="11"/>
      <c r="AP12" s="11"/>
      <c r="AQ12" s="11"/>
      <c r="AR12" s="11"/>
      <c r="AS12" s="2">
        <v>1</v>
      </c>
      <c r="AT12" s="58"/>
      <c r="AU12" s="162"/>
      <c r="AV12" s="158">
        <v>44</v>
      </c>
      <c r="AW12" s="11"/>
      <c r="AX12" s="11"/>
      <c r="AY12" s="11"/>
      <c r="AZ12" s="11"/>
      <c r="BA12" s="11"/>
      <c r="BB12" s="70"/>
      <c r="BC12" s="69"/>
      <c r="BD12" s="271">
        <v>2016</v>
      </c>
      <c r="BE12" s="271"/>
      <c r="BF12" s="271"/>
    </row>
    <row r="13" spans="1:58" s="204" customFormat="1" ht="15" hidden="1" customHeight="1">
      <c r="A13" s="160" t="s">
        <v>500</v>
      </c>
      <c r="B13" s="1" t="s">
        <v>4</v>
      </c>
      <c r="C13" s="122" t="s">
        <v>14</v>
      </c>
      <c r="D13" s="1" t="s">
        <v>13</v>
      </c>
      <c r="E13" s="1"/>
      <c r="F13" s="1"/>
      <c r="G13" s="1"/>
      <c r="H13" s="30" t="s">
        <v>648</v>
      </c>
      <c r="I13" s="30"/>
      <c r="J13" s="30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2"/>
      <c r="AN13" s="11"/>
      <c r="AO13" s="11"/>
      <c r="AP13" s="11"/>
      <c r="AQ13" s="11"/>
      <c r="AR13" s="11"/>
      <c r="AS13" s="2">
        <v>0</v>
      </c>
      <c r="AT13" s="58" t="s">
        <v>687</v>
      </c>
      <c r="AU13" s="162" t="s">
        <v>1371</v>
      </c>
      <c r="AV13" s="158"/>
      <c r="AW13" s="11"/>
      <c r="AX13" s="11"/>
      <c r="AY13" s="11"/>
      <c r="AZ13" s="11"/>
      <c r="BA13" s="11"/>
      <c r="BB13" s="70"/>
      <c r="BC13" s="69">
        <v>2</v>
      </c>
      <c r="BD13" s="271" t="s">
        <v>1703</v>
      </c>
      <c r="BE13" s="268"/>
      <c r="BF13" s="271"/>
    </row>
    <row r="14" spans="1:58" s="204" customFormat="1" ht="15" hidden="1" customHeight="1">
      <c r="A14" s="160" t="s">
        <v>500</v>
      </c>
      <c r="B14" s="58" t="s">
        <v>4</v>
      </c>
      <c r="C14" s="122" t="s">
        <v>15</v>
      </c>
      <c r="D14" s="58" t="s">
        <v>16</v>
      </c>
      <c r="E14" s="58"/>
      <c r="F14" s="58"/>
      <c r="G14" s="58"/>
      <c r="H14" s="58"/>
      <c r="I14" s="58"/>
      <c r="J14" s="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2"/>
      <c r="AN14" s="158"/>
      <c r="AO14" s="158"/>
      <c r="AP14" s="158"/>
      <c r="AQ14" s="158"/>
      <c r="AR14" s="158"/>
      <c r="AS14" s="2"/>
      <c r="AT14" s="58"/>
      <c r="AU14" s="162"/>
      <c r="AV14" s="158">
        <v>25</v>
      </c>
      <c r="AW14" s="158"/>
      <c r="AX14" s="158"/>
      <c r="AY14" s="158"/>
      <c r="AZ14" s="158"/>
      <c r="BA14" s="158"/>
      <c r="BB14" s="69"/>
      <c r="BC14" s="69"/>
      <c r="BD14" s="271">
        <v>2016</v>
      </c>
      <c r="BE14" s="271"/>
      <c r="BF14" s="271"/>
    </row>
    <row r="15" spans="1:58" s="204" customFormat="1" ht="15" hidden="1" customHeight="1">
      <c r="A15" s="160" t="s">
        <v>500</v>
      </c>
      <c r="B15" s="58" t="s">
        <v>4</v>
      </c>
      <c r="C15" s="122" t="s">
        <v>17</v>
      </c>
      <c r="D15" s="58" t="s">
        <v>16</v>
      </c>
      <c r="E15" s="58"/>
      <c r="F15" s="58"/>
      <c r="G15" s="58"/>
      <c r="H15" s="58"/>
      <c r="I15" s="58"/>
      <c r="J15" s="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2"/>
      <c r="AT15" s="58"/>
      <c r="AU15" s="162"/>
      <c r="AV15" s="158">
        <v>34</v>
      </c>
      <c r="AW15" s="158"/>
      <c r="AX15" s="158"/>
      <c r="AY15" s="158"/>
      <c r="AZ15" s="158"/>
      <c r="BA15" s="158"/>
      <c r="BB15" s="69"/>
      <c r="BC15" s="69"/>
      <c r="BD15" s="271">
        <v>2016</v>
      </c>
      <c r="BE15" s="271"/>
      <c r="BF15" s="271"/>
    </row>
    <row r="16" spans="1:58" s="204" customFormat="1" ht="15" hidden="1" customHeight="1">
      <c r="A16" s="160" t="s">
        <v>500</v>
      </c>
      <c r="B16" s="58" t="s">
        <v>4</v>
      </c>
      <c r="C16" s="122" t="s">
        <v>556</v>
      </c>
      <c r="D16" s="58" t="s">
        <v>555</v>
      </c>
      <c r="E16" s="58"/>
      <c r="F16" s="58"/>
      <c r="G16" s="58"/>
      <c r="H16" s="30" t="s">
        <v>647</v>
      </c>
      <c r="I16" s="30"/>
      <c r="J16" s="30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2">
        <v>1</v>
      </c>
      <c r="AT16" s="58" t="s">
        <v>646</v>
      </c>
      <c r="AU16" s="162"/>
      <c r="AV16" s="158"/>
      <c r="AW16" s="158">
        <v>48</v>
      </c>
      <c r="AX16" s="158"/>
      <c r="AY16" s="158"/>
      <c r="AZ16" s="158"/>
      <c r="BA16" s="158"/>
      <c r="BB16" s="69"/>
      <c r="BC16" s="69"/>
      <c r="BD16" s="271">
        <v>2017</v>
      </c>
      <c r="BE16" s="268"/>
      <c r="BF16" s="271"/>
    </row>
    <row r="17" spans="1:58" s="204" customFormat="1" ht="15" hidden="1" customHeight="1">
      <c r="A17" s="160" t="s">
        <v>500</v>
      </c>
      <c r="B17" s="58" t="s">
        <v>4</v>
      </c>
      <c r="C17" s="58" t="s">
        <v>18</v>
      </c>
      <c r="D17" s="58" t="s">
        <v>9</v>
      </c>
      <c r="E17" s="58"/>
      <c r="F17" s="58"/>
      <c r="G17" s="58"/>
      <c r="H17" s="30"/>
      <c r="I17" s="30"/>
      <c r="J17" s="30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2" t="s">
        <v>1292</v>
      </c>
      <c r="AT17" s="58" t="s">
        <v>646</v>
      </c>
      <c r="AU17" s="162"/>
      <c r="AV17" s="158">
        <v>31</v>
      </c>
      <c r="AW17" s="158"/>
      <c r="AX17" s="158"/>
      <c r="AY17" s="158"/>
      <c r="AZ17" s="158"/>
      <c r="BA17" s="158"/>
      <c r="BB17" s="69"/>
      <c r="BC17" s="69"/>
      <c r="BD17" s="271">
        <v>2016</v>
      </c>
      <c r="BE17" s="271"/>
      <c r="BF17" s="271"/>
    </row>
    <row r="18" spans="1:58" s="204" customFormat="1" ht="15" hidden="1" customHeight="1">
      <c r="A18" s="160" t="s">
        <v>500</v>
      </c>
      <c r="B18" s="58" t="s">
        <v>4</v>
      </c>
      <c r="C18" s="58" t="s">
        <v>19</v>
      </c>
      <c r="D18" s="58" t="s">
        <v>16</v>
      </c>
      <c r="E18" s="58"/>
      <c r="F18" s="58"/>
      <c r="G18" s="58"/>
      <c r="H18" s="30"/>
      <c r="I18" s="30"/>
      <c r="J18" s="30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2"/>
      <c r="AT18" s="58"/>
      <c r="AU18" s="162"/>
      <c r="AV18" s="158">
        <v>49</v>
      </c>
      <c r="AW18" s="158"/>
      <c r="AX18" s="158"/>
      <c r="AY18" s="158"/>
      <c r="AZ18" s="158"/>
      <c r="BA18" s="158"/>
      <c r="BB18" s="69"/>
      <c r="BC18" s="69"/>
      <c r="BD18" s="271">
        <v>2016</v>
      </c>
      <c r="BE18" s="271"/>
      <c r="BF18" s="271"/>
    </row>
    <row r="19" spans="1:58" s="204" customFormat="1" ht="15" hidden="1" customHeight="1">
      <c r="A19" s="160" t="s">
        <v>500</v>
      </c>
      <c r="B19" s="58" t="s">
        <v>4</v>
      </c>
      <c r="C19" s="58" t="s">
        <v>923</v>
      </c>
      <c r="D19" s="58" t="s">
        <v>16</v>
      </c>
      <c r="E19" s="58"/>
      <c r="F19" s="58"/>
      <c r="G19" s="58"/>
      <c r="H19" s="30"/>
      <c r="I19" s="30"/>
      <c r="J19" s="30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2"/>
      <c r="AT19" s="58"/>
      <c r="AU19" s="162"/>
      <c r="AV19" s="158">
        <v>42</v>
      </c>
      <c r="AW19" s="158"/>
      <c r="AX19" s="158"/>
      <c r="AY19" s="158"/>
      <c r="AZ19" s="158"/>
      <c r="BA19" s="158"/>
      <c r="BB19" s="69"/>
      <c r="BC19" s="69"/>
      <c r="BD19" s="271">
        <v>2016</v>
      </c>
      <c r="BE19" s="271"/>
      <c r="BF19" s="271"/>
    </row>
    <row r="20" spans="1:58" s="204" customFormat="1" ht="15" hidden="1" customHeight="1">
      <c r="A20" s="160" t="s">
        <v>500</v>
      </c>
      <c r="B20" s="58" t="s">
        <v>4</v>
      </c>
      <c r="C20" s="122" t="s">
        <v>649</v>
      </c>
      <c r="D20" s="58" t="s">
        <v>16</v>
      </c>
      <c r="E20" s="58"/>
      <c r="F20" s="58"/>
      <c r="G20" s="58"/>
      <c r="H20" s="30" t="s">
        <v>635</v>
      </c>
      <c r="I20" s="30"/>
      <c r="J20" s="30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2">
        <v>1</v>
      </c>
      <c r="AT20" s="58" t="s">
        <v>646</v>
      </c>
      <c r="AU20" s="162"/>
      <c r="AV20" s="158"/>
      <c r="AW20" s="158">
        <v>34</v>
      </c>
      <c r="AX20" s="158"/>
      <c r="AY20" s="158"/>
      <c r="AZ20" s="158"/>
      <c r="BA20" s="158"/>
      <c r="BB20" s="69"/>
      <c r="BC20" s="69"/>
      <c r="BD20" s="271">
        <v>2017</v>
      </c>
      <c r="BE20" s="268"/>
      <c r="BF20" s="271"/>
    </row>
    <row r="21" spans="1:58" s="204" customFormat="1" ht="15" hidden="1" customHeight="1">
      <c r="A21" s="160" t="s">
        <v>500</v>
      </c>
      <c r="B21" s="58" t="s">
        <v>4</v>
      </c>
      <c r="C21" s="58" t="s">
        <v>20</v>
      </c>
      <c r="D21" s="58" t="s">
        <v>13</v>
      </c>
      <c r="E21" s="58"/>
      <c r="F21" s="58"/>
      <c r="G21" s="58"/>
      <c r="H21" s="30" t="s">
        <v>635</v>
      </c>
      <c r="I21" s="30"/>
      <c r="J21" s="30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2">
        <v>1</v>
      </c>
      <c r="AT21" s="58" t="s">
        <v>646</v>
      </c>
      <c r="AU21" s="162"/>
      <c r="AV21" s="158"/>
      <c r="AW21" s="158">
        <v>30</v>
      </c>
      <c r="AX21" s="158"/>
      <c r="AY21" s="158"/>
      <c r="AZ21" s="158"/>
      <c r="BA21" s="158"/>
      <c r="BB21" s="69"/>
      <c r="BC21" s="69"/>
      <c r="BD21" s="271">
        <v>2017</v>
      </c>
      <c r="BE21" s="268"/>
      <c r="BF21" s="271"/>
    </row>
    <row r="22" spans="1:58" s="204" customFormat="1" ht="15" hidden="1" customHeight="1">
      <c r="A22" s="160" t="s">
        <v>500</v>
      </c>
      <c r="B22" s="58" t="s">
        <v>4</v>
      </c>
      <c r="C22" s="58" t="s">
        <v>21</v>
      </c>
      <c r="D22" s="58" t="s">
        <v>13</v>
      </c>
      <c r="E22" s="58"/>
      <c r="F22" s="58"/>
      <c r="G22" s="58"/>
      <c r="H22" s="30" t="s">
        <v>635</v>
      </c>
      <c r="I22" s="30"/>
      <c r="J22" s="30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2">
        <v>1</v>
      </c>
      <c r="AT22" s="58" t="s">
        <v>646</v>
      </c>
      <c r="AU22" s="162"/>
      <c r="AV22" s="158"/>
      <c r="AW22" s="158">
        <v>27</v>
      </c>
      <c r="AX22" s="158"/>
      <c r="AY22" s="158"/>
      <c r="AZ22" s="158"/>
      <c r="BA22" s="158"/>
      <c r="BB22" s="69"/>
      <c r="BC22" s="69"/>
      <c r="BD22" s="271">
        <v>2017</v>
      </c>
      <c r="BE22" s="268"/>
      <c r="BF22" s="271"/>
    </row>
    <row r="23" spans="1:58" s="204" customFormat="1" ht="15" hidden="1" customHeight="1">
      <c r="A23" s="160" t="s">
        <v>500</v>
      </c>
      <c r="B23" s="58" t="s">
        <v>4</v>
      </c>
      <c r="C23" s="124" t="s">
        <v>22</v>
      </c>
      <c r="D23" s="126" t="s">
        <v>16</v>
      </c>
      <c r="E23" s="126"/>
      <c r="F23" s="126"/>
      <c r="G23" s="126"/>
      <c r="H23" s="30" t="s">
        <v>636</v>
      </c>
      <c r="I23" s="30"/>
      <c r="J23" s="30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2">
        <v>1</v>
      </c>
      <c r="AT23" s="58" t="s">
        <v>646</v>
      </c>
      <c r="AU23" s="162"/>
      <c r="AV23" s="158"/>
      <c r="AW23" s="158">
        <v>80</v>
      </c>
      <c r="AX23" s="158"/>
      <c r="AY23" s="158"/>
      <c r="AZ23" s="158"/>
      <c r="BA23" s="158"/>
      <c r="BB23" s="69"/>
      <c r="BC23" s="69"/>
      <c r="BD23" s="271">
        <v>2017</v>
      </c>
      <c r="BE23" s="268"/>
      <c r="BF23" s="271"/>
    </row>
    <row r="24" spans="1:58" s="204" customFormat="1" ht="15" hidden="1" customHeight="1">
      <c r="A24" s="160" t="s">
        <v>500</v>
      </c>
      <c r="B24" s="58" t="s">
        <v>4</v>
      </c>
      <c r="C24" s="124" t="s">
        <v>23</v>
      </c>
      <c r="D24" s="126" t="s">
        <v>16</v>
      </c>
      <c r="E24" s="126"/>
      <c r="F24" s="126"/>
      <c r="G24" s="126"/>
      <c r="H24" s="30" t="s">
        <v>650</v>
      </c>
      <c r="I24" s="30"/>
      <c r="J24" s="30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2">
        <v>1</v>
      </c>
      <c r="AT24" s="58" t="s">
        <v>646</v>
      </c>
      <c r="AU24" s="162"/>
      <c r="AV24" s="158"/>
      <c r="AW24" s="158">
        <v>36</v>
      </c>
      <c r="AX24" s="158"/>
      <c r="AY24" s="158"/>
      <c r="AZ24" s="158"/>
      <c r="BA24" s="158"/>
      <c r="BB24" s="69"/>
      <c r="BC24" s="69"/>
      <c r="BD24" s="271">
        <v>2017</v>
      </c>
      <c r="BE24" s="268"/>
      <c r="BF24" s="271"/>
    </row>
    <row r="25" spans="1:58" s="204" customFormat="1" ht="15" hidden="1" customHeight="1">
      <c r="A25" s="160" t="s">
        <v>500</v>
      </c>
      <c r="B25" s="58" t="s">
        <v>522</v>
      </c>
      <c r="C25" s="124" t="s">
        <v>24</v>
      </c>
      <c r="D25" s="126" t="s">
        <v>569</v>
      </c>
      <c r="E25" s="126"/>
      <c r="F25" s="126"/>
      <c r="G25" s="126"/>
      <c r="H25" s="30" t="s">
        <v>650</v>
      </c>
      <c r="I25" s="30"/>
      <c r="J25" s="30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2">
        <v>1</v>
      </c>
      <c r="AT25" s="58" t="s">
        <v>646</v>
      </c>
      <c r="AU25" s="162"/>
      <c r="AV25" s="158"/>
      <c r="AW25" s="158"/>
      <c r="AX25" s="12">
        <v>45</v>
      </c>
      <c r="AY25" s="158"/>
      <c r="AZ25" s="158"/>
      <c r="BA25" s="158">
        <v>45</v>
      </c>
      <c r="BB25" s="69"/>
      <c r="BC25" s="69"/>
      <c r="BD25" s="271">
        <v>2018</v>
      </c>
      <c r="BE25" s="268"/>
      <c r="BF25" s="271"/>
    </row>
    <row r="26" spans="1:58" s="204" customFormat="1" ht="15" hidden="1" customHeight="1">
      <c r="A26" s="160" t="s">
        <v>500</v>
      </c>
      <c r="B26" s="58" t="s">
        <v>4</v>
      </c>
      <c r="C26" s="124" t="s">
        <v>935</v>
      </c>
      <c r="D26" s="126" t="s">
        <v>16</v>
      </c>
      <c r="E26" s="126"/>
      <c r="F26" s="126"/>
      <c r="G26" s="126"/>
      <c r="H26" s="30" t="s">
        <v>630</v>
      </c>
      <c r="I26" s="30"/>
      <c r="J26" s="30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2">
        <v>1</v>
      </c>
      <c r="AT26" s="58" t="s">
        <v>646</v>
      </c>
      <c r="AU26" s="162"/>
      <c r="AV26" s="158"/>
      <c r="AW26" s="158"/>
      <c r="AX26" s="12">
        <v>56</v>
      </c>
      <c r="AY26" s="158"/>
      <c r="AZ26" s="158"/>
      <c r="BA26" s="158">
        <v>56</v>
      </c>
      <c r="BB26" s="69"/>
      <c r="BC26" s="69"/>
      <c r="BD26" s="271">
        <v>2018</v>
      </c>
      <c r="BE26" s="268"/>
      <c r="BF26" s="271"/>
    </row>
    <row r="27" spans="1:58" s="204" customFormat="1" ht="15" hidden="1" customHeight="1">
      <c r="A27" s="160" t="s">
        <v>500</v>
      </c>
      <c r="B27" s="58" t="s">
        <v>4</v>
      </c>
      <c r="C27" s="124" t="s">
        <v>712</v>
      </c>
      <c r="D27" s="126" t="s">
        <v>16</v>
      </c>
      <c r="E27" s="126"/>
      <c r="F27" s="126"/>
      <c r="G27" s="126"/>
      <c r="H27" s="30" t="s">
        <v>713</v>
      </c>
      <c r="I27" s="30"/>
      <c r="J27" s="30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2">
        <v>1</v>
      </c>
      <c r="AT27" s="58" t="s">
        <v>646</v>
      </c>
      <c r="AU27" s="162"/>
      <c r="AV27" s="158"/>
      <c r="AW27" s="158"/>
      <c r="AX27" s="12">
        <v>38</v>
      </c>
      <c r="AY27" s="158"/>
      <c r="AZ27" s="158"/>
      <c r="BA27" s="158"/>
      <c r="BB27" s="69">
        <v>38</v>
      </c>
      <c r="BC27" s="69"/>
      <c r="BD27" s="271">
        <v>2018</v>
      </c>
      <c r="BE27" s="268"/>
      <c r="BF27" s="271"/>
    </row>
    <row r="28" spans="1:58" s="204" customFormat="1" ht="24.75" hidden="1" customHeight="1">
      <c r="A28" s="230" t="s">
        <v>500</v>
      </c>
      <c r="B28" s="28" t="s">
        <v>522</v>
      </c>
      <c r="C28" s="231" t="s">
        <v>714</v>
      </c>
      <c r="D28" s="232" t="s">
        <v>16</v>
      </c>
      <c r="E28" s="232"/>
      <c r="F28" s="232"/>
      <c r="G28" s="232"/>
      <c r="H28" s="44" t="s">
        <v>715</v>
      </c>
      <c r="I28" s="115" t="s">
        <v>1506</v>
      </c>
      <c r="J28" s="215" t="s">
        <v>1505</v>
      </c>
      <c r="K28" s="158"/>
      <c r="L28" s="158"/>
      <c r="M28" s="158"/>
      <c r="N28" s="158"/>
      <c r="O28" s="158"/>
      <c r="P28" s="158">
        <f>6737805908-208385750</f>
        <v>6529420158</v>
      </c>
      <c r="Q28" s="158"/>
      <c r="R28" s="158"/>
      <c r="S28" s="158"/>
      <c r="T28" s="158">
        <v>2841789016</v>
      </c>
      <c r="U28" s="158">
        <v>30</v>
      </c>
      <c r="V28" s="158"/>
      <c r="W28" s="158"/>
      <c r="X28" s="158"/>
      <c r="Y28" s="158">
        <v>3687631142</v>
      </c>
      <c r="Z28" s="158">
        <v>10</v>
      </c>
      <c r="AA28" s="5"/>
      <c r="AB28" s="5"/>
      <c r="AC28" s="5"/>
      <c r="AD28" s="5"/>
      <c r="AE28" s="233">
        <f>P28-T28-Y28</f>
        <v>0</v>
      </c>
      <c r="AF28" s="233"/>
      <c r="AG28" s="233"/>
      <c r="AH28" s="233"/>
      <c r="AI28" s="233"/>
      <c r="AJ28" s="233"/>
      <c r="AK28" s="233">
        <v>877</v>
      </c>
      <c r="AL28" s="5">
        <v>10</v>
      </c>
      <c r="AM28" s="158"/>
      <c r="AN28" s="158"/>
      <c r="AO28" s="158"/>
      <c r="AP28" s="158"/>
      <c r="AQ28" s="158"/>
      <c r="AR28" s="158"/>
      <c r="AS28" s="2">
        <v>1</v>
      </c>
      <c r="AT28" s="58" t="s">
        <v>646</v>
      </c>
      <c r="AU28" s="162"/>
      <c r="AV28" s="158"/>
      <c r="AW28" s="158"/>
      <c r="AX28" s="12">
        <f>97-3</f>
        <v>94</v>
      </c>
      <c r="AY28" s="158"/>
      <c r="AZ28" s="158"/>
      <c r="BA28" s="158"/>
      <c r="BB28" s="69">
        <v>94</v>
      </c>
      <c r="BC28" s="69"/>
      <c r="BD28" s="271">
        <v>2018</v>
      </c>
      <c r="BE28" s="268"/>
      <c r="BF28" s="271"/>
    </row>
    <row r="29" spans="1:58" s="204" customFormat="1" ht="31.5" hidden="1" customHeight="1">
      <c r="A29" s="160" t="s">
        <v>500</v>
      </c>
      <c r="B29" s="58" t="s">
        <v>522</v>
      </c>
      <c r="C29" s="124" t="s">
        <v>714</v>
      </c>
      <c r="D29" s="126" t="s">
        <v>16</v>
      </c>
      <c r="E29" s="126"/>
      <c r="F29" s="126"/>
      <c r="G29" s="126"/>
      <c r="H29" s="30" t="s">
        <v>715</v>
      </c>
      <c r="I29" s="115" t="s">
        <v>1506</v>
      </c>
      <c r="J29" s="215" t="s">
        <v>1505</v>
      </c>
      <c r="K29" s="158"/>
      <c r="L29" s="158"/>
      <c r="M29" s="158"/>
      <c r="N29" s="158"/>
      <c r="O29" s="158"/>
      <c r="P29" s="158">
        <v>208385750</v>
      </c>
      <c r="Q29" s="158"/>
      <c r="R29" s="158"/>
      <c r="S29" s="158"/>
      <c r="T29" s="158">
        <v>90695395</v>
      </c>
      <c r="U29" s="158">
        <v>10</v>
      </c>
      <c r="V29" s="158"/>
      <c r="W29" s="158"/>
      <c r="X29" s="158"/>
      <c r="Y29" s="158">
        <v>117690355</v>
      </c>
      <c r="Z29" s="69">
        <v>20</v>
      </c>
      <c r="AA29" s="311">
        <v>43770</v>
      </c>
      <c r="AB29" s="311"/>
      <c r="AC29" s="158"/>
      <c r="AD29" s="158"/>
      <c r="AE29" s="94">
        <f>P29-T29-Y29</f>
        <v>0</v>
      </c>
      <c r="AF29" s="94"/>
      <c r="AG29" s="94">
        <v>0</v>
      </c>
      <c r="AH29" s="94"/>
      <c r="AI29" s="94"/>
      <c r="AJ29" s="94">
        <f>AE29+AG29</f>
        <v>0</v>
      </c>
      <c r="AK29" s="94">
        <v>877</v>
      </c>
      <c r="AL29" s="158">
        <v>20</v>
      </c>
      <c r="AM29" s="61"/>
      <c r="AN29" s="158"/>
      <c r="AO29" s="158"/>
      <c r="AP29" s="158"/>
      <c r="AQ29" s="158"/>
      <c r="AR29" s="158"/>
      <c r="AS29" s="2">
        <v>1</v>
      </c>
      <c r="AT29" s="58" t="s">
        <v>646</v>
      </c>
      <c r="AU29" s="384" t="s">
        <v>1650</v>
      </c>
      <c r="AV29" s="158"/>
      <c r="AW29" s="158"/>
      <c r="AX29" s="12">
        <v>3</v>
      </c>
      <c r="AY29" s="158"/>
      <c r="AZ29" s="158"/>
      <c r="BA29" s="158"/>
      <c r="BB29" s="69">
        <v>3</v>
      </c>
      <c r="BC29" s="69"/>
      <c r="BD29" s="431" t="s">
        <v>1652</v>
      </c>
      <c r="BE29" s="431" t="s">
        <v>1652</v>
      </c>
      <c r="BF29" s="443"/>
    </row>
    <row r="30" spans="1:58" s="204" customFormat="1" ht="15" hidden="1" customHeight="1">
      <c r="A30" s="243" t="s">
        <v>500</v>
      </c>
      <c r="B30" s="246" t="s">
        <v>11</v>
      </c>
      <c r="C30" s="244" t="s">
        <v>716</v>
      </c>
      <c r="D30" s="245" t="s">
        <v>16</v>
      </c>
      <c r="E30" s="245"/>
      <c r="F30" s="245"/>
      <c r="G30" s="245"/>
      <c r="H30" s="46" t="s">
        <v>715</v>
      </c>
      <c r="I30" s="30"/>
      <c r="J30" s="30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47"/>
      <c r="AL30" s="247"/>
      <c r="AM30" s="158"/>
      <c r="AN30" s="158"/>
      <c r="AO30" s="158"/>
      <c r="AP30" s="158"/>
      <c r="AQ30" s="158"/>
      <c r="AR30" s="158"/>
      <c r="AS30" s="2">
        <v>1</v>
      </c>
      <c r="AT30" s="58" t="s">
        <v>646</v>
      </c>
      <c r="AU30" s="162"/>
      <c r="AV30" s="158"/>
      <c r="AW30" s="158"/>
      <c r="AX30" s="12">
        <v>36</v>
      </c>
      <c r="AY30" s="158"/>
      <c r="AZ30" s="158"/>
      <c r="BA30" s="158"/>
      <c r="BB30" s="69">
        <f>+AX30</f>
        <v>36</v>
      </c>
      <c r="BC30" s="69"/>
      <c r="BD30" s="271">
        <v>2018</v>
      </c>
      <c r="BE30" s="268"/>
      <c r="BF30" s="468"/>
    </row>
    <row r="31" spans="1:58" s="468" customFormat="1" ht="18" customHeight="1">
      <c r="A31" s="160" t="s">
        <v>500</v>
      </c>
      <c r="B31" s="58" t="s">
        <v>936</v>
      </c>
      <c r="C31" s="124" t="s">
        <v>717</v>
      </c>
      <c r="D31" s="126" t="s">
        <v>69</v>
      </c>
      <c r="E31" s="126"/>
      <c r="F31" s="126"/>
      <c r="G31" s="126"/>
      <c r="H31" s="43" t="s">
        <v>715</v>
      </c>
      <c r="I31" s="115" t="s">
        <v>1488</v>
      </c>
      <c r="J31" s="215" t="s">
        <v>1487</v>
      </c>
      <c r="K31" s="158"/>
      <c r="L31" s="158"/>
      <c r="M31" s="158">
        <v>60</v>
      </c>
      <c r="N31" s="158"/>
      <c r="O31" s="602">
        <v>60</v>
      </c>
      <c r="P31" s="158">
        <v>4155811028</v>
      </c>
      <c r="Q31" s="158"/>
      <c r="R31" s="158"/>
      <c r="S31" s="158"/>
      <c r="T31" s="158">
        <v>1749815170</v>
      </c>
      <c r="U31" s="158">
        <v>30</v>
      </c>
      <c r="V31" s="158"/>
      <c r="W31" s="158"/>
      <c r="X31" s="158"/>
      <c r="Y31" s="158"/>
      <c r="Z31" s="69"/>
      <c r="AA31" s="276"/>
      <c r="AB31" s="276"/>
      <c r="AC31" s="276"/>
      <c r="AD31" s="276"/>
      <c r="AE31" s="158">
        <f>P31-T31-Y31</f>
        <v>2405995858</v>
      </c>
      <c r="AF31" s="158"/>
      <c r="AG31" s="94">
        <v>0</v>
      </c>
      <c r="AH31" s="94"/>
      <c r="AI31" s="94"/>
      <c r="AJ31" s="158">
        <f>AE31+AG31</f>
        <v>2405995858</v>
      </c>
      <c r="AK31" s="233">
        <v>877</v>
      </c>
      <c r="AL31" s="158">
        <v>20</v>
      </c>
      <c r="AM31" s="224"/>
      <c r="AN31" s="158"/>
      <c r="AO31" s="158"/>
      <c r="AP31" s="158">
        <v>60</v>
      </c>
      <c r="AQ31" s="158"/>
      <c r="AR31" s="158"/>
      <c r="AS31" s="14">
        <v>1.7899999999999999E-2</v>
      </c>
      <c r="AT31" s="58" t="s">
        <v>942</v>
      </c>
      <c r="AU31" s="384" t="s">
        <v>1489</v>
      </c>
      <c r="AV31" s="158"/>
      <c r="AW31" s="158"/>
      <c r="AX31" s="158"/>
      <c r="AY31" s="158"/>
      <c r="AZ31" s="158"/>
      <c r="BA31" s="158"/>
      <c r="BB31" s="69"/>
      <c r="BC31" s="69"/>
      <c r="BD31" s="271"/>
      <c r="BE31" s="271">
        <v>2019</v>
      </c>
      <c r="BF31" s="271">
        <v>2020</v>
      </c>
    </row>
    <row r="32" spans="1:58" s="468" customFormat="1" ht="18" hidden="1" customHeight="1">
      <c r="A32" s="248" t="s">
        <v>500</v>
      </c>
      <c r="B32" s="251" t="s">
        <v>719</v>
      </c>
      <c r="C32" s="249" t="s">
        <v>718</v>
      </c>
      <c r="D32" s="250" t="s">
        <v>54</v>
      </c>
      <c r="E32" s="250"/>
      <c r="F32" s="250"/>
      <c r="G32" s="250"/>
      <c r="H32" s="376" t="s">
        <v>720</v>
      </c>
      <c r="I32" s="115" t="s">
        <v>1540</v>
      </c>
      <c r="J32" s="215" t="s">
        <v>1475</v>
      </c>
      <c r="K32" s="158"/>
      <c r="L32" s="158"/>
      <c r="M32" s="158">
        <v>13</v>
      </c>
      <c r="N32" s="158"/>
      <c r="O32" s="158"/>
      <c r="P32" s="158">
        <v>901371088</v>
      </c>
      <c r="Q32" s="158"/>
      <c r="R32" s="158"/>
      <c r="S32" s="158"/>
      <c r="T32" s="94">
        <v>387309957</v>
      </c>
      <c r="U32" s="158">
        <v>10</v>
      </c>
      <c r="V32" s="158"/>
      <c r="W32" s="158"/>
      <c r="X32" s="158"/>
      <c r="Y32" s="158">
        <v>514061131</v>
      </c>
      <c r="Z32" s="158">
        <v>10</v>
      </c>
      <c r="AA32" s="311">
        <v>43678</v>
      </c>
      <c r="AB32" s="311"/>
      <c r="AC32" s="158"/>
      <c r="AD32" s="158"/>
      <c r="AE32" s="158">
        <f>P32-T32-Y32</f>
        <v>0</v>
      </c>
      <c r="AF32" s="158"/>
      <c r="AG32" s="94">
        <v>0</v>
      </c>
      <c r="AH32" s="94"/>
      <c r="AI32" s="94"/>
      <c r="AJ32" s="94">
        <f t="shared" ref="AJ32:AJ35" si="3">AE32+AG32</f>
        <v>0</v>
      </c>
      <c r="AK32" s="233">
        <v>877</v>
      </c>
      <c r="AL32" s="92">
        <v>10</v>
      </c>
      <c r="AM32" s="158"/>
      <c r="AN32" s="158"/>
      <c r="AO32" s="158"/>
      <c r="AP32" s="158"/>
      <c r="AQ32" s="158"/>
      <c r="AR32" s="158"/>
      <c r="AS32" s="2">
        <v>1</v>
      </c>
      <c r="AT32" s="58" t="s">
        <v>646</v>
      </c>
      <c r="AU32" s="384" t="s">
        <v>1839</v>
      </c>
      <c r="AV32" s="158"/>
      <c r="AW32" s="158"/>
      <c r="AX32" s="158"/>
      <c r="AY32" s="158">
        <v>13</v>
      </c>
      <c r="AZ32" s="158"/>
      <c r="BA32" s="158"/>
      <c r="BB32" s="69">
        <v>13</v>
      </c>
      <c r="BC32" s="69"/>
      <c r="BD32" s="271">
        <v>2019</v>
      </c>
      <c r="BE32" s="271">
        <v>2019</v>
      </c>
      <c r="BF32" s="271"/>
    </row>
    <row r="33" spans="1:58" s="468" customFormat="1" ht="18" hidden="1" customHeight="1">
      <c r="A33" s="160" t="s">
        <v>500</v>
      </c>
      <c r="B33" s="58" t="s">
        <v>719</v>
      </c>
      <c r="C33" s="124" t="s">
        <v>1347</v>
      </c>
      <c r="D33" s="126" t="s">
        <v>54</v>
      </c>
      <c r="E33" s="126"/>
      <c r="F33" s="126"/>
      <c r="G33" s="126"/>
      <c r="H33" s="43" t="s">
        <v>720</v>
      </c>
      <c r="I33" s="115" t="s">
        <v>1745</v>
      </c>
      <c r="J33" s="215" t="s">
        <v>1746</v>
      </c>
      <c r="K33" s="158"/>
      <c r="L33" s="158">
        <v>55</v>
      </c>
      <c r="M33" s="158"/>
      <c r="N33" s="158"/>
      <c r="O33" s="158"/>
      <c r="P33" s="158">
        <v>3813493065</v>
      </c>
      <c r="Q33" s="158"/>
      <c r="R33" s="158"/>
      <c r="S33" s="158"/>
      <c r="T33" s="94">
        <v>1614246510</v>
      </c>
      <c r="U33" s="158">
        <v>10</v>
      </c>
      <c r="V33" s="158"/>
      <c r="W33" s="158"/>
      <c r="X33" s="158"/>
      <c r="Y33" s="158">
        <v>2199246555</v>
      </c>
      <c r="Z33" s="158">
        <v>20</v>
      </c>
      <c r="AA33" s="311">
        <v>43617</v>
      </c>
      <c r="AB33" s="311"/>
      <c r="AC33" s="158"/>
      <c r="AD33" s="158"/>
      <c r="AE33" s="158">
        <f>P33-T33-Y33</f>
        <v>0</v>
      </c>
      <c r="AF33" s="158"/>
      <c r="AG33" s="94">
        <v>0</v>
      </c>
      <c r="AH33" s="94"/>
      <c r="AI33" s="94"/>
      <c r="AJ33" s="94">
        <f t="shared" si="3"/>
        <v>0</v>
      </c>
      <c r="AK33" s="233">
        <v>877</v>
      </c>
      <c r="AL33" s="92">
        <v>20</v>
      </c>
      <c r="AM33" s="158"/>
      <c r="AN33" s="158"/>
      <c r="AO33" s="158"/>
      <c r="AP33" s="158"/>
      <c r="AQ33" s="158"/>
      <c r="AR33" s="158"/>
      <c r="AS33" s="2">
        <v>1</v>
      </c>
      <c r="AT33" s="58" t="s">
        <v>646</v>
      </c>
      <c r="AU33" s="384" t="s">
        <v>1839</v>
      </c>
      <c r="AV33" s="158"/>
      <c r="AW33" s="158"/>
      <c r="AX33" s="158"/>
      <c r="AY33" s="158">
        <v>55</v>
      </c>
      <c r="AZ33" s="158"/>
      <c r="BA33" s="158"/>
      <c r="BB33" s="69">
        <v>55</v>
      </c>
      <c r="BC33" s="69"/>
      <c r="BD33" s="271">
        <v>2019</v>
      </c>
      <c r="BE33" s="271">
        <v>2019</v>
      </c>
      <c r="BF33" s="271"/>
    </row>
    <row r="34" spans="1:58" s="468" customFormat="1" ht="29.25" hidden="1" customHeight="1">
      <c r="A34" s="160" t="s">
        <v>500</v>
      </c>
      <c r="B34" s="58" t="s">
        <v>987</v>
      </c>
      <c r="C34" s="124" t="s">
        <v>1109</v>
      </c>
      <c r="D34" s="126" t="s">
        <v>16</v>
      </c>
      <c r="E34" s="126"/>
      <c r="F34" s="126"/>
      <c r="G34" s="126"/>
      <c r="H34" s="43" t="s">
        <v>968</v>
      </c>
      <c r="I34" s="30">
        <v>1098</v>
      </c>
      <c r="J34" s="212">
        <v>43609</v>
      </c>
      <c r="K34" s="94">
        <v>78</v>
      </c>
      <c r="L34" s="94">
        <v>78</v>
      </c>
      <c r="M34" s="94"/>
      <c r="N34" s="158"/>
      <c r="O34" s="158"/>
      <c r="P34" s="94">
        <v>5539593432</v>
      </c>
      <c r="Q34" s="94"/>
      <c r="R34" s="94"/>
      <c r="S34" s="94"/>
      <c r="T34" s="94">
        <v>2420112894</v>
      </c>
      <c r="U34" s="94">
        <v>20</v>
      </c>
      <c r="V34" s="94"/>
      <c r="W34" s="94"/>
      <c r="X34" s="94"/>
      <c r="Y34" s="158">
        <v>3119480538</v>
      </c>
      <c r="Z34" s="94">
        <v>10</v>
      </c>
      <c r="AA34" s="94"/>
      <c r="AB34" s="94"/>
      <c r="AC34" s="94"/>
      <c r="AD34" s="94"/>
      <c r="AE34" s="158">
        <f>P34-T34-Y34</f>
        <v>0</v>
      </c>
      <c r="AF34" s="158"/>
      <c r="AG34" s="94">
        <v>0</v>
      </c>
      <c r="AH34" s="94"/>
      <c r="AI34" s="94"/>
      <c r="AJ34" s="94">
        <f t="shared" si="3"/>
        <v>0</v>
      </c>
      <c r="AK34" s="94">
        <v>877</v>
      </c>
      <c r="AL34" s="94">
        <v>10</v>
      </c>
      <c r="AM34" s="158"/>
      <c r="AN34" s="158"/>
      <c r="AO34" s="158"/>
      <c r="AP34" s="158"/>
      <c r="AQ34" s="158"/>
      <c r="AR34" s="158"/>
      <c r="AS34" s="2">
        <v>1</v>
      </c>
      <c r="AT34" s="58" t="s">
        <v>646</v>
      </c>
      <c r="AU34" s="384"/>
      <c r="AV34" s="158"/>
      <c r="AW34" s="158"/>
      <c r="AX34" s="158"/>
      <c r="AY34" s="158">
        <v>78</v>
      </c>
      <c r="AZ34" s="158"/>
      <c r="BA34" s="158"/>
      <c r="BB34" s="69">
        <v>78</v>
      </c>
      <c r="BC34" s="69"/>
      <c r="BD34" s="431" t="s">
        <v>1652</v>
      </c>
      <c r="BE34" s="445" t="s">
        <v>1652</v>
      </c>
      <c r="BF34" s="271"/>
    </row>
    <row r="35" spans="1:58" s="468" customFormat="1" ht="18" customHeight="1">
      <c r="A35" s="160" t="s">
        <v>500</v>
      </c>
      <c r="B35" s="58" t="s">
        <v>11</v>
      </c>
      <c r="C35" s="124" t="s">
        <v>1057</v>
      </c>
      <c r="D35" s="126" t="s">
        <v>16</v>
      </c>
      <c r="E35" s="126"/>
      <c r="F35" s="126"/>
      <c r="G35" s="126"/>
      <c r="H35" s="43" t="s">
        <v>1058</v>
      </c>
      <c r="I35" s="30">
        <v>25</v>
      </c>
      <c r="J35" s="212">
        <v>43363</v>
      </c>
      <c r="K35" s="94">
        <v>197</v>
      </c>
      <c r="L35" s="94">
        <v>197</v>
      </c>
      <c r="M35" s="94"/>
      <c r="N35" s="602">
        <v>197</v>
      </c>
      <c r="O35" s="158"/>
      <c r="P35" s="94">
        <f>15417732281-77867335</f>
        <v>15339864946</v>
      </c>
      <c r="Q35" s="94"/>
      <c r="R35" s="94"/>
      <c r="S35" s="94"/>
      <c r="T35" s="94">
        <v>6574808617</v>
      </c>
      <c r="U35" s="94">
        <v>20</v>
      </c>
      <c r="V35" s="94"/>
      <c r="W35" s="94"/>
      <c r="X35" s="94"/>
      <c r="Y35" s="158">
        <v>8765056329</v>
      </c>
      <c r="Z35" s="94">
        <v>20</v>
      </c>
      <c r="AA35" s="311">
        <v>43586</v>
      </c>
      <c r="AB35" s="311"/>
      <c r="AC35" s="1"/>
      <c r="AD35" s="94"/>
      <c r="AE35" s="158">
        <f t="shared" ref="AE35:AE44" si="4">P35-T35-Y35</f>
        <v>0</v>
      </c>
      <c r="AF35" s="158"/>
      <c r="AG35" s="94">
        <v>0</v>
      </c>
      <c r="AH35" s="94"/>
      <c r="AI35" s="94"/>
      <c r="AJ35" s="158">
        <f t="shared" si="3"/>
        <v>0</v>
      </c>
      <c r="AK35" s="233">
        <v>877</v>
      </c>
      <c r="AL35" s="94">
        <v>20</v>
      </c>
      <c r="AM35" s="158"/>
      <c r="AN35" s="158"/>
      <c r="AO35" s="158">
        <v>197</v>
      </c>
      <c r="AP35" s="158"/>
      <c r="AQ35" s="158"/>
      <c r="AR35" s="158"/>
      <c r="AS35" s="2">
        <v>1</v>
      </c>
      <c r="AT35" s="58" t="s">
        <v>646</v>
      </c>
      <c r="AU35" s="384"/>
      <c r="AV35" s="158"/>
      <c r="AW35" s="158"/>
      <c r="AX35" s="158"/>
      <c r="AY35" s="158"/>
      <c r="AZ35" s="158">
        <v>197</v>
      </c>
      <c r="BA35" s="158"/>
      <c r="BB35" s="69">
        <v>197</v>
      </c>
      <c r="BC35" s="69"/>
      <c r="BD35" s="271">
        <v>2020</v>
      </c>
      <c r="BE35" s="271">
        <v>2019</v>
      </c>
      <c r="BF35" s="271">
        <v>2020</v>
      </c>
    </row>
    <row r="36" spans="1:58" s="468" customFormat="1" ht="18" customHeight="1">
      <c r="A36" s="160" t="s">
        <v>500</v>
      </c>
      <c r="B36" s="58" t="s">
        <v>11</v>
      </c>
      <c r="C36" s="124" t="s">
        <v>1057</v>
      </c>
      <c r="D36" s="126" t="s">
        <v>16</v>
      </c>
      <c r="E36" s="126"/>
      <c r="F36" s="126"/>
      <c r="G36" s="126"/>
      <c r="H36" s="43" t="s">
        <v>1058</v>
      </c>
      <c r="I36" s="30">
        <v>25</v>
      </c>
      <c r="J36" s="212">
        <v>43363</v>
      </c>
      <c r="K36" s="94">
        <v>1</v>
      </c>
      <c r="L36" s="94">
        <v>1</v>
      </c>
      <c r="M36" s="94"/>
      <c r="N36" s="602">
        <v>1</v>
      </c>
      <c r="O36" s="158"/>
      <c r="P36" s="94">
        <v>77867335</v>
      </c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158">
        <f t="shared" si="4"/>
        <v>77867335</v>
      </c>
      <c r="AF36" s="158"/>
      <c r="AG36" s="94">
        <v>0</v>
      </c>
      <c r="AH36" s="94"/>
      <c r="AI36" s="94"/>
      <c r="AJ36" s="158">
        <f>AE36+AG36</f>
        <v>77867335</v>
      </c>
      <c r="AK36" s="233">
        <v>877</v>
      </c>
      <c r="AL36" s="158">
        <v>20</v>
      </c>
      <c r="AM36" s="158">
        <v>1</v>
      </c>
      <c r="AN36" s="254"/>
      <c r="AO36" s="158"/>
      <c r="AP36" s="158"/>
      <c r="AQ36" s="158"/>
      <c r="AR36" s="158"/>
      <c r="AS36" s="2">
        <v>0</v>
      </c>
      <c r="AT36" s="58" t="s">
        <v>521</v>
      </c>
      <c r="AU36" s="384"/>
      <c r="AV36" s="158"/>
      <c r="AW36" s="158"/>
      <c r="AX36" s="158"/>
      <c r="AY36" s="158"/>
      <c r="AZ36" s="158"/>
      <c r="BA36" s="158"/>
      <c r="BB36" s="69"/>
      <c r="BC36" s="69"/>
      <c r="BD36" s="271"/>
      <c r="BE36" s="271">
        <v>2019</v>
      </c>
      <c r="BF36" s="271">
        <v>2020</v>
      </c>
    </row>
    <row r="37" spans="1:58" s="468" customFormat="1" ht="18" hidden="1" customHeight="1">
      <c r="A37" s="230" t="s">
        <v>500</v>
      </c>
      <c r="B37" s="58" t="s">
        <v>719</v>
      </c>
      <c r="C37" s="231" t="s">
        <v>1130</v>
      </c>
      <c r="D37" s="126" t="s">
        <v>46</v>
      </c>
      <c r="E37" s="232"/>
      <c r="F37" s="232"/>
      <c r="G37" s="232"/>
      <c r="H37" s="377" t="s">
        <v>1113</v>
      </c>
      <c r="I37" s="30">
        <v>774</v>
      </c>
      <c r="J37" s="212">
        <v>43455</v>
      </c>
      <c r="K37" s="94">
        <v>32</v>
      </c>
      <c r="L37" s="94">
        <v>32</v>
      </c>
      <c r="M37" s="94"/>
      <c r="N37" s="158"/>
      <c r="O37" s="158"/>
      <c r="P37" s="158">
        <v>2105849040</v>
      </c>
      <c r="Q37" s="158"/>
      <c r="R37" s="158"/>
      <c r="S37" s="158"/>
      <c r="T37" s="94">
        <v>1143425702</v>
      </c>
      <c r="U37" s="94">
        <v>10</v>
      </c>
      <c r="V37" s="94"/>
      <c r="W37" s="94"/>
      <c r="X37" s="94"/>
      <c r="Y37" s="158">
        <v>962423338</v>
      </c>
      <c r="Z37" s="94">
        <v>10</v>
      </c>
      <c r="AA37" s="311">
        <v>43617</v>
      </c>
      <c r="AB37" s="329"/>
      <c r="AC37" s="233"/>
      <c r="AD37" s="233"/>
      <c r="AE37" s="158">
        <f>P37-T37-Y37</f>
        <v>0</v>
      </c>
      <c r="AF37" s="158"/>
      <c r="AG37" s="94">
        <v>0</v>
      </c>
      <c r="AH37" s="94"/>
      <c r="AI37" s="94"/>
      <c r="AJ37" s="158">
        <f>AE37+AG37</f>
        <v>0</v>
      </c>
      <c r="AK37" s="94">
        <v>877</v>
      </c>
      <c r="AL37" s="94">
        <v>10</v>
      </c>
      <c r="AM37" s="94"/>
      <c r="AN37" s="254"/>
      <c r="AO37" s="94"/>
      <c r="AP37" s="158"/>
      <c r="AQ37" s="158"/>
      <c r="AR37" s="158"/>
      <c r="AS37" s="2">
        <v>1</v>
      </c>
      <c r="AT37" s="58" t="s">
        <v>646</v>
      </c>
      <c r="AU37" s="384" t="s">
        <v>1839</v>
      </c>
      <c r="AV37" s="158"/>
      <c r="AW37" s="158"/>
      <c r="AX37" s="158"/>
      <c r="AY37" s="158">
        <v>32</v>
      </c>
      <c r="AZ37" s="158"/>
      <c r="BA37" s="158"/>
      <c r="BB37" s="69">
        <v>32</v>
      </c>
      <c r="BC37" s="69"/>
      <c r="BD37" s="271">
        <v>2019</v>
      </c>
      <c r="BE37" s="271">
        <v>2019</v>
      </c>
      <c r="BF37" s="271"/>
    </row>
    <row r="38" spans="1:58" s="468" customFormat="1" ht="36.75" customHeight="1">
      <c r="A38" s="160" t="s">
        <v>500</v>
      </c>
      <c r="B38" s="58" t="s">
        <v>1114</v>
      </c>
      <c r="C38" s="508" t="s">
        <v>1171</v>
      </c>
      <c r="D38" s="509" t="s">
        <v>524</v>
      </c>
      <c r="E38" s="509"/>
      <c r="F38" s="509"/>
      <c r="G38" s="509"/>
      <c r="H38" s="43" t="s">
        <v>1113</v>
      </c>
      <c r="I38" s="78">
        <v>775</v>
      </c>
      <c r="J38" s="212">
        <v>43455</v>
      </c>
      <c r="K38" s="94">
        <f>60-1</f>
        <v>59</v>
      </c>
      <c r="L38" s="94">
        <v>59</v>
      </c>
      <c r="M38" s="94"/>
      <c r="N38" s="602">
        <v>59</v>
      </c>
      <c r="O38" s="158"/>
      <c r="P38" s="94">
        <f>4567039500-74869500-74869500</f>
        <v>4417300500</v>
      </c>
      <c r="Q38" s="94"/>
      <c r="R38" s="94"/>
      <c r="S38" s="94"/>
      <c r="T38" s="94">
        <f>2423845500-2177464950+2137067525</f>
        <v>2383448075</v>
      </c>
      <c r="U38" s="218">
        <v>10</v>
      </c>
      <c r="V38" s="312" t="s">
        <v>1718</v>
      </c>
      <c r="W38" s="312"/>
      <c r="X38" s="312"/>
      <c r="Y38" s="623">
        <v>2033852425</v>
      </c>
      <c r="Z38" s="175">
        <v>20</v>
      </c>
      <c r="AA38" s="484">
        <v>43920</v>
      </c>
      <c r="AB38" s="621"/>
      <c r="AC38" s="218"/>
      <c r="AD38" s="218"/>
      <c r="AE38" s="158">
        <f>P38-T38-Y38</f>
        <v>0</v>
      </c>
      <c r="AF38" s="158"/>
      <c r="AG38" s="94">
        <v>0</v>
      </c>
      <c r="AH38" s="94"/>
      <c r="AI38" s="94"/>
      <c r="AJ38" s="158">
        <f t="shared" ref="AJ38:AJ42" si="5">AE38+AG38</f>
        <v>0</v>
      </c>
      <c r="AK38" s="233">
        <v>877</v>
      </c>
      <c r="AL38" s="94">
        <v>20</v>
      </c>
      <c r="AM38" s="225"/>
      <c r="AN38" s="588">
        <v>59</v>
      </c>
      <c r="AO38" s="158"/>
      <c r="AP38" s="158"/>
      <c r="AQ38" s="158"/>
      <c r="AR38" s="158"/>
      <c r="AS38" s="493">
        <v>0.58279999999999998</v>
      </c>
      <c r="AT38" s="485" t="s">
        <v>38</v>
      </c>
      <c r="AU38" s="384" t="s">
        <v>1348</v>
      </c>
      <c r="AV38" s="158"/>
      <c r="AW38" s="158"/>
      <c r="AX38" s="158"/>
      <c r="AY38" s="158"/>
      <c r="AZ38" s="158"/>
      <c r="BA38" s="158"/>
      <c r="BB38" s="69"/>
      <c r="BC38" s="69"/>
      <c r="BD38" s="271"/>
      <c r="BE38" s="271">
        <v>2019</v>
      </c>
      <c r="BF38" s="271">
        <v>2020</v>
      </c>
    </row>
    <row r="39" spans="1:58" s="468" customFormat="1" ht="18" customHeight="1">
      <c r="A39" s="160" t="s">
        <v>500</v>
      </c>
      <c r="B39" s="58" t="s">
        <v>1114</v>
      </c>
      <c r="C39" s="124" t="s">
        <v>1171</v>
      </c>
      <c r="D39" s="126" t="s">
        <v>524</v>
      </c>
      <c r="E39" s="126"/>
      <c r="F39" s="126"/>
      <c r="G39" s="126"/>
      <c r="H39" s="43" t="s">
        <v>1113</v>
      </c>
      <c r="I39" s="78">
        <v>775</v>
      </c>
      <c r="J39" s="212">
        <v>43455</v>
      </c>
      <c r="K39" s="94">
        <v>1</v>
      </c>
      <c r="L39" s="94">
        <v>1</v>
      </c>
      <c r="M39" s="94"/>
      <c r="N39" s="602">
        <v>1</v>
      </c>
      <c r="O39" s="158"/>
      <c r="P39" s="94">
        <v>74869500</v>
      </c>
      <c r="Q39" s="94"/>
      <c r="R39" s="94"/>
      <c r="S39" s="94"/>
      <c r="T39" s="94"/>
      <c r="U39" s="218"/>
      <c r="V39" s="218"/>
      <c r="W39" s="218"/>
      <c r="X39" s="218"/>
      <c r="Y39" s="158"/>
      <c r="Z39" s="218"/>
      <c r="AA39" s="218"/>
      <c r="AB39" s="218"/>
      <c r="AC39" s="94"/>
      <c r="AD39" s="94"/>
      <c r="AE39" s="158">
        <f t="shared" si="4"/>
        <v>74869500</v>
      </c>
      <c r="AF39" s="158"/>
      <c r="AG39" s="94">
        <v>0</v>
      </c>
      <c r="AH39" s="94"/>
      <c r="AI39" s="94"/>
      <c r="AJ39" s="158">
        <f t="shared" si="5"/>
        <v>74869500</v>
      </c>
      <c r="AK39" s="233">
        <v>877</v>
      </c>
      <c r="AL39" s="94">
        <v>20</v>
      </c>
      <c r="AM39" s="225">
        <v>1</v>
      </c>
      <c r="AN39" s="254"/>
      <c r="AO39" s="158"/>
      <c r="AP39" s="158"/>
      <c r="AQ39" s="158"/>
      <c r="AR39" s="158"/>
      <c r="AS39" s="2">
        <v>0</v>
      </c>
      <c r="AT39" s="58" t="s">
        <v>521</v>
      </c>
      <c r="AU39" s="384"/>
      <c r="AV39" s="158"/>
      <c r="AW39" s="158"/>
      <c r="AX39" s="158"/>
      <c r="AY39" s="158"/>
      <c r="AZ39" s="158"/>
      <c r="BA39" s="158"/>
      <c r="BB39" s="69"/>
      <c r="BC39" s="69"/>
      <c r="BD39" s="271"/>
      <c r="BE39" s="271">
        <v>2019</v>
      </c>
      <c r="BF39" s="271">
        <v>2020</v>
      </c>
    </row>
    <row r="40" spans="1:58" s="468" customFormat="1" ht="18" customHeight="1">
      <c r="A40" s="243" t="s">
        <v>500</v>
      </c>
      <c r="B40" s="246" t="s">
        <v>1114</v>
      </c>
      <c r="C40" s="244" t="s">
        <v>1171</v>
      </c>
      <c r="D40" s="245" t="s">
        <v>524</v>
      </c>
      <c r="E40" s="245"/>
      <c r="F40" s="245"/>
      <c r="G40" s="245"/>
      <c r="H40" s="378" t="s">
        <v>1113</v>
      </c>
      <c r="I40" s="30">
        <v>775</v>
      </c>
      <c r="J40" s="212">
        <v>43455</v>
      </c>
      <c r="K40" s="94"/>
      <c r="L40" s="94"/>
      <c r="M40" s="158">
        <v>1</v>
      </c>
      <c r="N40" s="602">
        <v>1</v>
      </c>
      <c r="O40" s="158"/>
      <c r="P40" s="94">
        <v>74869500</v>
      </c>
      <c r="Q40" s="94"/>
      <c r="R40" s="94"/>
      <c r="S40" s="94"/>
      <c r="T40" s="94"/>
      <c r="U40" s="94"/>
      <c r="V40" s="94"/>
      <c r="W40" s="94"/>
      <c r="X40" s="94"/>
      <c r="Y40" s="158"/>
      <c r="Z40" s="94"/>
      <c r="AA40" s="252"/>
      <c r="AB40" s="252"/>
      <c r="AC40" s="252"/>
      <c r="AD40" s="252"/>
      <c r="AE40" s="158">
        <f t="shared" si="4"/>
        <v>74869500</v>
      </c>
      <c r="AF40" s="158"/>
      <c r="AG40" s="94">
        <v>0</v>
      </c>
      <c r="AH40" s="94"/>
      <c r="AI40" s="94"/>
      <c r="AJ40" s="158">
        <f t="shared" si="5"/>
        <v>74869500</v>
      </c>
      <c r="AK40" s="233">
        <v>877</v>
      </c>
      <c r="AL40" s="252">
        <v>20</v>
      </c>
      <c r="AM40" s="94"/>
      <c r="AN40" s="94"/>
      <c r="AO40" s="94">
        <v>1</v>
      </c>
      <c r="AP40" s="158"/>
      <c r="AQ40" s="158"/>
      <c r="AR40" s="158"/>
      <c r="AS40" s="2">
        <v>1</v>
      </c>
      <c r="AT40" s="58" t="s">
        <v>646</v>
      </c>
      <c r="AU40" s="384" t="s">
        <v>1348</v>
      </c>
      <c r="AV40" s="158"/>
      <c r="AW40" s="158"/>
      <c r="AX40" s="158"/>
      <c r="AY40" s="158"/>
      <c r="AZ40" s="158">
        <v>1</v>
      </c>
      <c r="BA40" s="158"/>
      <c r="BB40" s="69">
        <v>1</v>
      </c>
      <c r="BC40" s="69"/>
      <c r="BD40" s="271">
        <v>2020</v>
      </c>
      <c r="BE40" s="271">
        <v>2019</v>
      </c>
      <c r="BF40" s="271">
        <v>2020</v>
      </c>
    </row>
    <row r="41" spans="1:58" s="468" customFormat="1" ht="18" customHeight="1">
      <c r="A41" s="160" t="s">
        <v>500</v>
      </c>
      <c r="B41" s="58" t="s">
        <v>4</v>
      </c>
      <c r="C41" s="124" t="s">
        <v>1231</v>
      </c>
      <c r="D41" s="126" t="s">
        <v>16</v>
      </c>
      <c r="E41" s="126"/>
      <c r="F41" s="126"/>
      <c r="G41" s="126"/>
      <c r="H41" s="43" t="s">
        <v>1232</v>
      </c>
      <c r="I41" s="78">
        <v>498</v>
      </c>
      <c r="J41" s="212">
        <v>43539</v>
      </c>
      <c r="K41" s="94"/>
      <c r="L41" s="94"/>
      <c r="M41" s="158">
        <v>67</v>
      </c>
      <c r="N41" s="602">
        <v>67</v>
      </c>
      <c r="O41" s="158"/>
      <c r="P41" s="94">
        <v>5323805368</v>
      </c>
      <c r="Q41" s="94"/>
      <c r="R41" s="94"/>
      <c r="S41" s="94"/>
      <c r="T41" s="94">
        <v>2744358281</v>
      </c>
      <c r="U41" s="94">
        <v>10</v>
      </c>
      <c r="V41" s="311">
        <v>43556</v>
      </c>
      <c r="W41" s="311"/>
      <c r="X41" s="311"/>
      <c r="Y41" s="158">
        <v>2579447087</v>
      </c>
      <c r="Z41" s="218">
        <v>20</v>
      </c>
      <c r="AA41" s="311">
        <v>43709</v>
      </c>
      <c r="AB41" s="311"/>
      <c r="AC41" s="311"/>
      <c r="AD41" s="218"/>
      <c r="AE41" s="158">
        <f t="shared" si="4"/>
        <v>0</v>
      </c>
      <c r="AF41" s="158"/>
      <c r="AG41" s="94">
        <v>0</v>
      </c>
      <c r="AH41" s="94"/>
      <c r="AI41" s="94"/>
      <c r="AJ41" s="158">
        <f t="shared" si="5"/>
        <v>0</v>
      </c>
      <c r="AK41" s="94">
        <v>877</v>
      </c>
      <c r="AL41" s="94">
        <v>20</v>
      </c>
      <c r="AM41" s="225"/>
      <c r="AN41" s="254"/>
      <c r="AO41" s="158">
        <v>67</v>
      </c>
      <c r="AP41" s="158"/>
      <c r="AQ41" s="158"/>
      <c r="AR41" s="158"/>
      <c r="AS41" s="2">
        <v>1</v>
      </c>
      <c r="AT41" s="58" t="s">
        <v>646</v>
      </c>
      <c r="AU41" s="384"/>
      <c r="AV41" s="158"/>
      <c r="AW41" s="158"/>
      <c r="AX41" s="158"/>
      <c r="AY41" s="158"/>
      <c r="AZ41" s="158">
        <v>67</v>
      </c>
      <c r="BA41" s="158"/>
      <c r="BB41" s="69">
        <v>67</v>
      </c>
      <c r="BC41" s="69"/>
      <c r="BD41" s="271">
        <v>2020</v>
      </c>
      <c r="BE41" s="271">
        <v>2019</v>
      </c>
      <c r="BF41" s="271">
        <v>2020</v>
      </c>
    </row>
    <row r="42" spans="1:58" s="468" customFormat="1" ht="18" customHeight="1">
      <c r="A42" s="160" t="s">
        <v>500</v>
      </c>
      <c r="B42" s="58" t="s">
        <v>1235</v>
      </c>
      <c r="C42" s="124" t="s">
        <v>1350</v>
      </c>
      <c r="D42" s="126" t="s">
        <v>1234</v>
      </c>
      <c r="E42" s="126"/>
      <c r="F42" s="126"/>
      <c r="G42" s="126"/>
      <c r="H42" s="43" t="s">
        <v>1232</v>
      </c>
      <c r="I42" s="30">
        <v>495</v>
      </c>
      <c r="J42" s="212">
        <v>43539</v>
      </c>
      <c r="K42" s="212"/>
      <c r="L42" s="94"/>
      <c r="M42" s="158">
        <f>57-2</f>
        <v>55</v>
      </c>
      <c r="N42" s="602">
        <v>55</v>
      </c>
      <c r="O42" s="158"/>
      <c r="P42" s="94">
        <f>4509161472-158216192</f>
        <v>4350945280</v>
      </c>
      <c r="Q42" s="94"/>
      <c r="R42" s="94"/>
      <c r="S42" s="94"/>
      <c r="T42" s="94">
        <v>2345918885</v>
      </c>
      <c r="U42" s="94">
        <v>20</v>
      </c>
      <c r="V42" s="311">
        <v>43586</v>
      </c>
      <c r="W42" s="311"/>
      <c r="X42" s="311"/>
      <c r="Y42" s="158">
        <v>2005026395</v>
      </c>
      <c r="Z42" s="218">
        <v>20</v>
      </c>
      <c r="AA42" s="311">
        <v>43739</v>
      </c>
      <c r="AB42" s="311"/>
      <c r="AC42" s="1"/>
      <c r="AD42" s="94"/>
      <c r="AE42" s="158">
        <f t="shared" si="4"/>
        <v>0</v>
      </c>
      <c r="AF42" s="158"/>
      <c r="AG42" s="94">
        <v>0</v>
      </c>
      <c r="AH42" s="94"/>
      <c r="AI42" s="94"/>
      <c r="AJ42" s="158">
        <f t="shared" si="5"/>
        <v>0</v>
      </c>
      <c r="AK42" s="233">
        <v>877</v>
      </c>
      <c r="AL42" s="94">
        <v>20</v>
      </c>
      <c r="AM42" s="94"/>
      <c r="AN42" s="254"/>
      <c r="AO42" s="254">
        <f>57-2</f>
        <v>55</v>
      </c>
      <c r="AP42" s="158"/>
      <c r="AQ42" s="158"/>
      <c r="AR42" s="158"/>
      <c r="AS42" s="2">
        <v>1</v>
      </c>
      <c r="AT42" s="58" t="s">
        <v>646</v>
      </c>
      <c r="AU42" s="384"/>
      <c r="AV42" s="158"/>
      <c r="AW42" s="158"/>
      <c r="AX42" s="158"/>
      <c r="AY42" s="158"/>
      <c r="AZ42" s="158">
        <v>55</v>
      </c>
      <c r="BA42" s="158"/>
      <c r="BB42" s="69">
        <v>55</v>
      </c>
      <c r="BC42" s="69"/>
      <c r="BD42" s="271">
        <v>2020</v>
      </c>
      <c r="BE42" s="271">
        <v>2019</v>
      </c>
      <c r="BF42" s="271">
        <v>2020</v>
      </c>
    </row>
    <row r="43" spans="1:58" s="468" customFormat="1" ht="18" customHeight="1">
      <c r="A43" s="160" t="s">
        <v>500</v>
      </c>
      <c r="B43" s="58" t="s">
        <v>1235</v>
      </c>
      <c r="C43" s="124" t="s">
        <v>1350</v>
      </c>
      <c r="D43" s="126" t="s">
        <v>1234</v>
      </c>
      <c r="E43" s="126"/>
      <c r="F43" s="126"/>
      <c r="G43" s="126"/>
      <c r="H43" s="43" t="s">
        <v>1232</v>
      </c>
      <c r="I43" s="30">
        <v>495</v>
      </c>
      <c r="J43" s="212">
        <v>43539</v>
      </c>
      <c r="K43" s="212"/>
      <c r="L43" s="94"/>
      <c r="M43" s="158">
        <v>2</v>
      </c>
      <c r="N43" s="602">
        <v>2</v>
      </c>
      <c r="O43" s="158"/>
      <c r="P43" s="94">
        <v>158216192</v>
      </c>
      <c r="Q43" s="94"/>
      <c r="R43" s="94"/>
      <c r="S43" s="94"/>
      <c r="T43" s="94"/>
      <c r="U43" s="94"/>
      <c r="V43" s="94"/>
      <c r="W43" s="94"/>
      <c r="X43" s="94"/>
      <c r="Y43" s="158"/>
      <c r="Z43" s="218"/>
      <c r="AA43" s="281"/>
      <c r="AB43" s="281"/>
      <c r="AC43" s="281"/>
      <c r="AD43" s="281"/>
      <c r="AE43" s="158">
        <f t="shared" si="4"/>
        <v>158216192</v>
      </c>
      <c r="AF43" s="158"/>
      <c r="AG43" s="94">
        <v>0</v>
      </c>
      <c r="AH43" s="94"/>
      <c r="AI43" s="94"/>
      <c r="AJ43" s="158">
        <f>AE43+AG43</f>
        <v>158216192</v>
      </c>
      <c r="AK43" s="233">
        <v>877</v>
      </c>
      <c r="AL43" s="158">
        <v>20</v>
      </c>
      <c r="AM43" s="225">
        <v>2</v>
      </c>
      <c r="AN43" s="254"/>
      <c r="AO43" s="158"/>
      <c r="AP43" s="158"/>
      <c r="AQ43" s="158"/>
      <c r="AR43" s="158"/>
      <c r="AS43" s="2">
        <v>0</v>
      </c>
      <c r="AT43" s="58" t="s">
        <v>521</v>
      </c>
      <c r="AU43" s="384"/>
      <c r="AV43" s="158"/>
      <c r="AW43" s="158"/>
      <c r="AX43" s="158"/>
      <c r="AY43" s="158"/>
      <c r="AZ43" s="158"/>
      <c r="BA43" s="158"/>
      <c r="BB43" s="69"/>
      <c r="BC43" s="69"/>
      <c r="BD43" s="271"/>
      <c r="BE43" s="271">
        <v>2019</v>
      </c>
      <c r="BF43" s="271">
        <v>2020</v>
      </c>
    </row>
    <row r="44" spans="1:58" s="468" customFormat="1" ht="18" customHeight="1">
      <c r="A44" s="160" t="s">
        <v>500</v>
      </c>
      <c r="B44" s="58" t="s">
        <v>4</v>
      </c>
      <c r="C44" s="124" t="s">
        <v>1236</v>
      </c>
      <c r="D44" s="126" t="s">
        <v>1237</v>
      </c>
      <c r="E44" s="126"/>
      <c r="F44" s="126"/>
      <c r="G44" s="126"/>
      <c r="H44" s="43" t="s">
        <v>1232</v>
      </c>
      <c r="I44" s="30">
        <v>530</v>
      </c>
      <c r="J44" s="212">
        <v>43546</v>
      </c>
      <c r="K44" s="212"/>
      <c r="L44" s="94"/>
      <c r="M44" s="158">
        <v>63</v>
      </c>
      <c r="N44" s="602">
        <v>63</v>
      </c>
      <c r="O44" s="158"/>
      <c r="P44" s="94">
        <v>5055918525</v>
      </c>
      <c r="Q44" s="94"/>
      <c r="R44" s="94"/>
      <c r="S44" s="94"/>
      <c r="T44" s="94">
        <v>2725946480</v>
      </c>
      <c r="U44" s="94">
        <v>10</v>
      </c>
      <c r="V44" s="311">
        <v>43586</v>
      </c>
      <c r="W44" s="311"/>
      <c r="X44" s="311"/>
      <c r="Y44" s="158">
        <v>2329972045</v>
      </c>
      <c r="Z44" s="158">
        <v>20</v>
      </c>
      <c r="AA44" s="311">
        <v>43739</v>
      </c>
      <c r="AB44" s="577"/>
      <c r="AC44" s="218"/>
      <c r="AD44" s="218"/>
      <c r="AE44" s="158">
        <f t="shared" si="4"/>
        <v>0</v>
      </c>
      <c r="AF44" s="158"/>
      <c r="AG44" s="94">
        <v>0</v>
      </c>
      <c r="AH44" s="94"/>
      <c r="AI44" s="94"/>
      <c r="AJ44" s="158">
        <f>AE44+AG44</f>
        <v>0</v>
      </c>
      <c r="AK44" s="94">
        <v>877</v>
      </c>
      <c r="AL44" s="94">
        <v>20</v>
      </c>
      <c r="AM44" s="225"/>
      <c r="AN44" s="254"/>
      <c r="AO44" s="158">
        <v>63</v>
      </c>
      <c r="AP44" s="158"/>
      <c r="AQ44" s="158"/>
      <c r="AR44" s="158"/>
      <c r="AS44" s="2">
        <v>1</v>
      </c>
      <c r="AT44" s="58" t="s">
        <v>646</v>
      </c>
      <c r="AU44" s="384"/>
      <c r="AV44" s="158"/>
      <c r="AW44" s="158"/>
      <c r="AX44" s="158"/>
      <c r="AY44" s="158"/>
      <c r="AZ44" s="158">
        <v>63</v>
      </c>
      <c r="BA44" s="158"/>
      <c r="BB44" s="69">
        <v>63</v>
      </c>
      <c r="BC44" s="69"/>
      <c r="BD44" s="271">
        <v>2020</v>
      </c>
      <c r="BE44" s="271">
        <v>2019</v>
      </c>
      <c r="BF44" s="271">
        <v>2020</v>
      </c>
    </row>
    <row r="45" spans="1:58" s="468" customFormat="1" ht="18" customHeight="1">
      <c r="A45" s="160" t="s">
        <v>500</v>
      </c>
      <c r="B45" s="58" t="s">
        <v>2150</v>
      </c>
      <c r="C45" s="508" t="s">
        <v>1585</v>
      </c>
      <c r="D45" s="509" t="s">
        <v>1586</v>
      </c>
      <c r="E45" s="509"/>
      <c r="F45" s="509"/>
      <c r="G45" s="509"/>
      <c r="H45" s="43" t="s">
        <v>1553</v>
      </c>
      <c r="I45" s="30">
        <v>1661</v>
      </c>
      <c r="J45" s="212">
        <v>43731</v>
      </c>
      <c r="K45" s="212"/>
      <c r="L45" s="94"/>
      <c r="M45" s="158">
        <v>39</v>
      </c>
      <c r="N45" s="602">
        <v>39</v>
      </c>
      <c r="O45" s="158"/>
      <c r="P45" s="254">
        <v>2843230552</v>
      </c>
      <c r="Q45" s="94"/>
      <c r="R45" s="94"/>
      <c r="S45" s="94"/>
      <c r="T45" s="94">
        <v>1563541975</v>
      </c>
      <c r="U45" s="94">
        <v>20</v>
      </c>
      <c r="V45" s="311">
        <v>43739</v>
      </c>
      <c r="W45" s="311"/>
      <c r="X45" s="311"/>
      <c r="Y45" s="623">
        <v>1279688577</v>
      </c>
      <c r="Z45" s="72">
        <v>20</v>
      </c>
      <c r="AA45" s="484">
        <v>43900</v>
      </c>
      <c r="AB45" s="616"/>
      <c r="AC45" s="283"/>
      <c r="AD45" s="283"/>
      <c r="AE45" s="158">
        <f>P45-T45-Y45-AG45</f>
        <v>0</v>
      </c>
      <c r="AF45" s="158"/>
      <c r="AG45" s="94">
        <v>0</v>
      </c>
      <c r="AH45" s="94"/>
      <c r="AI45" s="94"/>
      <c r="AJ45" s="158">
        <f t="shared" ref="AJ45:AJ51" si="6">AE45+AG45</f>
        <v>0</v>
      </c>
      <c r="AK45" s="233">
        <v>877</v>
      </c>
      <c r="AL45" s="158">
        <v>20</v>
      </c>
      <c r="AM45" s="225"/>
      <c r="AN45" s="254">
        <v>39</v>
      </c>
      <c r="AO45" s="158"/>
      <c r="AP45" s="158"/>
      <c r="AQ45" s="158"/>
      <c r="AR45" s="158"/>
      <c r="AS45" s="493">
        <v>0.55220000000000002</v>
      </c>
      <c r="AT45" s="485" t="s">
        <v>38</v>
      </c>
      <c r="AU45" s="384"/>
      <c r="AV45" s="158"/>
      <c r="AW45" s="158"/>
      <c r="AX45" s="158"/>
      <c r="AY45" s="158"/>
      <c r="AZ45" s="158"/>
      <c r="BA45" s="158"/>
      <c r="BB45" s="69"/>
      <c r="BC45" s="69"/>
      <c r="BD45" s="271"/>
      <c r="BE45" s="271">
        <v>2019</v>
      </c>
      <c r="BF45" s="271">
        <v>2020</v>
      </c>
    </row>
    <row r="46" spans="1:58" s="468" customFormat="1" ht="18" customHeight="1">
      <c r="A46" s="160" t="s">
        <v>500</v>
      </c>
      <c r="B46" s="251" t="s">
        <v>936</v>
      </c>
      <c r="C46" s="506" t="s">
        <v>1766</v>
      </c>
      <c r="D46" s="507" t="s">
        <v>287</v>
      </c>
      <c r="E46" s="507"/>
      <c r="F46" s="507"/>
      <c r="G46" s="507"/>
      <c r="H46" s="43" t="s">
        <v>1763</v>
      </c>
      <c r="I46" s="30">
        <v>1864</v>
      </c>
      <c r="J46" s="212">
        <v>43766</v>
      </c>
      <c r="K46" s="212"/>
      <c r="L46" s="94"/>
      <c r="M46" s="158">
        <v>50</v>
      </c>
      <c r="N46" s="158">
        <v>50</v>
      </c>
      <c r="O46" s="158"/>
      <c r="P46" s="254">
        <v>3981425320</v>
      </c>
      <c r="Q46" s="94"/>
      <c r="R46" s="94"/>
      <c r="S46" s="94"/>
      <c r="T46" s="94">
        <f>2169624979+19583991</f>
        <v>2189208970</v>
      </c>
      <c r="U46" s="94">
        <v>20</v>
      </c>
      <c r="V46" s="311">
        <v>43770</v>
      </c>
      <c r="W46" s="311"/>
      <c r="X46" s="311"/>
      <c r="Y46" s="623">
        <v>1792216350</v>
      </c>
      <c r="Z46" s="72">
        <v>20</v>
      </c>
      <c r="AA46" s="484">
        <v>43921</v>
      </c>
      <c r="AB46" s="616"/>
      <c r="AC46" s="283"/>
      <c r="AD46" s="283"/>
      <c r="AE46" s="158">
        <f>P46-T46-Y46-AG46</f>
        <v>0</v>
      </c>
      <c r="AF46" s="158"/>
      <c r="AG46" s="94">
        <v>0</v>
      </c>
      <c r="AH46" s="94"/>
      <c r="AI46" s="94"/>
      <c r="AJ46" s="158">
        <f t="shared" si="6"/>
        <v>0</v>
      </c>
      <c r="AK46" s="233">
        <v>877</v>
      </c>
      <c r="AL46" s="94">
        <v>20</v>
      </c>
      <c r="AM46" s="225"/>
      <c r="AN46" s="254">
        <v>50</v>
      </c>
      <c r="AO46" s="158"/>
      <c r="AP46" s="158"/>
      <c r="AQ46" s="158"/>
      <c r="AR46" s="158"/>
      <c r="AS46" s="493">
        <v>0</v>
      </c>
      <c r="AT46" s="485" t="s">
        <v>38</v>
      </c>
      <c r="AU46" s="384" t="s">
        <v>1767</v>
      </c>
      <c r="AV46" s="158"/>
      <c r="AW46" s="158"/>
      <c r="AX46" s="158"/>
      <c r="AY46" s="158"/>
      <c r="AZ46" s="158"/>
      <c r="BA46" s="158"/>
      <c r="BB46" s="69"/>
      <c r="BC46" s="69"/>
      <c r="BD46" s="271"/>
      <c r="BE46" s="271">
        <v>2019</v>
      </c>
      <c r="BF46" s="271">
        <v>2020</v>
      </c>
    </row>
    <row r="47" spans="1:58" s="468" customFormat="1" ht="18" customHeight="1">
      <c r="A47" s="160" t="s">
        <v>500</v>
      </c>
      <c r="B47" s="251" t="s">
        <v>987</v>
      </c>
      <c r="C47" s="506" t="s">
        <v>1787</v>
      </c>
      <c r="D47" s="507" t="s">
        <v>1006</v>
      </c>
      <c r="E47" s="507"/>
      <c r="F47" s="507"/>
      <c r="G47" s="507"/>
      <c r="H47" s="43" t="s">
        <v>1763</v>
      </c>
      <c r="I47" s="30">
        <v>1862</v>
      </c>
      <c r="J47" s="212">
        <v>43766</v>
      </c>
      <c r="K47" s="212"/>
      <c r="L47" s="94"/>
      <c r="M47" s="158">
        <v>42</v>
      </c>
      <c r="N47" s="602">
        <v>42</v>
      </c>
      <c r="O47" s="158"/>
      <c r="P47" s="254">
        <v>3060970770</v>
      </c>
      <c r="Q47" s="94"/>
      <c r="R47" s="94"/>
      <c r="S47" s="94"/>
      <c r="T47" s="94">
        <f>1448641734+14497523</f>
        <v>1463139257</v>
      </c>
      <c r="U47" s="94">
        <v>20</v>
      </c>
      <c r="V47" s="311">
        <v>43770</v>
      </c>
      <c r="W47" s="311"/>
      <c r="X47" s="311"/>
      <c r="Y47" s="72">
        <v>1597831513</v>
      </c>
      <c r="Z47" s="72">
        <v>20</v>
      </c>
      <c r="AA47" s="484">
        <v>43980</v>
      </c>
      <c r="AB47" s="581"/>
      <c r="AC47" s="283"/>
      <c r="AD47" s="283"/>
      <c r="AE47" s="158">
        <f>P47-T47-Y47-AG47</f>
        <v>0</v>
      </c>
      <c r="AF47" s="158"/>
      <c r="AG47" s="94">
        <v>0</v>
      </c>
      <c r="AH47" s="94"/>
      <c r="AI47" s="94"/>
      <c r="AJ47" s="158">
        <f t="shared" si="6"/>
        <v>0</v>
      </c>
      <c r="AK47" s="233">
        <v>877</v>
      </c>
      <c r="AL47" s="94">
        <v>20</v>
      </c>
      <c r="AM47" s="225"/>
      <c r="AN47" s="225">
        <v>42</v>
      </c>
      <c r="AO47" s="158"/>
      <c r="AP47" s="158"/>
      <c r="AQ47" s="158"/>
      <c r="AR47" s="158"/>
      <c r="AS47" s="493">
        <v>0.48899999999999999</v>
      </c>
      <c r="AT47" s="485" t="s">
        <v>38</v>
      </c>
      <c r="AU47" s="384" t="s">
        <v>1223</v>
      </c>
      <c r="AV47" s="158"/>
      <c r="AW47" s="158"/>
      <c r="AX47" s="158"/>
      <c r="AY47" s="158"/>
      <c r="AZ47" s="158"/>
      <c r="BA47" s="158"/>
      <c r="BB47" s="69"/>
      <c r="BC47" s="69"/>
      <c r="BD47" s="271"/>
      <c r="BE47" s="271">
        <v>2019</v>
      </c>
      <c r="BF47" s="271">
        <v>2020</v>
      </c>
    </row>
    <row r="48" spans="1:58" s="468" customFormat="1" ht="18" customHeight="1">
      <c r="A48" s="160" t="s">
        <v>500</v>
      </c>
      <c r="B48" s="251" t="s">
        <v>6</v>
      </c>
      <c r="C48" s="506" t="s">
        <v>1826</v>
      </c>
      <c r="D48" s="507" t="s">
        <v>1827</v>
      </c>
      <c r="E48" s="507"/>
      <c r="F48" s="507"/>
      <c r="G48" s="507"/>
      <c r="H48" s="43" t="s">
        <v>1763</v>
      </c>
      <c r="I48" s="30">
        <v>1758</v>
      </c>
      <c r="J48" s="212">
        <v>43748</v>
      </c>
      <c r="K48" s="212"/>
      <c r="L48" s="94"/>
      <c r="M48" s="158">
        <v>17</v>
      </c>
      <c r="N48" s="158">
        <v>17</v>
      </c>
      <c r="O48" s="158"/>
      <c r="P48" s="254">
        <v>1352934427</v>
      </c>
      <c r="Q48" s="94"/>
      <c r="R48" s="94"/>
      <c r="S48" s="94"/>
      <c r="T48" s="94">
        <v>727612785</v>
      </c>
      <c r="U48" s="94">
        <v>20</v>
      </c>
      <c r="V48" s="311">
        <v>43739</v>
      </c>
      <c r="W48" s="311"/>
      <c r="X48" s="311"/>
      <c r="Y48" s="623">
        <v>625321642</v>
      </c>
      <c r="Z48" s="72">
        <v>20</v>
      </c>
      <c r="AA48" s="484">
        <v>43900</v>
      </c>
      <c r="AB48" s="616"/>
      <c r="AC48" s="283"/>
      <c r="AD48" s="283"/>
      <c r="AE48" s="158">
        <f t="shared" ref="AE48:AE50" si="7">P48-T48-Y48-AG48</f>
        <v>0</v>
      </c>
      <c r="AF48" s="158"/>
      <c r="AG48" s="94">
        <v>0</v>
      </c>
      <c r="AH48" s="94"/>
      <c r="AI48" s="94"/>
      <c r="AJ48" s="158">
        <f t="shared" si="6"/>
        <v>0</v>
      </c>
      <c r="AK48" s="233">
        <v>877</v>
      </c>
      <c r="AL48" s="94">
        <v>20</v>
      </c>
      <c r="AM48" s="225"/>
      <c r="AN48" s="254">
        <v>17</v>
      </c>
      <c r="AO48" s="158"/>
      <c r="AP48" s="158"/>
      <c r="AQ48" s="158"/>
      <c r="AR48" s="158"/>
      <c r="AS48" s="493">
        <v>0</v>
      </c>
      <c r="AT48" s="485" t="s">
        <v>38</v>
      </c>
      <c r="AU48" s="384"/>
      <c r="AV48" s="158"/>
      <c r="AW48" s="158"/>
      <c r="AX48" s="158"/>
      <c r="AY48" s="158"/>
      <c r="AZ48" s="158"/>
      <c r="BA48" s="158"/>
      <c r="BB48" s="69"/>
      <c r="BC48" s="69"/>
      <c r="BD48" s="271"/>
      <c r="BE48" s="271">
        <v>2019</v>
      </c>
      <c r="BF48" s="271">
        <v>2020</v>
      </c>
    </row>
    <row r="49" spans="1:16383" s="468" customFormat="1" ht="18" customHeight="1">
      <c r="A49" s="160" t="s">
        <v>500</v>
      </c>
      <c r="B49" s="251" t="s">
        <v>6</v>
      </c>
      <c r="C49" s="506" t="s">
        <v>1828</v>
      </c>
      <c r="D49" s="507" t="s">
        <v>1827</v>
      </c>
      <c r="E49" s="507"/>
      <c r="F49" s="507"/>
      <c r="G49" s="507"/>
      <c r="H49" s="43" t="s">
        <v>1763</v>
      </c>
      <c r="I49" s="30">
        <v>1757</v>
      </c>
      <c r="J49" s="212">
        <v>43748</v>
      </c>
      <c r="K49" s="212"/>
      <c r="L49" s="94"/>
      <c r="M49" s="158">
        <v>26</v>
      </c>
      <c r="N49" s="158">
        <v>26</v>
      </c>
      <c r="O49" s="158"/>
      <c r="P49" s="254">
        <v>2069193831</v>
      </c>
      <c r="Q49" s="94"/>
      <c r="R49" s="94"/>
      <c r="S49" s="94"/>
      <c r="T49" s="94">
        <v>1130544260</v>
      </c>
      <c r="U49" s="94">
        <v>20</v>
      </c>
      <c r="V49" s="311">
        <v>43739</v>
      </c>
      <c r="W49" s="311"/>
      <c r="X49" s="311"/>
      <c r="Y49" s="623">
        <v>938649571</v>
      </c>
      <c r="Z49" s="72">
        <v>20</v>
      </c>
      <c r="AA49" s="484">
        <v>43889</v>
      </c>
      <c r="AB49" s="616"/>
      <c r="AC49" s="283"/>
      <c r="AD49" s="283"/>
      <c r="AE49" s="158">
        <f t="shared" si="7"/>
        <v>0</v>
      </c>
      <c r="AF49" s="158"/>
      <c r="AG49" s="94">
        <v>0</v>
      </c>
      <c r="AH49" s="94"/>
      <c r="AI49" s="94"/>
      <c r="AJ49" s="158">
        <f t="shared" si="6"/>
        <v>0</v>
      </c>
      <c r="AK49" s="94">
        <v>877</v>
      </c>
      <c r="AL49" s="94">
        <v>20</v>
      </c>
      <c r="AM49" s="225"/>
      <c r="AN49" s="254">
        <v>26</v>
      </c>
      <c r="AO49" s="158"/>
      <c r="AP49" s="158"/>
      <c r="AQ49" s="158"/>
      <c r="AR49" s="158"/>
      <c r="AS49" s="493">
        <v>0</v>
      </c>
      <c r="AT49" s="485" t="s">
        <v>38</v>
      </c>
      <c r="AU49" s="384"/>
      <c r="AV49" s="158"/>
      <c r="AW49" s="158"/>
      <c r="AX49" s="158"/>
      <c r="AY49" s="158"/>
      <c r="AZ49" s="158"/>
      <c r="BA49" s="158"/>
      <c r="BB49" s="69"/>
      <c r="BC49" s="69"/>
      <c r="BD49" s="271"/>
      <c r="BE49" s="271">
        <v>2019</v>
      </c>
      <c r="BF49" s="271">
        <v>2020</v>
      </c>
    </row>
    <row r="50" spans="1:16383" s="468" customFormat="1" ht="18" customHeight="1">
      <c r="A50" s="160" t="s">
        <v>500</v>
      </c>
      <c r="B50" s="251" t="s">
        <v>4</v>
      </c>
      <c r="C50" s="506" t="s">
        <v>1829</v>
      </c>
      <c r="D50" s="507" t="s">
        <v>16</v>
      </c>
      <c r="E50" s="507"/>
      <c r="F50" s="507"/>
      <c r="G50" s="507"/>
      <c r="H50" s="43" t="s">
        <v>1763</v>
      </c>
      <c r="I50" s="30">
        <v>1848</v>
      </c>
      <c r="J50" s="212">
        <v>43763</v>
      </c>
      <c r="K50" s="212"/>
      <c r="L50" s="94"/>
      <c r="M50" s="158">
        <v>50</v>
      </c>
      <c r="N50" s="158">
        <v>50</v>
      </c>
      <c r="O50" s="158"/>
      <c r="P50" s="254">
        <v>3645233548</v>
      </c>
      <c r="Q50" s="94"/>
      <c r="R50" s="94"/>
      <c r="S50" s="94"/>
      <c r="T50" s="94">
        <v>2004707288</v>
      </c>
      <c r="U50" s="94">
        <v>20</v>
      </c>
      <c r="V50" s="311">
        <v>43739</v>
      </c>
      <c r="W50" s="311"/>
      <c r="X50" s="311"/>
      <c r="Y50" s="623">
        <v>1640526260</v>
      </c>
      <c r="Z50" s="72">
        <v>20</v>
      </c>
      <c r="AA50" s="484">
        <v>43900</v>
      </c>
      <c r="AB50" s="616"/>
      <c r="AC50" s="283"/>
      <c r="AD50" s="283"/>
      <c r="AE50" s="158">
        <f t="shared" si="7"/>
        <v>0</v>
      </c>
      <c r="AF50" s="158"/>
      <c r="AG50" s="94">
        <v>0</v>
      </c>
      <c r="AH50" s="94"/>
      <c r="AI50" s="94"/>
      <c r="AJ50" s="158">
        <f t="shared" si="6"/>
        <v>0</v>
      </c>
      <c r="AK50" s="94">
        <v>877</v>
      </c>
      <c r="AL50" s="94">
        <v>20</v>
      </c>
      <c r="AM50" s="225"/>
      <c r="AN50" s="254">
        <v>50</v>
      </c>
      <c r="AO50" s="158"/>
      <c r="AP50" s="158"/>
      <c r="AQ50" s="158"/>
      <c r="AR50" s="158"/>
      <c r="AS50" s="493">
        <v>5.9999999999999995E-4</v>
      </c>
      <c r="AT50" s="485" t="s">
        <v>38</v>
      </c>
      <c r="AU50" s="384"/>
      <c r="AV50" s="158"/>
      <c r="AW50" s="158"/>
      <c r="AX50" s="158"/>
      <c r="AY50" s="158"/>
      <c r="AZ50" s="158"/>
      <c r="BA50" s="158"/>
      <c r="BB50" s="69"/>
      <c r="BC50" s="69"/>
      <c r="BD50" s="271"/>
      <c r="BE50" s="271">
        <v>2019</v>
      </c>
      <c r="BF50" s="271">
        <v>2020</v>
      </c>
    </row>
    <row r="51" spans="1:16383" s="468" customFormat="1" ht="18" customHeight="1">
      <c r="A51" s="160" t="s">
        <v>500</v>
      </c>
      <c r="B51" s="251" t="s">
        <v>719</v>
      </c>
      <c r="C51" s="508" t="s">
        <v>1840</v>
      </c>
      <c r="D51" s="507" t="s">
        <v>1827</v>
      </c>
      <c r="E51" s="507"/>
      <c r="F51" s="507"/>
      <c r="G51" s="507"/>
      <c r="H51" s="43" t="s">
        <v>1763</v>
      </c>
      <c r="I51" s="30">
        <v>1847</v>
      </c>
      <c r="J51" s="212">
        <v>43763</v>
      </c>
      <c r="K51" s="212"/>
      <c r="L51" s="94"/>
      <c r="M51" s="158">
        <v>40</v>
      </c>
      <c r="N51" s="602">
        <v>40</v>
      </c>
      <c r="O51" s="158"/>
      <c r="P51" s="254">
        <v>2822654503</v>
      </c>
      <c r="Q51" s="94"/>
      <c r="R51" s="94"/>
      <c r="S51" s="94"/>
      <c r="T51" s="94">
        <v>1540269267</v>
      </c>
      <c r="U51" s="158">
        <v>20</v>
      </c>
      <c r="V51" s="311">
        <v>43800</v>
      </c>
      <c r="W51" s="311"/>
      <c r="X51" s="311"/>
      <c r="Y51" s="623">
        <v>1282385236</v>
      </c>
      <c r="Z51" s="72">
        <v>20</v>
      </c>
      <c r="AA51" s="484">
        <v>43980</v>
      </c>
      <c r="AB51" s="616"/>
      <c r="AC51" s="283"/>
      <c r="AD51" s="283"/>
      <c r="AE51" s="158">
        <f>P51-T51-Y51-AG51</f>
        <v>-1282385236</v>
      </c>
      <c r="AF51" s="158"/>
      <c r="AG51" s="158">
        <v>1282385236</v>
      </c>
      <c r="AH51" s="158"/>
      <c r="AI51" s="158"/>
      <c r="AJ51" s="158">
        <f t="shared" si="6"/>
        <v>0</v>
      </c>
      <c r="AK51" s="233">
        <v>877</v>
      </c>
      <c r="AL51" s="92">
        <v>20</v>
      </c>
      <c r="AM51" s="469"/>
      <c r="AN51" s="517">
        <v>40</v>
      </c>
      <c r="AO51" s="158"/>
      <c r="AP51" s="158"/>
      <c r="AQ51" s="158"/>
      <c r="AR51" s="158"/>
      <c r="AS51" s="493">
        <v>0.54190000000000005</v>
      </c>
      <c r="AT51" s="485" t="s">
        <v>38</v>
      </c>
      <c r="AU51" s="384"/>
      <c r="AV51" s="158"/>
      <c r="AW51" s="158"/>
      <c r="AX51" s="158"/>
      <c r="AY51" s="158"/>
      <c r="AZ51" s="158"/>
      <c r="BA51" s="158"/>
      <c r="BB51" s="69"/>
      <c r="BC51" s="69"/>
      <c r="BD51" s="271"/>
      <c r="BE51" s="271">
        <v>2019</v>
      </c>
      <c r="BF51" s="271">
        <v>2020</v>
      </c>
    </row>
    <row r="52" spans="1:16383" s="468" customFormat="1" ht="18" customHeight="1">
      <c r="A52" s="160" t="s">
        <v>500</v>
      </c>
      <c r="B52" s="542" t="s">
        <v>2247</v>
      </c>
      <c r="C52" s="526" t="s">
        <v>2248</v>
      </c>
      <c r="D52" s="543" t="s">
        <v>2249</v>
      </c>
      <c r="E52" s="543"/>
      <c r="F52" s="538">
        <v>4</v>
      </c>
      <c r="G52" s="538"/>
      <c r="H52" s="547" t="s">
        <v>2236</v>
      </c>
      <c r="I52" s="78">
        <v>298</v>
      </c>
      <c r="J52" s="459" t="s">
        <v>2250</v>
      </c>
      <c r="K52" s="459"/>
      <c r="L52" s="225"/>
      <c r="M52" s="61"/>
      <c r="N52" s="605">
        <v>60</v>
      </c>
      <c r="O52" s="61"/>
      <c r="P52" s="608">
        <f>(2395831899+1978881865)</f>
        <v>4374713764</v>
      </c>
      <c r="Q52" s="225"/>
      <c r="R52" s="225"/>
      <c r="S52" s="225"/>
      <c r="T52" s="586">
        <v>2395831899</v>
      </c>
      <c r="U52" s="524">
        <v>20</v>
      </c>
      <c r="V52" s="527">
        <v>43921</v>
      </c>
      <c r="W52" s="527"/>
      <c r="X52" s="527"/>
      <c r="Y52" s="61"/>
      <c r="Z52" s="461">
        <v>20</v>
      </c>
      <c r="AA52" s="311"/>
      <c r="AB52" s="311"/>
      <c r="AC52" s="94"/>
      <c r="AD52" s="94"/>
      <c r="AE52" s="158">
        <f>P52-T52-Y52-AG52</f>
        <v>1978881865</v>
      </c>
      <c r="AF52" s="61"/>
      <c r="AG52" s="61"/>
      <c r="AH52" s="61">
        <v>4374713764</v>
      </c>
      <c r="AI52" s="61"/>
      <c r="AJ52" s="61">
        <f>(AH52-Q52-T52-Y52)</f>
        <v>1978881865</v>
      </c>
      <c r="AK52" s="544">
        <v>877</v>
      </c>
      <c r="AL52" s="328">
        <v>20</v>
      </c>
      <c r="AM52" s="469"/>
      <c r="AN52" s="61">
        <v>60</v>
      </c>
      <c r="AO52" s="61"/>
      <c r="AP52" s="61"/>
      <c r="AQ52" s="61"/>
      <c r="AR52" s="61"/>
      <c r="AS52" s="493">
        <v>0</v>
      </c>
      <c r="AT52" s="485" t="s">
        <v>38</v>
      </c>
      <c r="AU52" s="546"/>
      <c r="AV52" s="61"/>
      <c r="AW52" s="61"/>
      <c r="AX52" s="61"/>
      <c r="AY52" s="61"/>
      <c r="AZ52" s="61"/>
      <c r="BA52" s="61"/>
      <c r="BB52" s="461"/>
      <c r="BC52" s="158"/>
      <c r="BD52" s="464"/>
      <c r="BE52" s="464"/>
      <c r="BF52" s="464">
        <v>2020</v>
      </c>
    </row>
    <row r="53" spans="1:16383" ht="15" customHeight="1">
      <c r="A53" s="371" t="s">
        <v>501</v>
      </c>
      <c r="B53" s="371"/>
      <c r="C53" s="371"/>
      <c r="D53" s="371"/>
      <c r="E53" s="371"/>
      <c r="F53" s="371"/>
      <c r="G53" s="371"/>
      <c r="H53" s="371"/>
      <c r="I53" s="370"/>
      <c r="J53" s="370"/>
      <c r="K53" s="370">
        <f t="shared" ref="K53:M53" si="8">SUM(K54:K101)</f>
        <v>597</v>
      </c>
      <c r="L53" s="370">
        <f t="shared" si="8"/>
        <v>680</v>
      </c>
      <c r="M53" s="370">
        <f t="shared" si="8"/>
        <v>318</v>
      </c>
      <c r="N53" s="424">
        <f>SUM(N54:N105)</f>
        <v>579</v>
      </c>
      <c r="O53" s="424">
        <f>SUM(O54:O105)</f>
        <v>6</v>
      </c>
      <c r="P53" s="370"/>
      <c r="Q53" s="370"/>
      <c r="R53" s="370"/>
      <c r="S53" s="370"/>
      <c r="T53" s="370"/>
      <c r="U53" s="371"/>
      <c r="V53" s="371"/>
      <c r="W53" s="371"/>
      <c r="X53" s="371"/>
      <c r="Y53" s="371"/>
      <c r="Z53" s="371"/>
      <c r="AA53" s="371"/>
      <c r="AB53" s="371"/>
      <c r="AC53" s="370"/>
      <c r="AD53" s="370"/>
      <c r="AE53" s="370"/>
      <c r="AF53" s="370"/>
      <c r="AG53" s="370"/>
      <c r="AH53" s="370"/>
      <c r="AI53" s="370"/>
      <c r="AJ53" s="370"/>
      <c r="AK53" s="370"/>
      <c r="AL53" s="370"/>
      <c r="AM53" s="370">
        <f t="shared" ref="AM53:AR53" si="9">SUM(AM54:AM101)</f>
        <v>103</v>
      </c>
      <c r="AN53" s="424">
        <f>SUM(AN54:AN105)</f>
        <v>482</v>
      </c>
      <c r="AO53" s="370">
        <f t="shared" si="9"/>
        <v>0</v>
      </c>
      <c r="AP53" s="370">
        <f t="shared" si="9"/>
        <v>0</v>
      </c>
      <c r="AQ53" s="370">
        <f t="shared" si="9"/>
        <v>0</v>
      </c>
      <c r="AR53" s="370">
        <f t="shared" si="9"/>
        <v>0</v>
      </c>
      <c r="AS53" s="371"/>
      <c r="AT53" s="371"/>
      <c r="AU53" s="385"/>
      <c r="AV53" s="370">
        <f t="shared" ref="AV53:BC53" si="10">SUM(AV54:AV101)</f>
        <v>197</v>
      </c>
      <c r="AW53" s="370">
        <f t="shared" si="10"/>
        <v>277</v>
      </c>
      <c r="AX53" s="370">
        <f t="shared" si="10"/>
        <v>436</v>
      </c>
      <c r="AY53" s="370">
        <f t="shared" si="10"/>
        <v>632</v>
      </c>
      <c r="AZ53" s="370"/>
      <c r="BA53" s="370">
        <f t="shared" si="10"/>
        <v>94</v>
      </c>
      <c r="BB53" s="370">
        <f t="shared" si="10"/>
        <v>974</v>
      </c>
      <c r="BC53" s="370">
        <f t="shared" si="10"/>
        <v>0</v>
      </c>
      <c r="BD53" s="370"/>
      <c r="BE53" s="370">
        <v>2019</v>
      </c>
      <c r="BF53" s="371">
        <v>2020</v>
      </c>
      <c r="XEO53" s="371"/>
      <c r="XEP53" s="371"/>
      <c r="XEQ53" s="371"/>
      <c r="XER53" s="371"/>
      <c r="XES53" s="371"/>
      <c r="XET53" s="370"/>
      <c r="XEU53" s="370"/>
      <c r="XEV53" s="370"/>
      <c r="XEW53" s="370"/>
      <c r="XEX53" s="370"/>
      <c r="XEY53" s="370"/>
      <c r="XEZ53" s="370"/>
      <c r="XFA53" s="370"/>
      <c r="XFB53" s="370"/>
      <c r="XFC53" s="370"/>
    </row>
    <row r="54" spans="1:16383" s="204" customFormat="1" ht="15" hidden="1" customHeight="1">
      <c r="A54" s="160" t="s">
        <v>501</v>
      </c>
      <c r="B54" s="58" t="s">
        <v>28</v>
      </c>
      <c r="C54" s="58" t="s">
        <v>26</v>
      </c>
      <c r="D54" s="58" t="s">
        <v>913</v>
      </c>
      <c r="E54" s="58"/>
      <c r="F54" s="58"/>
      <c r="G54" s="58"/>
      <c r="H54" s="58"/>
      <c r="I54" s="58"/>
      <c r="J54" s="212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94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8"/>
      <c r="AR54" s="158"/>
      <c r="AS54" s="2"/>
      <c r="AT54" s="58"/>
      <c r="AU54" s="185"/>
      <c r="AV54" s="158">
        <v>23</v>
      </c>
      <c r="AW54" s="158"/>
      <c r="AX54" s="158"/>
      <c r="AY54" s="158"/>
      <c r="AZ54" s="158"/>
      <c r="BA54" s="158"/>
      <c r="BB54" s="69"/>
      <c r="BC54" s="69"/>
      <c r="BD54" s="271">
        <v>2016</v>
      </c>
      <c r="BE54" s="271"/>
      <c r="BF54" s="271"/>
    </row>
    <row r="55" spans="1:16383" s="204" customFormat="1" ht="15" hidden="1" customHeight="1">
      <c r="A55" s="160" t="s">
        <v>501</v>
      </c>
      <c r="B55" s="58" t="s">
        <v>31</v>
      </c>
      <c r="C55" s="122" t="s">
        <v>29</v>
      </c>
      <c r="D55" s="58" t="s">
        <v>30</v>
      </c>
      <c r="E55" s="58"/>
      <c r="F55" s="58"/>
      <c r="G55" s="58"/>
      <c r="H55" s="58"/>
      <c r="I55" s="58"/>
      <c r="J55" s="212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94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  <c r="AO55" s="158"/>
      <c r="AP55" s="158"/>
      <c r="AQ55" s="158"/>
      <c r="AR55" s="158"/>
      <c r="AS55" s="2"/>
      <c r="AT55" s="58"/>
      <c r="AU55" s="104"/>
      <c r="AV55" s="158">
        <v>47</v>
      </c>
      <c r="AW55" s="158"/>
      <c r="AX55" s="158"/>
      <c r="AY55" s="158"/>
      <c r="AZ55" s="158"/>
      <c r="BA55" s="158"/>
      <c r="BB55" s="69"/>
      <c r="BC55" s="69"/>
      <c r="BD55" s="271">
        <v>2016</v>
      </c>
      <c r="BE55" s="271"/>
      <c r="BF55" s="271"/>
    </row>
    <row r="56" spans="1:16383" s="204" customFormat="1" ht="15" hidden="1" customHeight="1">
      <c r="A56" s="160" t="s">
        <v>501</v>
      </c>
      <c r="B56" s="1" t="s">
        <v>32</v>
      </c>
      <c r="C56" s="123" t="s">
        <v>722</v>
      </c>
      <c r="D56" s="141" t="s">
        <v>170</v>
      </c>
      <c r="E56" s="141"/>
      <c r="F56" s="141"/>
      <c r="G56" s="141"/>
      <c r="H56" s="30" t="s">
        <v>648</v>
      </c>
      <c r="I56" s="30"/>
      <c r="J56" s="212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94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8"/>
      <c r="AR56" s="158"/>
      <c r="AS56" s="2">
        <v>1</v>
      </c>
      <c r="AT56" s="58" t="s">
        <v>646</v>
      </c>
      <c r="AU56" s="104"/>
      <c r="AV56" s="158" t="s">
        <v>0</v>
      </c>
      <c r="AW56" s="158"/>
      <c r="AX56" s="12">
        <v>105</v>
      </c>
      <c r="AY56" s="158"/>
      <c r="AZ56" s="158"/>
      <c r="BA56" s="158"/>
      <c r="BB56" s="69">
        <f>+AX56</f>
        <v>105</v>
      </c>
      <c r="BC56" s="69"/>
      <c r="BD56" s="271">
        <v>2018</v>
      </c>
      <c r="BE56" s="268"/>
      <c r="BF56" s="271"/>
    </row>
    <row r="57" spans="1:16383" s="204" customFormat="1" ht="18" customHeight="1">
      <c r="A57" s="160" t="s">
        <v>501</v>
      </c>
      <c r="B57" s="58" t="s">
        <v>32</v>
      </c>
      <c r="C57" s="124" t="s">
        <v>722</v>
      </c>
      <c r="D57" s="126" t="s">
        <v>170</v>
      </c>
      <c r="E57" s="126"/>
      <c r="F57" s="126"/>
      <c r="G57" s="126"/>
      <c r="H57" s="43" t="s">
        <v>648</v>
      </c>
      <c r="I57" s="158">
        <v>434</v>
      </c>
      <c r="J57" s="212">
        <v>42088</v>
      </c>
      <c r="K57" s="224"/>
      <c r="L57" s="158"/>
      <c r="M57" s="158">
        <v>2</v>
      </c>
      <c r="N57" s="158"/>
      <c r="O57" s="158">
        <v>2</v>
      </c>
      <c r="P57" s="158">
        <v>137848983</v>
      </c>
      <c r="Q57" s="158"/>
      <c r="R57" s="158"/>
      <c r="S57" s="14"/>
      <c r="T57" s="58"/>
      <c r="U57" s="469"/>
      <c r="V57" s="469"/>
      <c r="W57" s="469"/>
      <c r="X57" s="469"/>
      <c r="Y57" s="469"/>
      <c r="Z57" s="469"/>
      <c r="AA57" s="469"/>
      <c r="AB57" s="469"/>
      <c r="AC57" s="469"/>
      <c r="AD57" s="468"/>
      <c r="AE57" s="94">
        <f>P57-T57-Y57-137848983</f>
        <v>0</v>
      </c>
      <c r="AF57" s="94"/>
      <c r="AG57" s="94">
        <v>137848983</v>
      </c>
      <c r="AH57" s="94"/>
      <c r="AI57" s="94"/>
      <c r="AJ57" s="94">
        <f>AE57+AG57</f>
        <v>137848983</v>
      </c>
      <c r="AK57" s="94">
        <v>877</v>
      </c>
      <c r="AL57" s="94">
        <v>10</v>
      </c>
      <c r="AM57" s="158">
        <v>2</v>
      </c>
      <c r="AN57" s="158"/>
      <c r="AO57" s="158"/>
      <c r="AP57" s="158"/>
      <c r="AQ57" s="158"/>
      <c r="AR57" s="158"/>
      <c r="AS57" s="2">
        <v>0</v>
      </c>
      <c r="AT57" s="58" t="s">
        <v>521</v>
      </c>
      <c r="AU57" s="104" t="s">
        <v>1349</v>
      </c>
      <c r="AV57" s="468"/>
      <c r="AW57" s="468"/>
      <c r="AX57" s="468"/>
      <c r="AY57" s="468"/>
      <c r="AZ57" s="468"/>
      <c r="BA57" s="468"/>
      <c r="BB57" s="468"/>
      <c r="BC57" s="468"/>
      <c r="BD57" s="468"/>
      <c r="BE57" s="271">
        <v>2019</v>
      </c>
      <c r="BF57" s="271">
        <v>2020</v>
      </c>
      <c r="BG57" s="468"/>
      <c r="BH57" s="468"/>
      <c r="BI57" s="468"/>
      <c r="BJ57" s="468"/>
      <c r="BK57" s="468"/>
      <c r="BL57" s="468"/>
      <c r="BM57" s="468"/>
      <c r="BN57" s="468"/>
      <c r="BO57" s="468"/>
      <c r="BP57" s="468"/>
      <c r="BQ57" s="468"/>
      <c r="BR57" s="468"/>
      <c r="BS57" s="468"/>
      <c r="BT57" s="468"/>
      <c r="BU57" s="468"/>
      <c r="BV57" s="468"/>
      <c r="BW57" s="468"/>
      <c r="BX57" s="468"/>
      <c r="BY57" s="468"/>
      <c r="BZ57" s="468"/>
      <c r="CA57" s="468"/>
      <c r="CB57" s="468"/>
      <c r="CC57" s="468"/>
      <c r="CD57" s="468"/>
      <c r="CE57" s="468"/>
      <c r="CF57" s="468"/>
      <c r="CG57" s="468"/>
      <c r="CH57" s="468"/>
      <c r="CI57" s="468"/>
      <c r="CJ57" s="468"/>
      <c r="CK57" s="468"/>
      <c r="CL57" s="468"/>
      <c r="CM57" s="468"/>
      <c r="CN57" s="468"/>
      <c r="CO57" s="468"/>
      <c r="CP57" s="468"/>
      <c r="CQ57" s="468"/>
      <c r="CR57" s="468"/>
      <c r="CS57" s="468"/>
      <c r="CT57" s="468"/>
      <c r="CU57" s="468"/>
      <c r="CV57" s="468"/>
      <c r="CW57" s="468"/>
      <c r="CX57" s="468"/>
      <c r="CY57" s="468"/>
      <c r="CZ57" s="468"/>
      <c r="DA57" s="468"/>
      <c r="DB57" s="468"/>
      <c r="DC57" s="468"/>
      <c r="DD57" s="468"/>
      <c r="DE57" s="468"/>
      <c r="DF57" s="468"/>
      <c r="DG57" s="468"/>
      <c r="DH57" s="468"/>
      <c r="DI57" s="468"/>
      <c r="DJ57" s="468"/>
      <c r="DK57" s="468"/>
      <c r="DL57" s="468"/>
      <c r="DM57" s="468"/>
      <c r="DN57" s="468"/>
      <c r="DO57" s="468"/>
      <c r="DP57" s="468"/>
      <c r="DQ57" s="468"/>
      <c r="DR57" s="468"/>
      <c r="DS57" s="468"/>
      <c r="DT57" s="468"/>
      <c r="DU57" s="468"/>
      <c r="DV57" s="468"/>
      <c r="DW57" s="468"/>
      <c r="DX57" s="468"/>
      <c r="DY57" s="468"/>
      <c r="DZ57" s="468"/>
      <c r="EA57" s="468"/>
      <c r="EB57" s="468"/>
      <c r="EC57" s="468"/>
      <c r="ED57" s="468"/>
      <c r="EE57" s="468"/>
      <c r="EF57" s="468"/>
      <c r="EG57" s="468"/>
      <c r="EH57" s="468"/>
      <c r="EI57" s="468"/>
      <c r="EJ57" s="468"/>
      <c r="EK57" s="468"/>
      <c r="EL57" s="468"/>
      <c r="EM57" s="468"/>
      <c r="EN57" s="468"/>
      <c r="EO57" s="468"/>
      <c r="EP57" s="468"/>
      <c r="EQ57" s="468"/>
      <c r="ER57" s="468"/>
      <c r="ES57" s="468"/>
      <c r="ET57" s="468"/>
      <c r="EU57" s="468"/>
      <c r="EV57" s="468"/>
      <c r="EW57" s="468"/>
      <c r="EX57" s="468"/>
      <c r="EY57" s="468"/>
      <c r="EZ57" s="468"/>
      <c r="FA57" s="468"/>
      <c r="FB57" s="468"/>
      <c r="FC57" s="468"/>
      <c r="FD57" s="468"/>
      <c r="FE57" s="468"/>
      <c r="FF57" s="468"/>
      <c r="FG57" s="468"/>
      <c r="FH57" s="468"/>
      <c r="FI57" s="468"/>
      <c r="FJ57" s="468"/>
      <c r="FK57" s="468"/>
      <c r="FL57" s="468"/>
      <c r="FM57" s="468"/>
      <c r="FN57" s="468"/>
      <c r="FO57" s="468"/>
      <c r="FP57" s="468"/>
      <c r="FQ57" s="468"/>
      <c r="FR57" s="468"/>
      <c r="FS57" s="468"/>
      <c r="FT57" s="468"/>
      <c r="FU57" s="468"/>
      <c r="FV57" s="468"/>
      <c r="FW57" s="468"/>
      <c r="FX57" s="468"/>
      <c r="FY57" s="468"/>
      <c r="FZ57" s="468"/>
      <c r="GA57" s="468"/>
      <c r="GB57" s="468"/>
      <c r="GC57" s="468"/>
      <c r="GD57" s="468"/>
      <c r="GE57" s="468"/>
      <c r="GF57" s="468"/>
      <c r="GG57" s="468"/>
      <c r="GH57" s="468"/>
      <c r="GI57" s="468"/>
      <c r="GJ57" s="468"/>
      <c r="GK57" s="468"/>
      <c r="GL57" s="468"/>
      <c r="GM57" s="468"/>
      <c r="GN57" s="468"/>
      <c r="GO57" s="468"/>
      <c r="GP57" s="468"/>
      <c r="GQ57" s="468"/>
      <c r="GR57" s="468"/>
      <c r="GS57" s="468"/>
      <c r="GT57" s="468"/>
      <c r="GU57" s="468"/>
      <c r="GV57" s="468"/>
      <c r="GW57" s="468"/>
      <c r="GX57" s="468"/>
      <c r="GY57" s="468"/>
      <c r="GZ57" s="468"/>
      <c r="HA57" s="468"/>
      <c r="HB57" s="468"/>
      <c r="HC57" s="468"/>
      <c r="HD57" s="468"/>
      <c r="HE57" s="468"/>
      <c r="HF57" s="468"/>
      <c r="HG57" s="468"/>
      <c r="HH57" s="468"/>
      <c r="HI57" s="468"/>
      <c r="HJ57" s="468"/>
      <c r="HK57" s="468"/>
      <c r="HL57" s="468"/>
      <c r="HM57" s="468"/>
      <c r="HN57" s="468"/>
      <c r="HO57" s="468"/>
      <c r="HP57" s="468"/>
      <c r="HQ57" s="468"/>
      <c r="HR57" s="468"/>
      <c r="HS57" s="468"/>
      <c r="HT57" s="468"/>
      <c r="HU57" s="468"/>
      <c r="HV57" s="468"/>
      <c r="HW57" s="468"/>
      <c r="HX57" s="468"/>
      <c r="HY57" s="468"/>
      <c r="HZ57" s="468"/>
      <c r="IA57" s="468"/>
      <c r="IB57" s="468"/>
      <c r="IC57" s="468"/>
      <c r="ID57" s="468"/>
      <c r="IE57" s="468"/>
      <c r="IF57" s="468"/>
      <c r="IG57" s="468"/>
      <c r="IH57" s="468"/>
      <c r="II57" s="468"/>
      <c r="IJ57" s="468"/>
      <c r="IK57" s="468"/>
      <c r="IL57" s="468"/>
      <c r="IM57" s="468"/>
      <c r="IN57" s="468"/>
      <c r="IO57" s="468"/>
      <c r="IP57" s="468"/>
      <c r="IQ57" s="468"/>
      <c r="IR57" s="468"/>
      <c r="IS57" s="468"/>
      <c r="IT57" s="468"/>
      <c r="IU57" s="468"/>
      <c r="IV57" s="468"/>
      <c r="IW57" s="468"/>
      <c r="IX57" s="468"/>
      <c r="IY57" s="468"/>
      <c r="IZ57" s="468"/>
      <c r="JA57" s="468"/>
      <c r="JB57" s="468"/>
      <c r="JC57" s="468"/>
      <c r="JD57" s="468"/>
      <c r="JE57" s="468"/>
      <c r="JF57" s="468"/>
      <c r="JG57" s="468"/>
      <c r="JH57" s="468"/>
      <c r="JI57" s="468"/>
      <c r="JJ57" s="468"/>
      <c r="JK57" s="468"/>
      <c r="JL57" s="468"/>
      <c r="JM57" s="468"/>
      <c r="JN57" s="468"/>
      <c r="JO57" s="468"/>
      <c r="JP57" s="468"/>
      <c r="JQ57" s="468"/>
      <c r="JR57" s="468"/>
      <c r="JS57" s="468"/>
      <c r="JT57" s="468"/>
      <c r="JU57" s="468"/>
      <c r="JV57" s="468"/>
      <c r="JW57" s="468"/>
      <c r="JX57" s="468"/>
      <c r="JY57" s="468"/>
      <c r="JZ57" s="468"/>
      <c r="KA57" s="468"/>
      <c r="KB57" s="468"/>
      <c r="KC57" s="468"/>
      <c r="KD57" s="468"/>
      <c r="KE57" s="468"/>
      <c r="KF57" s="468"/>
      <c r="KG57" s="468"/>
      <c r="KH57" s="468"/>
      <c r="KI57" s="468"/>
      <c r="KJ57" s="468"/>
      <c r="KK57" s="468"/>
      <c r="KL57" s="468"/>
      <c r="KM57" s="468"/>
      <c r="KN57" s="468"/>
      <c r="KO57" s="468"/>
      <c r="KP57" s="468"/>
      <c r="KQ57" s="468"/>
      <c r="KR57" s="468"/>
      <c r="KS57" s="468"/>
      <c r="KT57" s="468"/>
      <c r="KU57" s="468"/>
      <c r="KV57" s="468"/>
      <c r="KW57" s="468"/>
      <c r="KX57" s="468"/>
      <c r="KY57" s="468"/>
      <c r="KZ57" s="468"/>
      <c r="LA57" s="468"/>
      <c r="LB57" s="468"/>
      <c r="LC57" s="468"/>
      <c r="LD57" s="468"/>
      <c r="LE57" s="468"/>
      <c r="LF57" s="468"/>
      <c r="LG57" s="468"/>
      <c r="LH57" s="468"/>
      <c r="LI57" s="468"/>
      <c r="LJ57" s="468"/>
      <c r="LK57" s="468"/>
      <c r="LL57" s="468"/>
      <c r="LM57" s="468"/>
      <c r="LN57" s="468"/>
      <c r="LO57" s="468"/>
      <c r="LP57" s="468"/>
      <c r="LQ57" s="468"/>
      <c r="LR57" s="468"/>
      <c r="LS57" s="468"/>
      <c r="LT57" s="468"/>
      <c r="LU57" s="468"/>
      <c r="LV57" s="468"/>
      <c r="LW57" s="468"/>
      <c r="LX57" s="468"/>
      <c r="LY57" s="468"/>
      <c r="LZ57" s="468"/>
      <c r="MA57" s="468"/>
      <c r="MB57" s="468"/>
      <c r="MC57" s="468"/>
      <c r="MD57" s="468"/>
      <c r="ME57" s="468"/>
      <c r="MF57" s="468"/>
      <c r="MG57" s="468"/>
      <c r="MH57" s="468"/>
      <c r="MI57" s="468"/>
      <c r="MJ57" s="468"/>
      <c r="MK57" s="468"/>
      <c r="ML57" s="468"/>
      <c r="MM57" s="468"/>
      <c r="MN57" s="468"/>
      <c r="MO57" s="468"/>
      <c r="MP57" s="468"/>
      <c r="MQ57" s="468"/>
      <c r="MR57" s="468"/>
      <c r="MS57" s="468"/>
      <c r="MT57" s="468"/>
      <c r="MU57" s="468"/>
      <c r="MV57" s="468"/>
      <c r="MW57" s="468"/>
      <c r="MX57" s="468"/>
      <c r="MY57" s="468"/>
      <c r="MZ57" s="468"/>
      <c r="NA57" s="468"/>
      <c r="NB57" s="468"/>
      <c r="NC57" s="468"/>
      <c r="ND57" s="468"/>
      <c r="NE57" s="468"/>
      <c r="NF57" s="468"/>
      <c r="NG57" s="468"/>
      <c r="NH57" s="468"/>
      <c r="NI57" s="468"/>
      <c r="NJ57" s="468"/>
      <c r="NK57" s="468"/>
      <c r="NL57" s="468"/>
      <c r="NM57" s="468"/>
      <c r="NN57" s="468"/>
      <c r="NO57" s="468"/>
      <c r="NP57" s="468"/>
      <c r="NQ57" s="468"/>
      <c r="NR57" s="468"/>
      <c r="NS57" s="468"/>
      <c r="NT57" s="468"/>
      <c r="NU57" s="468"/>
      <c r="NV57" s="468"/>
      <c r="NW57" s="468"/>
      <c r="NX57" s="468"/>
      <c r="NY57" s="468"/>
      <c r="NZ57" s="468"/>
      <c r="OA57" s="468"/>
      <c r="OB57" s="468"/>
      <c r="OC57" s="468"/>
      <c r="OD57" s="468"/>
      <c r="OE57" s="468"/>
      <c r="OF57" s="468"/>
      <c r="OG57" s="468"/>
      <c r="OH57" s="468"/>
      <c r="OI57" s="468"/>
      <c r="OJ57" s="468"/>
      <c r="OK57" s="468"/>
      <c r="OL57" s="468"/>
      <c r="OM57" s="468"/>
      <c r="ON57" s="468"/>
      <c r="OO57" s="468"/>
      <c r="OP57" s="468"/>
      <c r="OQ57" s="468"/>
      <c r="OR57" s="468"/>
      <c r="OS57" s="468"/>
      <c r="OT57" s="468"/>
      <c r="OU57" s="468"/>
      <c r="OV57" s="468"/>
      <c r="OW57" s="468"/>
      <c r="OX57" s="468"/>
      <c r="OY57" s="468"/>
      <c r="OZ57" s="468"/>
      <c r="PA57" s="468"/>
      <c r="PB57" s="468"/>
      <c r="PC57" s="468"/>
      <c r="PD57" s="468"/>
      <c r="PE57" s="468"/>
      <c r="PF57" s="468"/>
      <c r="PG57" s="468"/>
      <c r="PH57" s="468"/>
      <c r="PI57" s="468"/>
      <c r="PJ57" s="468"/>
      <c r="PK57" s="468"/>
      <c r="PL57" s="468"/>
      <c r="PM57" s="468"/>
      <c r="PN57" s="468"/>
      <c r="PO57" s="468"/>
      <c r="PP57" s="468"/>
      <c r="PQ57" s="468"/>
      <c r="PR57" s="468"/>
      <c r="PS57" s="468"/>
      <c r="PT57" s="468"/>
      <c r="PU57" s="468"/>
      <c r="PV57" s="468"/>
      <c r="PW57" s="468"/>
      <c r="PX57" s="468"/>
      <c r="PY57" s="468"/>
      <c r="PZ57" s="468"/>
      <c r="QA57" s="468"/>
      <c r="QB57" s="468"/>
      <c r="QC57" s="468"/>
      <c r="QD57" s="468"/>
      <c r="QE57" s="468"/>
      <c r="QF57" s="468"/>
      <c r="QG57" s="468"/>
      <c r="QH57" s="468"/>
      <c r="QI57" s="468"/>
      <c r="QJ57" s="468"/>
      <c r="QK57" s="468"/>
      <c r="QL57" s="468"/>
      <c r="QM57" s="468"/>
      <c r="QN57" s="468"/>
      <c r="QO57" s="468"/>
      <c r="QP57" s="468"/>
      <c r="QQ57" s="468"/>
      <c r="QR57" s="468"/>
      <c r="QS57" s="468"/>
      <c r="QT57" s="468"/>
      <c r="QU57" s="468"/>
      <c r="QV57" s="468"/>
      <c r="QW57" s="468"/>
      <c r="QX57" s="468"/>
      <c r="QY57" s="468"/>
      <c r="QZ57" s="468"/>
      <c r="RA57" s="468"/>
      <c r="RB57" s="468"/>
      <c r="RC57" s="468"/>
      <c r="RD57" s="468"/>
      <c r="RE57" s="468"/>
      <c r="RF57" s="468"/>
      <c r="RG57" s="468"/>
      <c r="RH57" s="468"/>
      <c r="RI57" s="468"/>
      <c r="RJ57" s="468"/>
      <c r="RK57" s="468"/>
      <c r="RL57" s="468"/>
      <c r="RM57" s="468"/>
      <c r="RN57" s="468"/>
      <c r="RO57" s="468"/>
      <c r="RP57" s="468"/>
      <c r="RQ57" s="468"/>
      <c r="RR57" s="468"/>
      <c r="RS57" s="468"/>
      <c r="RT57" s="468"/>
      <c r="RU57" s="468"/>
      <c r="RV57" s="468"/>
      <c r="RW57" s="468"/>
      <c r="RX57" s="468"/>
      <c r="RY57" s="468"/>
      <c r="RZ57" s="468"/>
      <c r="SA57" s="468"/>
      <c r="SB57" s="468"/>
      <c r="SC57" s="468"/>
      <c r="SD57" s="468"/>
      <c r="SE57" s="468"/>
      <c r="SF57" s="468"/>
      <c r="SG57" s="468"/>
      <c r="SH57" s="468"/>
      <c r="SI57" s="468"/>
      <c r="SJ57" s="468"/>
      <c r="SK57" s="468"/>
      <c r="SL57" s="468"/>
      <c r="SM57" s="468"/>
      <c r="SN57" s="468"/>
      <c r="SO57" s="468"/>
      <c r="SP57" s="468"/>
      <c r="SQ57" s="468"/>
      <c r="SR57" s="468"/>
      <c r="SS57" s="468"/>
      <c r="ST57" s="468"/>
      <c r="SU57" s="468"/>
      <c r="SV57" s="468"/>
      <c r="SW57" s="468"/>
      <c r="SX57" s="468"/>
      <c r="SY57" s="468"/>
      <c r="SZ57" s="468"/>
      <c r="TA57" s="468"/>
      <c r="TB57" s="468"/>
      <c r="TC57" s="468"/>
      <c r="TD57" s="468"/>
      <c r="TE57" s="468"/>
      <c r="TF57" s="468"/>
      <c r="TG57" s="468"/>
      <c r="TH57" s="468"/>
      <c r="TI57" s="468"/>
      <c r="TJ57" s="468"/>
      <c r="TK57" s="468"/>
      <c r="TL57" s="468"/>
      <c r="TM57" s="468"/>
      <c r="TN57" s="468"/>
      <c r="TO57" s="468"/>
      <c r="TP57" s="468"/>
      <c r="TQ57" s="468"/>
      <c r="TR57" s="468"/>
      <c r="TS57" s="468"/>
      <c r="TT57" s="468"/>
      <c r="TU57" s="468"/>
      <c r="TV57" s="468"/>
      <c r="TW57" s="468"/>
      <c r="TX57" s="468"/>
      <c r="TY57" s="468"/>
      <c r="TZ57" s="468"/>
      <c r="UA57" s="468"/>
      <c r="UB57" s="468"/>
      <c r="UC57" s="468"/>
      <c r="UD57" s="468"/>
      <c r="UE57" s="468"/>
      <c r="UF57" s="468"/>
      <c r="UG57" s="468"/>
      <c r="UH57" s="468"/>
      <c r="UI57" s="468"/>
      <c r="UJ57" s="468"/>
      <c r="UK57" s="468"/>
      <c r="UL57" s="468"/>
      <c r="UM57" s="468"/>
      <c r="UN57" s="468"/>
      <c r="UO57" s="468"/>
      <c r="UP57" s="468"/>
      <c r="UQ57" s="468"/>
      <c r="UR57" s="468"/>
      <c r="US57" s="468"/>
      <c r="UT57" s="468"/>
      <c r="UU57" s="468"/>
      <c r="UV57" s="468"/>
      <c r="UW57" s="468"/>
      <c r="UX57" s="468"/>
      <c r="UY57" s="468"/>
      <c r="UZ57" s="468"/>
      <c r="VA57" s="468"/>
      <c r="VB57" s="468"/>
      <c r="VC57" s="468"/>
      <c r="VD57" s="468"/>
      <c r="VE57" s="468"/>
      <c r="VF57" s="468"/>
      <c r="VG57" s="468"/>
      <c r="VH57" s="468"/>
      <c r="VI57" s="468"/>
      <c r="VJ57" s="468"/>
      <c r="VK57" s="468"/>
      <c r="VL57" s="468"/>
      <c r="VM57" s="468"/>
      <c r="VN57" s="468"/>
      <c r="VO57" s="468"/>
      <c r="VP57" s="468"/>
      <c r="VQ57" s="468"/>
      <c r="VR57" s="468"/>
      <c r="VS57" s="468"/>
      <c r="VT57" s="468"/>
      <c r="VU57" s="468"/>
      <c r="VV57" s="468"/>
      <c r="VW57" s="468"/>
      <c r="VX57" s="468"/>
      <c r="VY57" s="468"/>
      <c r="VZ57" s="468"/>
      <c r="WA57" s="468"/>
      <c r="WB57" s="468"/>
      <c r="WC57" s="468"/>
      <c r="WD57" s="468"/>
      <c r="WE57" s="468"/>
      <c r="WF57" s="468"/>
      <c r="WG57" s="468"/>
      <c r="WH57" s="468"/>
      <c r="WI57" s="468"/>
      <c r="WJ57" s="468"/>
      <c r="WK57" s="468"/>
      <c r="WL57" s="468"/>
      <c r="WM57" s="468"/>
      <c r="WN57" s="468"/>
      <c r="WO57" s="468"/>
      <c r="WP57" s="468"/>
      <c r="WQ57" s="468"/>
      <c r="WR57" s="468"/>
      <c r="WS57" s="468"/>
      <c r="WT57" s="468"/>
      <c r="WU57" s="468"/>
      <c r="WV57" s="468"/>
      <c r="WW57" s="468"/>
      <c r="WX57" s="468"/>
      <c r="WY57" s="468"/>
      <c r="WZ57" s="468"/>
      <c r="XA57" s="468"/>
      <c r="XB57" s="468"/>
      <c r="XC57" s="468"/>
      <c r="XD57" s="468"/>
      <c r="XE57" s="468"/>
      <c r="XF57" s="468"/>
      <c r="XG57" s="468"/>
      <c r="XH57" s="468"/>
      <c r="XI57" s="468"/>
      <c r="XJ57" s="468"/>
      <c r="XK57" s="468"/>
      <c r="XL57" s="468"/>
      <c r="XM57" s="468"/>
      <c r="XN57" s="468"/>
      <c r="XO57" s="468"/>
      <c r="XP57" s="468"/>
      <c r="XQ57" s="468"/>
      <c r="XR57" s="468"/>
      <c r="XS57" s="468"/>
      <c r="XT57" s="468"/>
      <c r="XU57" s="468"/>
      <c r="XV57" s="468"/>
      <c r="XW57" s="468"/>
      <c r="XX57" s="468"/>
      <c r="XY57" s="468"/>
      <c r="XZ57" s="468"/>
      <c r="YA57" s="468"/>
      <c r="YB57" s="468"/>
      <c r="YC57" s="468"/>
      <c r="YD57" s="468"/>
      <c r="YE57" s="468"/>
      <c r="YF57" s="468"/>
      <c r="YG57" s="468"/>
      <c r="YH57" s="468"/>
      <c r="YI57" s="468"/>
      <c r="YJ57" s="468"/>
      <c r="YK57" s="468"/>
      <c r="YL57" s="468"/>
      <c r="YM57" s="468"/>
      <c r="YN57" s="468"/>
      <c r="YO57" s="468"/>
      <c r="YP57" s="468"/>
      <c r="YQ57" s="468"/>
      <c r="YR57" s="468"/>
      <c r="YS57" s="468"/>
      <c r="YT57" s="468"/>
      <c r="YU57" s="468"/>
      <c r="YV57" s="468"/>
      <c r="YW57" s="468"/>
      <c r="YX57" s="468"/>
      <c r="YY57" s="468"/>
      <c r="YZ57" s="468"/>
      <c r="ZA57" s="468"/>
      <c r="ZB57" s="468"/>
      <c r="ZC57" s="468"/>
      <c r="ZD57" s="468"/>
      <c r="ZE57" s="468"/>
      <c r="ZF57" s="468"/>
      <c r="ZG57" s="468"/>
      <c r="ZH57" s="468"/>
      <c r="ZI57" s="468"/>
      <c r="ZJ57" s="468"/>
      <c r="ZK57" s="468"/>
      <c r="ZL57" s="468"/>
      <c r="ZM57" s="468"/>
      <c r="ZN57" s="468"/>
      <c r="ZO57" s="468"/>
      <c r="ZP57" s="468"/>
      <c r="ZQ57" s="468"/>
      <c r="ZR57" s="468"/>
      <c r="ZS57" s="468"/>
      <c r="ZT57" s="468"/>
      <c r="ZU57" s="468"/>
      <c r="ZV57" s="468"/>
      <c r="ZW57" s="468"/>
      <c r="ZX57" s="468"/>
      <c r="ZY57" s="468"/>
      <c r="ZZ57" s="468"/>
      <c r="AAA57" s="468"/>
      <c r="AAB57" s="468"/>
      <c r="AAC57" s="468"/>
      <c r="AAD57" s="468"/>
      <c r="AAE57" s="468"/>
      <c r="AAF57" s="468"/>
      <c r="AAG57" s="468"/>
      <c r="AAH57" s="468"/>
      <c r="AAI57" s="468"/>
      <c r="AAJ57" s="468"/>
      <c r="AAK57" s="468"/>
      <c r="AAL57" s="468"/>
      <c r="AAM57" s="468"/>
      <c r="AAN57" s="468"/>
      <c r="AAO57" s="468"/>
      <c r="AAP57" s="468"/>
      <c r="AAQ57" s="468"/>
      <c r="AAR57" s="468"/>
      <c r="AAS57" s="468"/>
      <c r="AAT57" s="468"/>
      <c r="AAU57" s="468"/>
      <c r="AAV57" s="468"/>
      <c r="AAW57" s="468"/>
      <c r="AAX57" s="468"/>
      <c r="AAY57" s="468"/>
      <c r="AAZ57" s="468"/>
      <c r="ABA57" s="468"/>
      <c r="ABB57" s="468"/>
      <c r="ABC57" s="468"/>
      <c r="ABD57" s="468"/>
      <c r="ABE57" s="468"/>
      <c r="ABF57" s="468"/>
      <c r="ABG57" s="468"/>
      <c r="ABH57" s="468"/>
      <c r="ABI57" s="468"/>
      <c r="ABJ57" s="468"/>
      <c r="ABK57" s="468"/>
      <c r="ABL57" s="468"/>
      <c r="ABM57" s="468"/>
      <c r="ABN57" s="468"/>
      <c r="ABO57" s="468"/>
      <c r="ABP57" s="468"/>
      <c r="ABQ57" s="468"/>
      <c r="ABR57" s="468"/>
      <c r="ABS57" s="468"/>
      <c r="ABT57" s="468"/>
      <c r="ABU57" s="468"/>
      <c r="ABV57" s="468"/>
      <c r="ABW57" s="468"/>
      <c r="ABX57" s="468"/>
      <c r="ABY57" s="468"/>
      <c r="ABZ57" s="468"/>
      <c r="ACA57" s="468"/>
      <c r="ACB57" s="468"/>
      <c r="ACC57" s="468"/>
      <c r="ACD57" s="468"/>
      <c r="ACE57" s="468"/>
      <c r="ACF57" s="468"/>
      <c r="ACG57" s="468"/>
      <c r="ACH57" s="468"/>
      <c r="ACI57" s="468"/>
      <c r="ACJ57" s="468"/>
      <c r="ACK57" s="468"/>
      <c r="ACL57" s="468"/>
      <c r="ACM57" s="468"/>
      <c r="ACN57" s="468"/>
      <c r="ACO57" s="468"/>
      <c r="ACP57" s="468"/>
      <c r="ACQ57" s="468"/>
      <c r="ACR57" s="468"/>
      <c r="ACS57" s="468"/>
      <c r="ACT57" s="468"/>
      <c r="ACU57" s="468"/>
      <c r="ACV57" s="468"/>
      <c r="ACW57" s="468"/>
      <c r="ACX57" s="468"/>
      <c r="ACY57" s="468"/>
      <c r="ACZ57" s="468"/>
      <c r="ADA57" s="468"/>
      <c r="ADB57" s="468"/>
      <c r="ADC57" s="468"/>
      <c r="ADD57" s="468"/>
      <c r="ADE57" s="468"/>
      <c r="ADF57" s="468"/>
      <c r="ADG57" s="468"/>
      <c r="ADH57" s="468"/>
      <c r="ADI57" s="468"/>
      <c r="ADJ57" s="468"/>
      <c r="ADK57" s="468"/>
      <c r="ADL57" s="468"/>
      <c r="ADM57" s="468"/>
      <c r="ADN57" s="468"/>
      <c r="ADO57" s="468"/>
      <c r="ADP57" s="468"/>
      <c r="ADQ57" s="468"/>
      <c r="ADR57" s="468"/>
      <c r="ADS57" s="468"/>
      <c r="ADT57" s="468"/>
      <c r="ADU57" s="468"/>
      <c r="ADV57" s="468"/>
      <c r="ADW57" s="468"/>
      <c r="ADX57" s="468"/>
      <c r="ADY57" s="468"/>
      <c r="ADZ57" s="468"/>
      <c r="AEA57" s="468"/>
      <c r="AEB57" s="468"/>
      <c r="AEC57" s="468"/>
      <c r="AED57" s="468"/>
      <c r="AEE57" s="468"/>
      <c r="AEF57" s="468"/>
      <c r="AEG57" s="468"/>
      <c r="AEH57" s="468"/>
      <c r="AEI57" s="468"/>
      <c r="AEJ57" s="468"/>
      <c r="AEK57" s="468"/>
      <c r="AEL57" s="468"/>
      <c r="AEM57" s="468"/>
      <c r="AEN57" s="468"/>
      <c r="AEO57" s="468"/>
      <c r="AEP57" s="468"/>
      <c r="AEQ57" s="468"/>
      <c r="AER57" s="468"/>
      <c r="AES57" s="468"/>
      <c r="AET57" s="468"/>
      <c r="AEU57" s="468"/>
      <c r="AEV57" s="468"/>
      <c r="AEW57" s="468"/>
      <c r="AEX57" s="468"/>
      <c r="AEY57" s="468"/>
      <c r="AEZ57" s="468"/>
      <c r="AFA57" s="468"/>
      <c r="AFB57" s="468"/>
      <c r="AFC57" s="468"/>
      <c r="AFD57" s="468"/>
      <c r="AFE57" s="468"/>
      <c r="AFF57" s="468"/>
      <c r="AFG57" s="468"/>
      <c r="AFH57" s="468"/>
      <c r="AFI57" s="468"/>
      <c r="AFJ57" s="468"/>
      <c r="AFK57" s="468"/>
      <c r="AFL57" s="468"/>
      <c r="AFM57" s="468"/>
      <c r="AFN57" s="468"/>
      <c r="AFO57" s="468"/>
      <c r="AFP57" s="468"/>
      <c r="AFQ57" s="468"/>
      <c r="AFR57" s="468"/>
      <c r="AFS57" s="468"/>
      <c r="AFT57" s="468"/>
      <c r="AFU57" s="468"/>
      <c r="AFV57" s="468"/>
      <c r="AFW57" s="468"/>
      <c r="AFX57" s="468"/>
      <c r="AFY57" s="468"/>
      <c r="AFZ57" s="468"/>
      <c r="AGA57" s="468"/>
      <c r="AGB57" s="468"/>
      <c r="AGC57" s="468"/>
      <c r="AGD57" s="468"/>
      <c r="AGE57" s="468"/>
      <c r="AGF57" s="468"/>
      <c r="AGG57" s="468"/>
      <c r="AGH57" s="468"/>
      <c r="AGI57" s="468"/>
      <c r="AGJ57" s="468"/>
      <c r="AGK57" s="468"/>
      <c r="AGL57" s="468"/>
      <c r="AGM57" s="468"/>
      <c r="AGN57" s="468"/>
      <c r="AGO57" s="468"/>
      <c r="AGP57" s="468"/>
      <c r="AGQ57" s="468"/>
      <c r="AGR57" s="468"/>
      <c r="AGS57" s="468"/>
      <c r="AGT57" s="468"/>
      <c r="AGU57" s="468"/>
      <c r="AGV57" s="468"/>
      <c r="AGW57" s="468"/>
      <c r="AGX57" s="468"/>
      <c r="AGY57" s="468"/>
      <c r="AGZ57" s="468"/>
      <c r="AHA57" s="468"/>
      <c r="AHB57" s="468"/>
      <c r="AHC57" s="468"/>
      <c r="AHD57" s="468"/>
      <c r="AHE57" s="468"/>
      <c r="AHF57" s="468"/>
      <c r="AHG57" s="468"/>
      <c r="AHH57" s="468"/>
      <c r="AHI57" s="468"/>
      <c r="AHJ57" s="468"/>
      <c r="AHK57" s="468"/>
      <c r="AHL57" s="468"/>
      <c r="AHM57" s="468"/>
      <c r="AHN57" s="468"/>
      <c r="AHO57" s="468"/>
      <c r="AHP57" s="468"/>
      <c r="AHQ57" s="468"/>
      <c r="AHR57" s="468"/>
      <c r="AHS57" s="468"/>
      <c r="AHT57" s="468"/>
      <c r="AHU57" s="468"/>
      <c r="AHV57" s="468"/>
      <c r="AHW57" s="468"/>
      <c r="AHX57" s="468"/>
      <c r="AHY57" s="468"/>
      <c r="AHZ57" s="468"/>
      <c r="AIA57" s="468"/>
      <c r="AIB57" s="468"/>
      <c r="AIC57" s="468"/>
      <c r="AID57" s="468"/>
      <c r="AIE57" s="468"/>
      <c r="AIF57" s="468"/>
      <c r="AIG57" s="468"/>
      <c r="AIH57" s="468"/>
      <c r="AII57" s="468"/>
      <c r="AIJ57" s="468"/>
      <c r="AIK57" s="468"/>
      <c r="AIL57" s="468"/>
      <c r="AIM57" s="468"/>
      <c r="AIN57" s="468"/>
      <c r="AIO57" s="468"/>
      <c r="AIP57" s="468"/>
      <c r="AIQ57" s="468"/>
      <c r="AIR57" s="468"/>
      <c r="AIS57" s="468"/>
      <c r="AIT57" s="468"/>
      <c r="AIU57" s="468"/>
      <c r="AIV57" s="468"/>
      <c r="AIW57" s="468"/>
      <c r="AIX57" s="468"/>
      <c r="AIY57" s="468"/>
      <c r="AIZ57" s="468"/>
      <c r="AJA57" s="468"/>
      <c r="AJB57" s="468"/>
      <c r="AJC57" s="468"/>
      <c r="AJD57" s="468"/>
      <c r="AJE57" s="468"/>
      <c r="AJF57" s="468"/>
      <c r="AJG57" s="468"/>
      <c r="AJH57" s="468"/>
      <c r="AJI57" s="468"/>
      <c r="AJJ57" s="468"/>
      <c r="AJK57" s="468"/>
      <c r="AJL57" s="468"/>
      <c r="AJM57" s="468"/>
      <c r="AJN57" s="468"/>
      <c r="AJO57" s="468"/>
      <c r="AJP57" s="468"/>
      <c r="AJQ57" s="468"/>
      <c r="AJR57" s="468"/>
      <c r="AJS57" s="468"/>
      <c r="AJT57" s="468"/>
      <c r="AJU57" s="468"/>
      <c r="AJV57" s="468"/>
      <c r="AJW57" s="468"/>
      <c r="AJX57" s="468"/>
      <c r="AJY57" s="468"/>
      <c r="AJZ57" s="468"/>
      <c r="AKA57" s="468"/>
      <c r="AKB57" s="468"/>
      <c r="AKC57" s="468"/>
      <c r="AKD57" s="468"/>
      <c r="AKE57" s="468"/>
      <c r="AKF57" s="468"/>
      <c r="AKG57" s="468"/>
      <c r="AKH57" s="468"/>
      <c r="AKI57" s="468"/>
      <c r="AKJ57" s="468"/>
      <c r="AKK57" s="468"/>
      <c r="AKL57" s="468"/>
      <c r="AKM57" s="468"/>
      <c r="AKN57" s="468"/>
      <c r="AKO57" s="468"/>
      <c r="AKP57" s="468"/>
      <c r="AKQ57" s="468"/>
      <c r="AKR57" s="468"/>
      <c r="AKS57" s="468"/>
      <c r="AKT57" s="468"/>
      <c r="AKU57" s="468"/>
      <c r="AKV57" s="468"/>
      <c r="AKW57" s="468"/>
      <c r="AKX57" s="468"/>
      <c r="AKY57" s="468"/>
      <c r="AKZ57" s="468"/>
      <c r="ALA57" s="468"/>
      <c r="ALB57" s="468"/>
      <c r="ALC57" s="468"/>
      <c r="ALD57" s="468"/>
      <c r="ALE57" s="468"/>
      <c r="ALF57" s="468"/>
      <c r="ALG57" s="468"/>
      <c r="ALH57" s="468"/>
      <c r="ALI57" s="468"/>
      <c r="ALJ57" s="468"/>
      <c r="ALK57" s="468"/>
      <c r="ALL57" s="468"/>
      <c r="ALM57" s="468"/>
      <c r="ALN57" s="468"/>
      <c r="ALO57" s="468"/>
      <c r="ALP57" s="468"/>
      <c r="ALQ57" s="468"/>
      <c r="ALR57" s="468"/>
      <c r="ALS57" s="468"/>
      <c r="ALT57" s="468"/>
      <c r="ALU57" s="468"/>
      <c r="ALV57" s="468"/>
      <c r="ALW57" s="468"/>
      <c r="ALX57" s="468"/>
      <c r="ALY57" s="468"/>
      <c r="ALZ57" s="468"/>
      <c r="AMA57" s="468"/>
      <c r="AMB57" s="468"/>
      <c r="AMC57" s="468"/>
      <c r="AMD57" s="468"/>
      <c r="AME57" s="468"/>
      <c r="AMF57" s="468"/>
      <c r="AMG57" s="468"/>
      <c r="AMH57" s="468"/>
      <c r="AMI57" s="468"/>
      <c r="AMJ57" s="468"/>
      <c r="AMK57" s="468"/>
      <c r="AML57" s="468"/>
      <c r="AMM57" s="468"/>
      <c r="AMN57" s="468"/>
      <c r="AMO57" s="468"/>
      <c r="AMP57" s="468"/>
      <c r="AMQ57" s="468"/>
      <c r="AMR57" s="468"/>
      <c r="AMS57" s="468"/>
      <c r="AMT57" s="468"/>
      <c r="AMU57" s="468"/>
      <c r="AMV57" s="468"/>
      <c r="AMW57" s="468"/>
      <c r="AMX57" s="468"/>
      <c r="AMY57" s="468"/>
      <c r="AMZ57" s="468"/>
      <c r="ANA57" s="468"/>
      <c r="ANB57" s="468"/>
      <c r="ANC57" s="468"/>
      <c r="AND57" s="468"/>
      <c r="ANE57" s="468"/>
      <c r="ANF57" s="468"/>
      <c r="ANG57" s="468"/>
      <c r="ANH57" s="468"/>
      <c r="ANI57" s="468"/>
      <c r="ANJ57" s="468"/>
      <c r="ANK57" s="468"/>
      <c r="ANL57" s="468"/>
      <c r="ANM57" s="468"/>
      <c r="ANN57" s="468"/>
      <c r="ANO57" s="468"/>
      <c r="ANP57" s="468"/>
      <c r="ANQ57" s="468"/>
      <c r="ANR57" s="468"/>
      <c r="ANS57" s="468"/>
      <c r="ANT57" s="468"/>
      <c r="ANU57" s="468"/>
      <c r="ANV57" s="468"/>
      <c r="ANW57" s="468"/>
      <c r="ANX57" s="468"/>
      <c r="ANY57" s="468"/>
      <c r="ANZ57" s="468"/>
      <c r="AOA57" s="468"/>
      <c r="AOB57" s="468"/>
      <c r="AOC57" s="468"/>
      <c r="AOD57" s="468"/>
      <c r="AOE57" s="468"/>
      <c r="AOF57" s="468"/>
      <c r="AOG57" s="468"/>
      <c r="AOH57" s="468"/>
      <c r="AOI57" s="468"/>
      <c r="AOJ57" s="468"/>
      <c r="AOK57" s="468"/>
      <c r="AOL57" s="468"/>
      <c r="AOM57" s="468"/>
      <c r="AON57" s="468"/>
      <c r="AOO57" s="468"/>
      <c r="AOP57" s="468"/>
      <c r="AOQ57" s="468"/>
      <c r="AOR57" s="468"/>
      <c r="AOS57" s="468"/>
      <c r="AOT57" s="468"/>
      <c r="AOU57" s="468"/>
      <c r="AOV57" s="468"/>
      <c r="AOW57" s="468"/>
      <c r="AOX57" s="468"/>
      <c r="AOY57" s="468"/>
      <c r="AOZ57" s="468"/>
      <c r="APA57" s="468"/>
      <c r="APB57" s="468"/>
      <c r="APC57" s="468"/>
      <c r="APD57" s="468"/>
      <c r="APE57" s="468"/>
      <c r="APF57" s="468"/>
      <c r="APG57" s="468"/>
      <c r="APH57" s="468"/>
      <c r="API57" s="468"/>
      <c r="APJ57" s="468"/>
      <c r="APK57" s="468"/>
      <c r="APL57" s="468"/>
      <c r="APM57" s="468"/>
      <c r="APN57" s="468"/>
      <c r="APO57" s="468"/>
      <c r="APP57" s="468"/>
      <c r="APQ57" s="468"/>
      <c r="APR57" s="468"/>
      <c r="APS57" s="468"/>
      <c r="APT57" s="468"/>
      <c r="APU57" s="468"/>
      <c r="APV57" s="468"/>
      <c r="APW57" s="468"/>
      <c r="APX57" s="468"/>
      <c r="APY57" s="468"/>
      <c r="APZ57" s="468"/>
      <c r="AQA57" s="468"/>
      <c r="AQB57" s="468"/>
      <c r="AQC57" s="468"/>
      <c r="AQD57" s="468"/>
      <c r="AQE57" s="468"/>
      <c r="AQF57" s="468"/>
      <c r="AQG57" s="468"/>
      <c r="AQH57" s="468"/>
      <c r="AQI57" s="468"/>
      <c r="AQJ57" s="468"/>
      <c r="AQK57" s="468"/>
      <c r="AQL57" s="468"/>
      <c r="AQM57" s="468"/>
      <c r="AQN57" s="468"/>
      <c r="AQO57" s="468"/>
      <c r="AQP57" s="468"/>
      <c r="AQQ57" s="468"/>
      <c r="AQR57" s="468"/>
      <c r="AQS57" s="468"/>
      <c r="AQT57" s="468"/>
      <c r="AQU57" s="468"/>
      <c r="AQV57" s="468"/>
      <c r="AQW57" s="468"/>
      <c r="AQX57" s="468"/>
      <c r="AQY57" s="468"/>
      <c r="AQZ57" s="468"/>
      <c r="ARA57" s="468"/>
      <c r="ARB57" s="468"/>
      <c r="ARC57" s="468"/>
      <c r="ARD57" s="468"/>
      <c r="ARE57" s="468"/>
      <c r="ARF57" s="468"/>
      <c r="ARG57" s="468"/>
      <c r="ARH57" s="468"/>
      <c r="ARI57" s="468"/>
      <c r="ARJ57" s="468"/>
      <c r="ARK57" s="468"/>
      <c r="ARL57" s="468"/>
      <c r="ARM57" s="468"/>
      <c r="ARN57" s="468"/>
      <c r="ARO57" s="468"/>
      <c r="ARP57" s="468"/>
      <c r="ARQ57" s="468"/>
      <c r="ARR57" s="468"/>
      <c r="ARS57" s="468"/>
      <c r="ART57" s="468"/>
      <c r="ARU57" s="468"/>
      <c r="ARV57" s="468"/>
      <c r="ARW57" s="468"/>
      <c r="ARX57" s="468"/>
      <c r="ARY57" s="468"/>
      <c r="ARZ57" s="468"/>
      <c r="ASA57" s="468"/>
      <c r="ASB57" s="468"/>
      <c r="ASC57" s="468"/>
      <c r="ASD57" s="468"/>
      <c r="ASE57" s="468"/>
      <c r="ASF57" s="468"/>
      <c r="ASG57" s="468"/>
      <c r="ASH57" s="468"/>
      <c r="ASI57" s="468"/>
      <c r="ASJ57" s="468"/>
      <c r="ASK57" s="468"/>
      <c r="ASL57" s="468"/>
      <c r="ASM57" s="468"/>
      <c r="ASN57" s="468"/>
      <c r="ASO57" s="468"/>
      <c r="ASP57" s="468"/>
      <c r="ASQ57" s="468"/>
      <c r="ASR57" s="468"/>
      <c r="ASS57" s="468"/>
      <c r="AST57" s="468"/>
      <c r="ASU57" s="468"/>
      <c r="ASV57" s="468"/>
      <c r="ASW57" s="468"/>
      <c r="ASX57" s="468"/>
      <c r="ASY57" s="468"/>
      <c r="ASZ57" s="468"/>
      <c r="ATA57" s="468"/>
      <c r="ATB57" s="468"/>
      <c r="ATC57" s="468"/>
      <c r="ATD57" s="468"/>
      <c r="ATE57" s="468"/>
      <c r="ATF57" s="468"/>
      <c r="ATG57" s="468"/>
      <c r="ATH57" s="468"/>
      <c r="ATI57" s="468"/>
      <c r="ATJ57" s="468"/>
      <c r="ATK57" s="468"/>
      <c r="ATL57" s="468"/>
      <c r="ATM57" s="468"/>
      <c r="ATN57" s="468"/>
      <c r="ATO57" s="468"/>
      <c r="ATP57" s="468"/>
      <c r="ATQ57" s="468"/>
      <c r="ATR57" s="468"/>
      <c r="ATS57" s="468"/>
      <c r="ATT57" s="468"/>
      <c r="ATU57" s="468"/>
      <c r="ATV57" s="468"/>
      <c r="ATW57" s="468"/>
      <c r="ATX57" s="468"/>
      <c r="ATY57" s="468"/>
      <c r="ATZ57" s="468"/>
      <c r="AUA57" s="468"/>
      <c r="AUB57" s="468"/>
      <c r="AUC57" s="468"/>
      <c r="AUD57" s="468"/>
      <c r="AUE57" s="468"/>
      <c r="AUF57" s="468"/>
      <c r="AUG57" s="468"/>
      <c r="AUH57" s="468"/>
      <c r="AUI57" s="468"/>
      <c r="AUJ57" s="468"/>
      <c r="AUK57" s="468"/>
      <c r="AUL57" s="468"/>
      <c r="AUM57" s="468"/>
      <c r="AUN57" s="468"/>
      <c r="AUO57" s="468"/>
      <c r="AUP57" s="468"/>
      <c r="AUQ57" s="468"/>
      <c r="AUR57" s="468"/>
      <c r="AUS57" s="468"/>
      <c r="AUT57" s="468"/>
      <c r="AUU57" s="468"/>
      <c r="AUV57" s="468"/>
      <c r="AUW57" s="468"/>
      <c r="AUX57" s="468"/>
      <c r="AUY57" s="468"/>
      <c r="AUZ57" s="468"/>
      <c r="AVA57" s="468"/>
      <c r="AVB57" s="468"/>
      <c r="AVC57" s="468"/>
      <c r="AVD57" s="468"/>
      <c r="AVE57" s="468"/>
      <c r="AVF57" s="468"/>
      <c r="AVG57" s="468"/>
      <c r="AVH57" s="468"/>
      <c r="AVI57" s="468"/>
      <c r="AVJ57" s="468"/>
      <c r="AVK57" s="468"/>
      <c r="AVL57" s="468"/>
      <c r="AVM57" s="468"/>
      <c r="AVN57" s="468"/>
      <c r="AVO57" s="468"/>
      <c r="AVP57" s="468"/>
      <c r="AVQ57" s="468"/>
      <c r="AVR57" s="468"/>
      <c r="AVS57" s="468"/>
      <c r="AVT57" s="468"/>
      <c r="AVU57" s="468"/>
      <c r="AVV57" s="468"/>
      <c r="AVW57" s="468"/>
      <c r="AVX57" s="468"/>
      <c r="AVY57" s="468"/>
      <c r="AVZ57" s="468"/>
      <c r="AWA57" s="468"/>
      <c r="AWB57" s="468"/>
      <c r="AWC57" s="468"/>
      <c r="AWD57" s="468"/>
      <c r="AWE57" s="468"/>
      <c r="AWF57" s="468"/>
      <c r="AWG57" s="468"/>
      <c r="AWH57" s="468"/>
      <c r="AWI57" s="468"/>
      <c r="AWJ57" s="468"/>
      <c r="AWK57" s="468"/>
      <c r="AWL57" s="468"/>
      <c r="AWM57" s="468"/>
      <c r="AWN57" s="468"/>
      <c r="AWO57" s="468"/>
      <c r="AWP57" s="468"/>
      <c r="AWQ57" s="468"/>
      <c r="AWR57" s="468"/>
      <c r="AWS57" s="468"/>
      <c r="AWT57" s="468"/>
      <c r="AWU57" s="468"/>
      <c r="AWV57" s="468"/>
      <c r="AWW57" s="468"/>
      <c r="AWX57" s="468"/>
      <c r="AWY57" s="468"/>
      <c r="AWZ57" s="468"/>
      <c r="AXA57" s="468"/>
      <c r="AXB57" s="468"/>
      <c r="AXC57" s="468"/>
      <c r="AXD57" s="468"/>
      <c r="AXE57" s="468"/>
      <c r="AXF57" s="468"/>
      <c r="AXG57" s="468"/>
      <c r="AXH57" s="468"/>
      <c r="AXI57" s="468"/>
      <c r="AXJ57" s="468"/>
      <c r="AXK57" s="468"/>
      <c r="AXL57" s="468"/>
      <c r="AXM57" s="468"/>
      <c r="AXN57" s="468"/>
      <c r="AXO57" s="468"/>
      <c r="AXP57" s="468"/>
      <c r="AXQ57" s="468"/>
      <c r="AXR57" s="468"/>
      <c r="AXS57" s="468"/>
      <c r="AXT57" s="468"/>
      <c r="AXU57" s="468"/>
      <c r="AXV57" s="468"/>
      <c r="AXW57" s="468"/>
      <c r="AXX57" s="468"/>
      <c r="AXY57" s="468"/>
      <c r="AXZ57" s="468"/>
      <c r="AYA57" s="468"/>
      <c r="AYB57" s="468"/>
      <c r="AYC57" s="468"/>
      <c r="AYD57" s="468"/>
      <c r="AYE57" s="468"/>
      <c r="AYF57" s="468"/>
      <c r="AYG57" s="468"/>
      <c r="AYH57" s="468"/>
      <c r="AYI57" s="468"/>
      <c r="AYJ57" s="468"/>
      <c r="AYK57" s="468"/>
      <c r="AYL57" s="468"/>
      <c r="AYM57" s="468"/>
      <c r="AYN57" s="468"/>
      <c r="AYO57" s="468"/>
      <c r="AYP57" s="468"/>
      <c r="AYQ57" s="468"/>
      <c r="AYR57" s="468"/>
      <c r="AYS57" s="468"/>
      <c r="AYT57" s="468"/>
      <c r="AYU57" s="468"/>
      <c r="AYV57" s="468"/>
      <c r="AYW57" s="468"/>
      <c r="AYX57" s="468"/>
      <c r="AYY57" s="468"/>
      <c r="AYZ57" s="468"/>
      <c r="AZA57" s="468"/>
      <c r="AZB57" s="468"/>
      <c r="AZC57" s="468"/>
      <c r="AZD57" s="468"/>
      <c r="AZE57" s="468"/>
      <c r="AZF57" s="468"/>
      <c r="AZG57" s="468"/>
      <c r="AZH57" s="468"/>
      <c r="AZI57" s="468"/>
      <c r="AZJ57" s="468"/>
      <c r="AZK57" s="468"/>
      <c r="AZL57" s="468"/>
      <c r="AZM57" s="468"/>
      <c r="AZN57" s="468"/>
      <c r="AZO57" s="468"/>
      <c r="AZP57" s="468"/>
      <c r="AZQ57" s="468"/>
      <c r="AZR57" s="468"/>
      <c r="AZS57" s="468"/>
      <c r="AZT57" s="468"/>
      <c r="AZU57" s="468"/>
      <c r="AZV57" s="468"/>
      <c r="AZW57" s="468"/>
      <c r="AZX57" s="468"/>
      <c r="AZY57" s="468"/>
      <c r="AZZ57" s="468"/>
      <c r="BAA57" s="468"/>
      <c r="BAB57" s="468"/>
      <c r="BAC57" s="468"/>
      <c r="BAD57" s="468"/>
      <c r="BAE57" s="468"/>
      <c r="BAF57" s="468"/>
      <c r="BAG57" s="468"/>
      <c r="BAH57" s="468"/>
      <c r="BAI57" s="468"/>
      <c r="BAJ57" s="468"/>
      <c r="BAK57" s="468"/>
      <c r="BAL57" s="468"/>
      <c r="BAM57" s="468"/>
      <c r="BAN57" s="468"/>
      <c r="BAO57" s="468"/>
      <c r="BAP57" s="468"/>
      <c r="BAQ57" s="468"/>
      <c r="BAR57" s="468"/>
      <c r="BAS57" s="468"/>
      <c r="BAT57" s="468"/>
      <c r="BAU57" s="468"/>
      <c r="BAV57" s="468"/>
      <c r="BAW57" s="468"/>
      <c r="BAX57" s="468"/>
      <c r="BAY57" s="468"/>
      <c r="BAZ57" s="468"/>
      <c r="BBA57" s="468"/>
      <c r="BBB57" s="468"/>
      <c r="BBC57" s="468"/>
      <c r="BBD57" s="468"/>
      <c r="BBE57" s="468"/>
      <c r="BBF57" s="468"/>
      <c r="BBG57" s="468"/>
      <c r="BBH57" s="468"/>
      <c r="BBI57" s="468"/>
      <c r="BBJ57" s="468"/>
      <c r="BBK57" s="468"/>
      <c r="BBL57" s="468"/>
      <c r="BBM57" s="468"/>
      <c r="BBN57" s="468"/>
      <c r="BBO57" s="468"/>
      <c r="BBP57" s="468"/>
      <c r="BBQ57" s="468"/>
      <c r="BBR57" s="468"/>
      <c r="BBS57" s="468"/>
      <c r="BBT57" s="468"/>
      <c r="BBU57" s="468"/>
      <c r="BBV57" s="468"/>
      <c r="BBW57" s="468"/>
      <c r="BBX57" s="468"/>
      <c r="BBY57" s="468"/>
      <c r="BBZ57" s="468"/>
      <c r="BCA57" s="468"/>
      <c r="BCB57" s="468"/>
      <c r="BCC57" s="468"/>
      <c r="BCD57" s="468"/>
      <c r="BCE57" s="468"/>
      <c r="BCF57" s="468"/>
      <c r="BCG57" s="468"/>
      <c r="BCH57" s="468"/>
      <c r="BCI57" s="468"/>
      <c r="BCJ57" s="468"/>
      <c r="BCK57" s="468"/>
      <c r="BCL57" s="468"/>
      <c r="BCM57" s="468"/>
      <c r="BCN57" s="468"/>
      <c r="BCO57" s="468"/>
      <c r="BCP57" s="468"/>
      <c r="BCQ57" s="468"/>
      <c r="BCR57" s="468"/>
      <c r="BCS57" s="468"/>
      <c r="BCT57" s="468"/>
      <c r="BCU57" s="468"/>
      <c r="BCV57" s="468"/>
      <c r="BCW57" s="468"/>
      <c r="BCX57" s="468"/>
      <c r="BCY57" s="468"/>
      <c r="BCZ57" s="468"/>
      <c r="BDA57" s="468"/>
      <c r="BDB57" s="468"/>
      <c r="BDC57" s="468"/>
      <c r="BDD57" s="468"/>
      <c r="BDE57" s="468"/>
      <c r="BDF57" s="468"/>
      <c r="BDG57" s="468"/>
      <c r="BDH57" s="468"/>
      <c r="BDI57" s="468"/>
      <c r="BDJ57" s="468"/>
      <c r="BDK57" s="468"/>
      <c r="BDL57" s="468"/>
      <c r="BDM57" s="468"/>
      <c r="BDN57" s="468"/>
      <c r="BDO57" s="468"/>
      <c r="BDP57" s="468"/>
      <c r="BDQ57" s="468"/>
      <c r="BDR57" s="468"/>
      <c r="BDS57" s="468"/>
      <c r="BDT57" s="468"/>
      <c r="BDU57" s="468"/>
      <c r="BDV57" s="468"/>
      <c r="BDW57" s="468"/>
      <c r="BDX57" s="468"/>
      <c r="BDY57" s="468"/>
      <c r="BDZ57" s="468"/>
      <c r="BEA57" s="468"/>
      <c r="BEB57" s="468"/>
      <c r="BEC57" s="468"/>
      <c r="BED57" s="468"/>
      <c r="BEE57" s="468"/>
      <c r="BEF57" s="468"/>
      <c r="BEG57" s="468"/>
      <c r="BEH57" s="468"/>
      <c r="BEI57" s="468"/>
      <c r="BEJ57" s="468"/>
      <c r="BEK57" s="468"/>
      <c r="BEL57" s="468"/>
      <c r="BEM57" s="468"/>
      <c r="BEN57" s="468"/>
      <c r="BEO57" s="468"/>
      <c r="BEP57" s="468"/>
      <c r="BEQ57" s="468"/>
      <c r="BER57" s="468"/>
      <c r="BES57" s="468"/>
      <c r="BET57" s="468"/>
      <c r="BEU57" s="468"/>
      <c r="BEV57" s="468"/>
      <c r="BEW57" s="468"/>
      <c r="BEX57" s="468"/>
      <c r="BEY57" s="468"/>
      <c r="BEZ57" s="468"/>
      <c r="BFA57" s="468"/>
      <c r="BFB57" s="468"/>
      <c r="BFC57" s="468"/>
      <c r="BFD57" s="468"/>
      <c r="BFE57" s="468"/>
      <c r="BFF57" s="468"/>
      <c r="BFG57" s="468"/>
      <c r="BFH57" s="468"/>
      <c r="BFI57" s="468"/>
      <c r="BFJ57" s="468"/>
      <c r="BFK57" s="468"/>
      <c r="BFL57" s="468"/>
      <c r="BFM57" s="468"/>
      <c r="BFN57" s="468"/>
      <c r="BFO57" s="468"/>
      <c r="BFP57" s="468"/>
      <c r="BFQ57" s="468"/>
      <c r="BFR57" s="468"/>
      <c r="BFS57" s="468"/>
      <c r="BFT57" s="468"/>
      <c r="BFU57" s="468"/>
      <c r="BFV57" s="468"/>
      <c r="BFW57" s="468"/>
      <c r="BFX57" s="468"/>
      <c r="BFY57" s="468"/>
      <c r="BFZ57" s="468"/>
      <c r="BGA57" s="468"/>
      <c r="BGB57" s="468"/>
      <c r="BGC57" s="468"/>
      <c r="BGD57" s="468"/>
      <c r="BGE57" s="468"/>
      <c r="BGF57" s="468"/>
      <c r="BGG57" s="468"/>
      <c r="BGH57" s="468"/>
      <c r="BGI57" s="468"/>
      <c r="BGJ57" s="468"/>
      <c r="BGK57" s="468"/>
      <c r="BGL57" s="468"/>
      <c r="BGM57" s="468"/>
      <c r="BGN57" s="468"/>
      <c r="BGO57" s="468"/>
      <c r="BGP57" s="468"/>
      <c r="BGQ57" s="468"/>
      <c r="BGR57" s="468"/>
      <c r="BGS57" s="468"/>
      <c r="BGT57" s="468"/>
      <c r="BGU57" s="468"/>
      <c r="BGV57" s="468"/>
      <c r="BGW57" s="468"/>
      <c r="BGX57" s="468"/>
      <c r="BGY57" s="468"/>
      <c r="BGZ57" s="468"/>
      <c r="BHA57" s="468"/>
      <c r="BHB57" s="468"/>
      <c r="BHC57" s="468"/>
      <c r="BHD57" s="468"/>
      <c r="BHE57" s="468"/>
      <c r="BHF57" s="468"/>
      <c r="BHG57" s="468"/>
      <c r="BHH57" s="468"/>
      <c r="BHI57" s="468"/>
      <c r="BHJ57" s="468"/>
      <c r="BHK57" s="468"/>
      <c r="BHL57" s="468"/>
      <c r="BHM57" s="468"/>
      <c r="BHN57" s="468"/>
      <c r="BHO57" s="468"/>
      <c r="BHP57" s="468"/>
      <c r="BHQ57" s="468"/>
      <c r="BHR57" s="468"/>
      <c r="BHS57" s="468"/>
      <c r="BHT57" s="468"/>
      <c r="BHU57" s="468"/>
      <c r="BHV57" s="468"/>
      <c r="BHW57" s="468"/>
      <c r="BHX57" s="468"/>
      <c r="BHY57" s="468"/>
      <c r="BHZ57" s="468"/>
      <c r="BIA57" s="468"/>
      <c r="BIB57" s="468"/>
      <c r="BIC57" s="468"/>
      <c r="BID57" s="468"/>
      <c r="BIE57" s="468"/>
      <c r="BIF57" s="468"/>
      <c r="BIG57" s="468"/>
      <c r="BIH57" s="468"/>
      <c r="BII57" s="468"/>
      <c r="BIJ57" s="468"/>
      <c r="BIK57" s="468"/>
      <c r="BIL57" s="468"/>
      <c r="BIM57" s="468"/>
      <c r="BIN57" s="468"/>
      <c r="BIO57" s="468"/>
      <c r="BIP57" s="468"/>
      <c r="BIQ57" s="468"/>
      <c r="BIR57" s="468"/>
      <c r="BIS57" s="468"/>
      <c r="BIT57" s="468"/>
      <c r="BIU57" s="468"/>
      <c r="BIV57" s="468"/>
      <c r="BIW57" s="468"/>
      <c r="BIX57" s="468"/>
      <c r="BIY57" s="468"/>
      <c r="BIZ57" s="468"/>
      <c r="BJA57" s="468"/>
      <c r="BJB57" s="468"/>
      <c r="BJC57" s="468"/>
      <c r="BJD57" s="468"/>
      <c r="BJE57" s="468"/>
      <c r="BJF57" s="468"/>
      <c r="BJG57" s="468"/>
      <c r="BJH57" s="468"/>
      <c r="BJI57" s="468"/>
      <c r="BJJ57" s="468"/>
      <c r="BJK57" s="468"/>
      <c r="BJL57" s="468"/>
      <c r="BJM57" s="468"/>
      <c r="BJN57" s="468"/>
      <c r="BJO57" s="468"/>
      <c r="BJP57" s="468"/>
      <c r="BJQ57" s="468"/>
      <c r="BJR57" s="468"/>
      <c r="BJS57" s="468"/>
      <c r="BJT57" s="468"/>
      <c r="BJU57" s="468"/>
      <c r="BJV57" s="468"/>
      <c r="BJW57" s="468"/>
      <c r="BJX57" s="468"/>
      <c r="BJY57" s="468"/>
      <c r="BJZ57" s="468"/>
      <c r="BKA57" s="468"/>
      <c r="BKB57" s="468"/>
      <c r="BKC57" s="468"/>
      <c r="BKD57" s="468"/>
      <c r="BKE57" s="468"/>
      <c r="BKF57" s="468"/>
      <c r="BKG57" s="468"/>
      <c r="BKH57" s="468"/>
      <c r="BKI57" s="468"/>
      <c r="BKJ57" s="468"/>
      <c r="BKK57" s="468"/>
      <c r="BKL57" s="468"/>
      <c r="BKM57" s="468"/>
      <c r="BKN57" s="468"/>
      <c r="BKO57" s="468"/>
      <c r="BKP57" s="468"/>
      <c r="BKQ57" s="468"/>
      <c r="BKR57" s="468"/>
      <c r="BKS57" s="468"/>
      <c r="BKT57" s="468"/>
      <c r="BKU57" s="468"/>
      <c r="BKV57" s="468"/>
      <c r="BKW57" s="468"/>
      <c r="BKX57" s="468"/>
      <c r="BKY57" s="468"/>
      <c r="BKZ57" s="468"/>
      <c r="BLA57" s="468"/>
      <c r="BLB57" s="468"/>
      <c r="BLC57" s="468"/>
      <c r="BLD57" s="468"/>
      <c r="BLE57" s="468"/>
      <c r="BLF57" s="468"/>
      <c r="BLG57" s="468"/>
      <c r="BLH57" s="468"/>
      <c r="BLI57" s="468"/>
      <c r="BLJ57" s="468"/>
      <c r="BLK57" s="468"/>
      <c r="BLL57" s="468"/>
      <c r="BLM57" s="468"/>
      <c r="BLN57" s="468"/>
      <c r="BLO57" s="468"/>
      <c r="BLP57" s="468"/>
      <c r="BLQ57" s="468"/>
      <c r="BLR57" s="468"/>
      <c r="BLS57" s="468"/>
      <c r="BLT57" s="468"/>
      <c r="BLU57" s="468"/>
      <c r="BLV57" s="468"/>
      <c r="BLW57" s="468"/>
      <c r="BLX57" s="468"/>
      <c r="BLY57" s="468"/>
      <c r="BLZ57" s="468"/>
      <c r="BMA57" s="468"/>
      <c r="BMB57" s="468"/>
      <c r="BMC57" s="468"/>
      <c r="BMD57" s="468"/>
      <c r="BME57" s="468"/>
      <c r="BMF57" s="468"/>
      <c r="BMG57" s="468"/>
      <c r="BMH57" s="468"/>
      <c r="BMI57" s="468"/>
      <c r="BMJ57" s="468"/>
      <c r="BMK57" s="468"/>
      <c r="BML57" s="468"/>
      <c r="BMM57" s="468"/>
      <c r="BMN57" s="468"/>
      <c r="BMO57" s="468"/>
      <c r="BMP57" s="468"/>
      <c r="BMQ57" s="468"/>
      <c r="BMR57" s="468"/>
      <c r="BMS57" s="468"/>
      <c r="BMT57" s="468"/>
      <c r="BMU57" s="468"/>
      <c r="BMV57" s="468"/>
      <c r="BMW57" s="468"/>
      <c r="BMX57" s="468"/>
      <c r="BMY57" s="468"/>
      <c r="BMZ57" s="468"/>
      <c r="BNA57" s="468"/>
      <c r="BNB57" s="468"/>
      <c r="BNC57" s="468"/>
      <c r="BND57" s="468"/>
      <c r="BNE57" s="468"/>
      <c r="BNF57" s="468"/>
      <c r="BNG57" s="468"/>
      <c r="BNH57" s="468"/>
      <c r="BNI57" s="468"/>
      <c r="BNJ57" s="468"/>
      <c r="BNK57" s="468"/>
      <c r="BNL57" s="468"/>
      <c r="BNM57" s="468"/>
      <c r="BNN57" s="468"/>
      <c r="BNO57" s="468"/>
      <c r="BNP57" s="468"/>
      <c r="BNQ57" s="468"/>
      <c r="BNR57" s="468"/>
      <c r="BNS57" s="468"/>
      <c r="BNT57" s="468"/>
      <c r="BNU57" s="468"/>
      <c r="BNV57" s="468"/>
      <c r="BNW57" s="468"/>
      <c r="BNX57" s="468"/>
      <c r="BNY57" s="468"/>
      <c r="BNZ57" s="468"/>
      <c r="BOA57" s="468"/>
      <c r="BOB57" s="468"/>
      <c r="BOC57" s="468"/>
      <c r="BOD57" s="468"/>
      <c r="BOE57" s="468"/>
      <c r="BOF57" s="468"/>
      <c r="BOG57" s="468"/>
      <c r="BOH57" s="468"/>
      <c r="BOI57" s="468"/>
      <c r="BOJ57" s="468"/>
      <c r="BOK57" s="468"/>
      <c r="BOL57" s="468"/>
      <c r="BOM57" s="468"/>
      <c r="BON57" s="468"/>
      <c r="BOO57" s="468"/>
      <c r="BOP57" s="468"/>
      <c r="BOQ57" s="468"/>
      <c r="BOR57" s="468"/>
      <c r="BOS57" s="468"/>
      <c r="BOT57" s="468"/>
      <c r="BOU57" s="468"/>
      <c r="BOV57" s="468"/>
      <c r="BOW57" s="468"/>
      <c r="BOX57" s="468"/>
      <c r="BOY57" s="468"/>
      <c r="BOZ57" s="468"/>
      <c r="BPA57" s="468"/>
      <c r="BPB57" s="468"/>
      <c r="BPC57" s="468"/>
      <c r="BPD57" s="468"/>
      <c r="BPE57" s="468"/>
      <c r="BPF57" s="468"/>
      <c r="BPG57" s="468"/>
      <c r="BPH57" s="468"/>
      <c r="BPI57" s="468"/>
      <c r="BPJ57" s="468"/>
      <c r="BPK57" s="468"/>
      <c r="BPL57" s="468"/>
      <c r="BPM57" s="468"/>
      <c r="BPN57" s="468"/>
      <c r="BPO57" s="468"/>
      <c r="BPP57" s="468"/>
      <c r="BPQ57" s="468"/>
      <c r="BPR57" s="468"/>
      <c r="BPS57" s="468"/>
      <c r="BPT57" s="468"/>
      <c r="BPU57" s="468"/>
      <c r="BPV57" s="468"/>
      <c r="BPW57" s="468"/>
      <c r="BPX57" s="468"/>
      <c r="BPY57" s="468"/>
      <c r="BPZ57" s="468"/>
      <c r="BQA57" s="468"/>
      <c r="BQB57" s="468"/>
      <c r="BQC57" s="468"/>
      <c r="BQD57" s="468"/>
      <c r="BQE57" s="468"/>
      <c r="BQF57" s="468"/>
      <c r="BQG57" s="468"/>
      <c r="BQH57" s="468"/>
      <c r="BQI57" s="468"/>
      <c r="BQJ57" s="468"/>
      <c r="BQK57" s="468"/>
      <c r="BQL57" s="468"/>
      <c r="BQM57" s="468"/>
      <c r="BQN57" s="468"/>
      <c r="BQO57" s="468"/>
      <c r="BQP57" s="468"/>
      <c r="BQQ57" s="468"/>
      <c r="BQR57" s="468"/>
      <c r="BQS57" s="468"/>
      <c r="BQT57" s="468"/>
      <c r="BQU57" s="468"/>
      <c r="BQV57" s="468"/>
      <c r="BQW57" s="468"/>
      <c r="BQX57" s="468"/>
      <c r="BQY57" s="468"/>
      <c r="BQZ57" s="468"/>
      <c r="BRA57" s="468"/>
      <c r="BRB57" s="468"/>
      <c r="BRC57" s="468"/>
      <c r="BRD57" s="468"/>
      <c r="BRE57" s="468"/>
      <c r="BRF57" s="468"/>
      <c r="BRG57" s="468"/>
      <c r="BRH57" s="468"/>
      <c r="BRI57" s="468"/>
      <c r="BRJ57" s="468"/>
      <c r="BRK57" s="468"/>
      <c r="BRL57" s="468"/>
      <c r="BRM57" s="468"/>
      <c r="BRN57" s="468"/>
      <c r="BRO57" s="468"/>
      <c r="BRP57" s="468"/>
      <c r="BRQ57" s="468"/>
      <c r="BRR57" s="468"/>
      <c r="BRS57" s="468"/>
      <c r="BRT57" s="468"/>
      <c r="BRU57" s="468"/>
      <c r="BRV57" s="468"/>
      <c r="BRW57" s="468"/>
      <c r="BRX57" s="468"/>
      <c r="BRY57" s="468"/>
      <c r="BRZ57" s="468"/>
      <c r="BSA57" s="468"/>
      <c r="BSB57" s="468"/>
      <c r="BSC57" s="468"/>
      <c r="BSD57" s="468"/>
      <c r="BSE57" s="468"/>
      <c r="BSF57" s="468"/>
      <c r="BSG57" s="468"/>
      <c r="BSH57" s="468"/>
      <c r="BSI57" s="468"/>
      <c r="BSJ57" s="468"/>
      <c r="BSK57" s="468"/>
      <c r="BSL57" s="468"/>
      <c r="BSM57" s="468"/>
      <c r="BSN57" s="468"/>
      <c r="BSO57" s="468"/>
      <c r="BSP57" s="468"/>
      <c r="BSQ57" s="468"/>
      <c r="BSR57" s="468"/>
      <c r="BSS57" s="468"/>
      <c r="BST57" s="468"/>
      <c r="BSU57" s="468"/>
      <c r="BSV57" s="468"/>
      <c r="BSW57" s="468"/>
      <c r="BSX57" s="468"/>
      <c r="BSY57" s="468"/>
      <c r="BSZ57" s="468"/>
      <c r="BTA57" s="468"/>
      <c r="BTB57" s="468"/>
      <c r="BTC57" s="468"/>
      <c r="BTD57" s="468"/>
      <c r="BTE57" s="468"/>
      <c r="BTF57" s="468"/>
      <c r="BTG57" s="468"/>
      <c r="BTH57" s="468"/>
      <c r="BTI57" s="468"/>
      <c r="BTJ57" s="468"/>
      <c r="BTK57" s="468"/>
      <c r="BTL57" s="468"/>
      <c r="BTM57" s="468"/>
      <c r="BTN57" s="468"/>
      <c r="BTO57" s="468"/>
      <c r="BTP57" s="468"/>
      <c r="BTQ57" s="468"/>
      <c r="BTR57" s="468"/>
      <c r="BTS57" s="468"/>
      <c r="BTT57" s="468"/>
      <c r="BTU57" s="468"/>
      <c r="BTV57" s="468"/>
      <c r="BTW57" s="468"/>
      <c r="BTX57" s="468"/>
      <c r="BTY57" s="468"/>
      <c r="BTZ57" s="468"/>
      <c r="BUA57" s="468"/>
      <c r="BUB57" s="468"/>
      <c r="BUC57" s="468"/>
      <c r="BUD57" s="468"/>
      <c r="BUE57" s="468"/>
      <c r="BUF57" s="468"/>
      <c r="BUG57" s="468"/>
      <c r="BUH57" s="468"/>
      <c r="BUI57" s="468"/>
      <c r="BUJ57" s="468"/>
      <c r="BUK57" s="468"/>
      <c r="BUL57" s="468"/>
      <c r="BUM57" s="468"/>
      <c r="BUN57" s="468"/>
      <c r="BUO57" s="468"/>
      <c r="BUP57" s="468"/>
      <c r="BUQ57" s="468"/>
      <c r="BUR57" s="468"/>
      <c r="BUS57" s="468"/>
      <c r="BUT57" s="468"/>
      <c r="BUU57" s="468"/>
      <c r="BUV57" s="468"/>
      <c r="BUW57" s="468"/>
      <c r="BUX57" s="468"/>
      <c r="BUY57" s="468"/>
      <c r="BUZ57" s="468"/>
      <c r="BVA57" s="468"/>
      <c r="BVB57" s="468"/>
      <c r="BVC57" s="468"/>
      <c r="BVD57" s="468"/>
      <c r="BVE57" s="468"/>
      <c r="BVF57" s="468"/>
      <c r="BVG57" s="468"/>
      <c r="BVH57" s="468"/>
      <c r="BVI57" s="468"/>
      <c r="BVJ57" s="468"/>
      <c r="BVK57" s="468"/>
      <c r="BVL57" s="468"/>
      <c r="BVM57" s="468"/>
      <c r="BVN57" s="468"/>
      <c r="BVO57" s="468"/>
      <c r="BVP57" s="468"/>
      <c r="BVQ57" s="468"/>
      <c r="BVR57" s="468"/>
      <c r="BVS57" s="468"/>
      <c r="BVT57" s="468"/>
      <c r="BVU57" s="468"/>
      <c r="BVV57" s="468"/>
      <c r="BVW57" s="468"/>
      <c r="BVX57" s="468"/>
      <c r="BVY57" s="468"/>
      <c r="BVZ57" s="468"/>
      <c r="BWA57" s="468"/>
      <c r="BWB57" s="468"/>
      <c r="BWC57" s="468"/>
      <c r="BWD57" s="468"/>
      <c r="BWE57" s="468"/>
      <c r="BWF57" s="468"/>
      <c r="BWG57" s="468"/>
      <c r="BWH57" s="468"/>
      <c r="BWI57" s="468"/>
      <c r="BWJ57" s="468"/>
      <c r="BWK57" s="468"/>
      <c r="BWL57" s="468"/>
      <c r="BWM57" s="468"/>
      <c r="BWN57" s="468"/>
      <c r="BWO57" s="468"/>
      <c r="BWP57" s="468"/>
      <c r="BWQ57" s="468"/>
      <c r="BWR57" s="468"/>
      <c r="BWS57" s="468"/>
      <c r="BWT57" s="468"/>
      <c r="BWU57" s="468"/>
      <c r="BWV57" s="468"/>
      <c r="BWW57" s="468"/>
      <c r="BWX57" s="468"/>
      <c r="BWY57" s="468"/>
      <c r="BWZ57" s="468"/>
      <c r="BXA57" s="468"/>
      <c r="BXB57" s="468"/>
      <c r="BXC57" s="468"/>
      <c r="BXD57" s="468"/>
      <c r="BXE57" s="468"/>
      <c r="BXF57" s="468"/>
      <c r="BXG57" s="468"/>
      <c r="BXH57" s="468"/>
      <c r="BXI57" s="468"/>
      <c r="BXJ57" s="468"/>
      <c r="BXK57" s="468"/>
      <c r="BXL57" s="468"/>
      <c r="BXM57" s="468"/>
      <c r="BXN57" s="468"/>
      <c r="BXO57" s="468"/>
      <c r="BXP57" s="468"/>
      <c r="BXQ57" s="468"/>
      <c r="BXR57" s="468"/>
      <c r="BXS57" s="468"/>
      <c r="BXT57" s="468"/>
      <c r="BXU57" s="468"/>
      <c r="BXV57" s="468"/>
      <c r="BXW57" s="468"/>
      <c r="BXX57" s="468"/>
      <c r="BXY57" s="468"/>
      <c r="BXZ57" s="468"/>
      <c r="BYA57" s="468"/>
      <c r="BYB57" s="468"/>
      <c r="BYC57" s="468"/>
      <c r="BYD57" s="468"/>
      <c r="BYE57" s="468"/>
      <c r="BYF57" s="468"/>
      <c r="BYG57" s="468"/>
      <c r="BYH57" s="468"/>
      <c r="BYI57" s="468"/>
      <c r="BYJ57" s="468"/>
      <c r="BYK57" s="468"/>
      <c r="BYL57" s="468"/>
      <c r="BYM57" s="468"/>
      <c r="BYN57" s="468"/>
      <c r="BYO57" s="468"/>
      <c r="BYP57" s="468"/>
      <c r="BYQ57" s="468"/>
      <c r="BYR57" s="468"/>
      <c r="BYS57" s="468"/>
      <c r="BYT57" s="468"/>
      <c r="BYU57" s="468"/>
      <c r="BYV57" s="468"/>
      <c r="BYW57" s="468"/>
      <c r="BYX57" s="468"/>
      <c r="BYY57" s="468"/>
      <c r="BYZ57" s="468"/>
      <c r="BZA57" s="468"/>
      <c r="BZB57" s="468"/>
      <c r="BZC57" s="468"/>
      <c r="BZD57" s="468"/>
      <c r="BZE57" s="468"/>
      <c r="BZF57" s="468"/>
      <c r="BZG57" s="468"/>
      <c r="BZH57" s="468"/>
      <c r="BZI57" s="468"/>
      <c r="BZJ57" s="468"/>
      <c r="BZK57" s="468"/>
      <c r="BZL57" s="468"/>
      <c r="BZM57" s="468"/>
      <c r="BZN57" s="468"/>
      <c r="BZO57" s="468"/>
      <c r="BZP57" s="468"/>
      <c r="BZQ57" s="468"/>
      <c r="BZR57" s="468"/>
      <c r="BZS57" s="468"/>
      <c r="BZT57" s="468"/>
      <c r="BZU57" s="468"/>
      <c r="BZV57" s="468"/>
      <c r="BZW57" s="468"/>
      <c r="BZX57" s="468"/>
      <c r="BZY57" s="468"/>
      <c r="BZZ57" s="468"/>
      <c r="CAA57" s="468"/>
      <c r="CAB57" s="468"/>
      <c r="CAC57" s="468"/>
      <c r="CAD57" s="468"/>
      <c r="CAE57" s="468"/>
      <c r="CAF57" s="468"/>
      <c r="CAG57" s="468"/>
      <c r="CAH57" s="468"/>
      <c r="CAI57" s="468"/>
      <c r="CAJ57" s="468"/>
      <c r="CAK57" s="468"/>
      <c r="CAL57" s="468"/>
      <c r="CAM57" s="468"/>
      <c r="CAN57" s="468"/>
      <c r="CAO57" s="468"/>
      <c r="CAP57" s="468"/>
      <c r="CAQ57" s="468"/>
      <c r="CAR57" s="468"/>
      <c r="CAS57" s="468"/>
      <c r="CAT57" s="468"/>
      <c r="CAU57" s="468"/>
      <c r="CAV57" s="468"/>
      <c r="CAW57" s="468"/>
      <c r="CAX57" s="468"/>
      <c r="CAY57" s="468"/>
      <c r="CAZ57" s="468"/>
      <c r="CBA57" s="468"/>
      <c r="CBB57" s="468"/>
      <c r="CBC57" s="468"/>
      <c r="CBD57" s="468"/>
      <c r="CBE57" s="468"/>
      <c r="CBF57" s="468"/>
      <c r="CBG57" s="468"/>
      <c r="CBH57" s="468"/>
      <c r="CBI57" s="468"/>
      <c r="CBJ57" s="468"/>
      <c r="CBK57" s="468"/>
      <c r="CBL57" s="468"/>
      <c r="CBM57" s="468"/>
      <c r="CBN57" s="468"/>
      <c r="CBO57" s="468"/>
      <c r="CBP57" s="468"/>
      <c r="CBQ57" s="468"/>
      <c r="CBR57" s="468"/>
      <c r="CBS57" s="468"/>
      <c r="CBT57" s="468"/>
      <c r="CBU57" s="468"/>
      <c r="CBV57" s="468"/>
      <c r="CBW57" s="468"/>
      <c r="CBX57" s="468"/>
      <c r="CBY57" s="468"/>
      <c r="CBZ57" s="468"/>
      <c r="CCA57" s="468"/>
      <c r="CCB57" s="468"/>
      <c r="CCC57" s="468"/>
      <c r="CCD57" s="468"/>
      <c r="CCE57" s="468"/>
      <c r="CCF57" s="468"/>
      <c r="CCG57" s="468"/>
      <c r="CCH57" s="468"/>
      <c r="CCI57" s="468"/>
      <c r="CCJ57" s="468"/>
      <c r="CCK57" s="468"/>
      <c r="CCL57" s="468"/>
      <c r="CCM57" s="468"/>
      <c r="CCN57" s="468"/>
      <c r="CCO57" s="468"/>
      <c r="CCP57" s="468"/>
      <c r="CCQ57" s="468"/>
      <c r="CCR57" s="468"/>
      <c r="CCS57" s="468"/>
      <c r="CCT57" s="468"/>
      <c r="CCU57" s="468"/>
      <c r="CCV57" s="468"/>
      <c r="CCW57" s="468"/>
      <c r="CCX57" s="468"/>
      <c r="CCY57" s="468"/>
      <c r="CCZ57" s="468"/>
      <c r="CDA57" s="468"/>
      <c r="CDB57" s="468"/>
      <c r="CDC57" s="468"/>
      <c r="CDD57" s="468"/>
      <c r="CDE57" s="468"/>
      <c r="CDF57" s="468"/>
      <c r="CDG57" s="468"/>
      <c r="CDH57" s="468"/>
      <c r="CDI57" s="468"/>
      <c r="CDJ57" s="468"/>
      <c r="CDK57" s="468"/>
      <c r="CDL57" s="468"/>
      <c r="CDM57" s="468"/>
      <c r="CDN57" s="468"/>
      <c r="CDO57" s="468"/>
      <c r="CDP57" s="468"/>
      <c r="CDQ57" s="468"/>
      <c r="CDR57" s="468"/>
      <c r="CDS57" s="468"/>
      <c r="CDT57" s="468"/>
      <c r="CDU57" s="468"/>
      <c r="CDV57" s="468"/>
      <c r="CDW57" s="468"/>
      <c r="CDX57" s="468"/>
      <c r="CDY57" s="468"/>
      <c r="CDZ57" s="468"/>
      <c r="CEA57" s="468"/>
      <c r="CEB57" s="468"/>
      <c r="CEC57" s="468"/>
      <c r="CED57" s="468"/>
      <c r="CEE57" s="468"/>
      <c r="CEF57" s="468"/>
      <c r="CEG57" s="468"/>
      <c r="CEH57" s="468"/>
      <c r="CEI57" s="468"/>
      <c r="CEJ57" s="468"/>
      <c r="CEK57" s="468"/>
      <c r="CEL57" s="468"/>
      <c r="CEM57" s="468"/>
      <c r="CEN57" s="468"/>
      <c r="CEO57" s="468"/>
      <c r="CEP57" s="468"/>
      <c r="CEQ57" s="468"/>
      <c r="CER57" s="468"/>
      <c r="CES57" s="468"/>
      <c r="CET57" s="468"/>
      <c r="CEU57" s="468"/>
      <c r="CEV57" s="468"/>
      <c r="CEW57" s="468"/>
      <c r="CEX57" s="468"/>
      <c r="CEY57" s="468"/>
      <c r="CEZ57" s="468"/>
      <c r="CFA57" s="468"/>
      <c r="CFB57" s="468"/>
      <c r="CFC57" s="468"/>
      <c r="CFD57" s="468"/>
      <c r="CFE57" s="468"/>
      <c r="CFF57" s="468"/>
      <c r="CFG57" s="468"/>
      <c r="CFH57" s="468"/>
      <c r="CFI57" s="468"/>
      <c r="CFJ57" s="468"/>
      <c r="CFK57" s="468"/>
      <c r="CFL57" s="468"/>
      <c r="CFM57" s="468"/>
      <c r="CFN57" s="468"/>
      <c r="CFO57" s="468"/>
      <c r="CFP57" s="468"/>
      <c r="CFQ57" s="468"/>
      <c r="CFR57" s="468"/>
      <c r="CFS57" s="468"/>
      <c r="CFT57" s="468"/>
      <c r="CFU57" s="468"/>
      <c r="CFV57" s="468"/>
      <c r="CFW57" s="468"/>
      <c r="CFX57" s="468"/>
      <c r="CFY57" s="468"/>
      <c r="CFZ57" s="468"/>
      <c r="CGA57" s="468"/>
      <c r="CGB57" s="468"/>
      <c r="CGC57" s="468"/>
      <c r="CGD57" s="468"/>
      <c r="CGE57" s="468"/>
      <c r="CGF57" s="468"/>
      <c r="CGG57" s="468"/>
      <c r="CGH57" s="468"/>
      <c r="CGI57" s="468"/>
      <c r="CGJ57" s="468"/>
      <c r="CGK57" s="468"/>
      <c r="CGL57" s="468"/>
      <c r="CGM57" s="468"/>
      <c r="CGN57" s="468"/>
      <c r="CGO57" s="468"/>
      <c r="CGP57" s="468"/>
      <c r="CGQ57" s="468"/>
      <c r="CGR57" s="468"/>
      <c r="CGS57" s="468"/>
      <c r="CGT57" s="468"/>
      <c r="CGU57" s="468"/>
      <c r="CGV57" s="468"/>
      <c r="CGW57" s="468"/>
      <c r="CGX57" s="468"/>
      <c r="CGY57" s="468"/>
      <c r="CGZ57" s="468"/>
      <c r="CHA57" s="468"/>
      <c r="CHB57" s="468"/>
      <c r="CHC57" s="468"/>
      <c r="CHD57" s="468"/>
      <c r="CHE57" s="468"/>
      <c r="CHF57" s="468"/>
      <c r="CHG57" s="468"/>
      <c r="CHH57" s="468"/>
      <c r="CHI57" s="468"/>
      <c r="CHJ57" s="468"/>
      <c r="CHK57" s="468"/>
      <c r="CHL57" s="468"/>
      <c r="CHM57" s="468"/>
      <c r="CHN57" s="468"/>
      <c r="CHO57" s="468"/>
      <c r="CHP57" s="468"/>
      <c r="CHQ57" s="468"/>
      <c r="CHR57" s="468"/>
      <c r="CHS57" s="468"/>
      <c r="CHT57" s="468"/>
      <c r="CHU57" s="468"/>
      <c r="CHV57" s="468"/>
      <c r="CHW57" s="468"/>
      <c r="CHX57" s="468"/>
      <c r="CHY57" s="468"/>
      <c r="CHZ57" s="468"/>
      <c r="CIA57" s="468"/>
      <c r="CIB57" s="468"/>
      <c r="CIC57" s="468"/>
      <c r="CID57" s="468"/>
      <c r="CIE57" s="468"/>
      <c r="CIF57" s="468"/>
      <c r="CIG57" s="468"/>
      <c r="CIH57" s="468"/>
      <c r="CII57" s="468"/>
      <c r="CIJ57" s="468"/>
      <c r="CIK57" s="468"/>
      <c r="CIL57" s="468"/>
      <c r="CIM57" s="468"/>
      <c r="CIN57" s="468"/>
      <c r="CIO57" s="468"/>
      <c r="CIP57" s="468"/>
      <c r="CIQ57" s="468"/>
      <c r="CIR57" s="468"/>
      <c r="CIS57" s="468"/>
      <c r="CIT57" s="468"/>
      <c r="CIU57" s="468"/>
      <c r="CIV57" s="468"/>
      <c r="CIW57" s="468"/>
      <c r="CIX57" s="468"/>
      <c r="CIY57" s="468"/>
      <c r="CIZ57" s="468"/>
      <c r="CJA57" s="468"/>
      <c r="CJB57" s="468"/>
      <c r="CJC57" s="468"/>
      <c r="CJD57" s="468"/>
      <c r="CJE57" s="468"/>
      <c r="CJF57" s="468"/>
      <c r="CJG57" s="468"/>
      <c r="CJH57" s="468"/>
      <c r="CJI57" s="468"/>
      <c r="CJJ57" s="468"/>
      <c r="CJK57" s="468"/>
      <c r="CJL57" s="468"/>
      <c r="CJM57" s="468"/>
      <c r="CJN57" s="468"/>
      <c r="CJO57" s="468"/>
      <c r="CJP57" s="468"/>
      <c r="CJQ57" s="468"/>
      <c r="CJR57" s="468"/>
      <c r="CJS57" s="468"/>
      <c r="CJT57" s="468"/>
      <c r="CJU57" s="468"/>
      <c r="CJV57" s="468"/>
      <c r="CJW57" s="468"/>
      <c r="CJX57" s="468"/>
      <c r="CJY57" s="468"/>
      <c r="CJZ57" s="468"/>
      <c r="CKA57" s="468"/>
      <c r="CKB57" s="468"/>
      <c r="CKC57" s="468"/>
      <c r="CKD57" s="468"/>
      <c r="CKE57" s="468"/>
      <c r="CKF57" s="468"/>
      <c r="CKG57" s="468"/>
      <c r="CKH57" s="468"/>
      <c r="CKI57" s="468"/>
      <c r="CKJ57" s="468"/>
      <c r="CKK57" s="468"/>
      <c r="CKL57" s="468"/>
      <c r="CKM57" s="468"/>
      <c r="CKN57" s="468"/>
      <c r="CKO57" s="468"/>
      <c r="CKP57" s="468"/>
      <c r="CKQ57" s="468"/>
      <c r="CKR57" s="468"/>
      <c r="CKS57" s="468"/>
      <c r="CKT57" s="468"/>
      <c r="CKU57" s="468"/>
      <c r="CKV57" s="468"/>
      <c r="CKW57" s="468"/>
      <c r="CKX57" s="468"/>
      <c r="CKY57" s="468"/>
      <c r="CKZ57" s="468"/>
      <c r="CLA57" s="468"/>
      <c r="CLB57" s="468"/>
      <c r="CLC57" s="468"/>
      <c r="CLD57" s="468"/>
      <c r="CLE57" s="468"/>
      <c r="CLF57" s="468"/>
      <c r="CLG57" s="468"/>
      <c r="CLH57" s="468"/>
      <c r="CLI57" s="468"/>
      <c r="CLJ57" s="468"/>
      <c r="CLK57" s="468"/>
      <c r="CLL57" s="468"/>
      <c r="CLM57" s="468"/>
      <c r="CLN57" s="468"/>
      <c r="CLO57" s="468"/>
      <c r="CLP57" s="468"/>
      <c r="CLQ57" s="468"/>
      <c r="CLR57" s="468"/>
      <c r="CLS57" s="468"/>
      <c r="CLT57" s="468"/>
      <c r="CLU57" s="468"/>
      <c r="CLV57" s="468"/>
      <c r="CLW57" s="468"/>
      <c r="CLX57" s="468"/>
      <c r="CLY57" s="468"/>
      <c r="CLZ57" s="468"/>
      <c r="CMA57" s="468"/>
      <c r="CMB57" s="468"/>
      <c r="CMC57" s="468"/>
      <c r="CMD57" s="468"/>
      <c r="CME57" s="468"/>
      <c r="CMF57" s="468"/>
      <c r="CMG57" s="468"/>
      <c r="CMH57" s="468"/>
      <c r="CMI57" s="468"/>
      <c r="CMJ57" s="468"/>
      <c r="CMK57" s="468"/>
      <c r="CML57" s="468"/>
      <c r="CMM57" s="468"/>
      <c r="CMN57" s="468"/>
      <c r="CMO57" s="468"/>
      <c r="CMP57" s="468"/>
      <c r="CMQ57" s="468"/>
      <c r="CMR57" s="468"/>
      <c r="CMS57" s="468"/>
      <c r="CMT57" s="468"/>
      <c r="CMU57" s="468"/>
      <c r="CMV57" s="468"/>
      <c r="CMW57" s="468"/>
      <c r="CMX57" s="468"/>
      <c r="CMY57" s="468"/>
      <c r="CMZ57" s="468"/>
      <c r="CNA57" s="468"/>
      <c r="CNB57" s="468"/>
      <c r="CNC57" s="468"/>
      <c r="CND57" s="468"/>
      <c r="CNE57" s="468"/>
      <c r="CNF57" s="468"/>
      <c r="CNG57" s="468"/>
      <c r="CNH57" s="468"/>
      <c r="CNI57" s="468"/>
      <c r="CNJ57" s="468"/>
      <c r="CNK57" s="468"/>
      <c r="CNL57" s="468"/>
      <c r="CNM57" s="468"/>
      <c r="CNN57" s="468"/>
      <c r="CNO57" s="468"/>
      <c r="CNP57" s="468"/>
      <c r="CNQ57" s="468"/>
      <c r="CNR57" s="468"/>
      <c r="CNS57" s="468"/>
      <c r="CNT57" s="468"/>
      <c r="CNU57" s="468"/>
      <c r="CNV57" s="468"/>
      <c r="CNW57" s="468"/>
      <c r="CNX57" s="468"/>
      <c r="CNY57" s="468"/>
      <c r="CNZ57" s="468"/>
      <c r="COA57" s="468"/>
      <c r="COB57" s="468"/>
      <c r="COC57" s="468"/>
      <c r="COD57" s="468"/>
      <c r="COE57" s="468"/>
      <c r="COF57" s="468"/>
      <c r="COG57" s="468"/>
      <c r="COH57" s="468"/>
      <c r="COI57" s="468"/>
      <c r="COJ57" s="468"/>
      <c r="COK57" s="468"/>
      <c r="COL57" s="468"/>
      <c r="COM57" s="468"/>
      <c r="CON57" s="468"/>
      <c r="COO57" s="468"/>
      <c r="COP57" s="468"/>
      <c r="COQ57" s="468"/>
      <c r="COR57" s="468"/>
      <c r="COS57" s="468"/>
      <c r="COT57" s="468"/>
      <c r="COU57" s="468"/>
      <c r="COV57" s="468"/>
      <c r="COW57" s="468"/>
      <c r="COX57" s="468"/>
      <c r="COY57" s="468"/>
      <c r="COZ57" s="468"/>
      <c r="CPA57" s="468"/>
      <c r="CPB57" s="468"/>
      <c r="CPC57" s="468"/>
      <c r="CPD57" s="468"/>
      <c r="CPE57" s="468"/>
      <c r="CPF57" s="468"/>
      <c r="CPG57" s="468"/>
      <c r="CPH57" s="468"/>
      <c r="CPI57" s="468"/>
      <c r="CPJ57" s="468"/>
      <c r="CPK57" s="468"/>
      <c r="CPL57" s="468"/>
      <c r="CPM57" s="468"/>
      <c r="CPN57" s="468"/>
      <c r="CPO57" s="468"/>
      <c r="CPP57" s="468"/>
      <c r="CPQ57" s="468"/>
      <c r="CPR57" s="468"/>
      <c r="CPS57" s="468"/>
      <c r="CPT57" s="468"/>
      <c r="CPU57" s="468"/>
      <c r="CPV57" s="468"/>
      <c r="CPW57" s="468"/>
      <c r="CPX57" s="468"/>
      <c r="CPY57" s="468"/>
      <c r="CPZ57" s="468"/>
      <c r="CQA57" s="468"/>
      <c r="CQB57" s="468"/>
      <c r="CQC57" s="468"/>
      <c r="CQD57" s="468"/>
      <c r="CQE57" s="468"/>
      <c r="CQF57" s="468"/>
      <c r="CQG57" s="468"/>
      <c r="CQH57" s="468"/>
      <c r="CQI57" s="468"/>
      <c r="CQJ57" s="468"/>
      <c r="CQK57" s="468"/>
      <c r="CQL57" s="468"/>
      <c r="CQM57" s="468"/>
      <c r="CQN57" s="468"/>
      <c r="CQO57" s="468"/>
      <c r="CQP57" s="468"/>
      <c r="CQQ57" s="468"/>
      <c r="CQR57" s="468"/>
      <c r="CQS57" s="468"/>
      <c r="CQT57" s="468"/>
      <c r="CQU57" s="468"/>
      <c r="CQV57" s="468"/>
      <c r="CQW57" s="468"/>
      <c r="CQX57" s="468"/>
      <c r="CQY57" s="468"/>
      <c r="CQZ57" s="468"/>
      <c r="CRA57" s="468"/>
      <c r="CRB57" s="468"/>
      <c r="CRC57" s="468"/>
      <c r="CRD57" s="468"/>
      <c r="CRE57" s="468"/>
      <c r="CRF57" s="468"/>
      <c r="CRG57" s="468"/>
      <c r="CRH57" s="468"/>
      <c r="CRI57" s="468"/>
      <c r="CRJ57" s="468"/>
      <c r="CRK57" s="468"/>
      <c r="CRL57" s="468"/>
      <c r="CRM57" s="468"/>
      <c r="CRN57" s="468"/>
      <c r="CRO57" s="468"/>
      <c r="CRP57" s="468"/>
      <c r="CRQ57" s="468"/>
      <c r="CRR57" s="468"/>
      <c r="CRS57" s="468"/>
      <c r="CRT57" s="468"/>
      <c r="CRU57" s="468"/>
      <c r="CRV57" s="468"/>
      <c r="CRW57" s="468"/>
      <c r="CRX57" s="468"/>
      <c r="CRY57" s="468"/>
      <c r="CRZ57" s="468"/>
      <c r="CSA57" s="468"/>
      <c r="CSB57" s="468"/>
      <c r="CSC57" s="468"/>
      <c r="CSD57" s="468"/>
      <c r="CSE57" s="468"/>
      <c r="CSF57" s="468"/>
      <c r="CSG57" s="468"/>
      <c r="CSH57" s="468"/>
      <c r="CSI57" s="468"/>
      <c r="CSJ57" s="468"/>
      <c r="CSK57" s="468"/>
      <c r="CSL57" s="468"/>
      <c r="CSM57" s="468"/>
      <c r="CSN57" s="468"/>
      <c r="CSO57" s="468"/>
      <c r="CSP57" s="468"/>
      <c r="CSQ57" s="468"/>
      <c r="CSR57" s="468"/>
      <c r="CSS57" s="468"/>
      <c r="CST57" s="468"/>
      <c r="CSU57" s="468"/>
      <c r="CSV57" s="468"/>
      <c r="CSW57" s="468"/>
      <c r="CSX57" s="468"/>
      <c r="CSY57" s="468"/>
      <c r="CSZ57" s="468"/>
      <c r="CTA57" s="468"/>
      <c r="CTB57" s="468"/>
      <c r="CTC57" s="468"/>
      <c r="CTD57" s="468"/>
      <c r="CTE57" s="468"/>
      <c r="CTF57" s="468"/>
      <c r="CTG57" s="468"/>
      <c r="CTH57" s="468"/>
      <c r="CTI57" s="468"/>
      <c r="CTJ57" s="468"/>
      <c r="CTK57" s="468"/>
      <c r="CTL57" s="468"/>
      <c r="CTM57" s="468"/>
      <c r="CTN57" s="468"/>
      <c r="CTO57" s="468"/>
      <c r="CTP57" s="468"/>
      <c r="CTQ57" s="468"/>
      <c r="CTR57" s="468"/>
      <c r="CTS57" s="468"/>
      <c r="CTT57" s="468"/>
      <c r="CTU57" s="468"/>
      <c r="CTV57" s="468"/>
      <c r="CTW57" s="468"/>
      <c r="CTX57" s="468"/>
      <c r="CTY57" s="468"/>
      <c r="CTZ57" s="468"/>
      <c r="CUA57" s="468"/>
      <c r="CUB57" s="468"/>
      <c r="CUC57" s="468"/>
      <c r="CUD57" s="468"/>
      <c r="CUE57" s="468"/>
      <c r="CUF57" s="468"/>
      <c r="CUG57" s="468"/>
      <c r="CUH57" s="468"/>
      <c r="CUI57" s="468"/>
      <c r="CUJ57" s="468"/>
      <c r="CUK57" s="468"/>
      <c r="CUL57" s="468"/>
      <c r="CUM57" s="468"/>
      <c r="CUN57" s="468"/>
      <c r="CUO57" s="468"/>
      <c r="CUP57" s="468"/>
      <c r="CUQ57" s="468"/>
      <c r="CUR57" s="468"/>
      <c r="CUS57" s="468"/>
      <c r="CUT57" s="468"/>
      <c r="CUU57" s="468"/>
      <c r="CUV57" s="468"/>
      <c r="CUW57" s="468"/>
      <c r="CUX57" s="468"/>
      <c r="CUY57" s="468"/>
      <c r="CUZ57" s="468"/>
      <c r="CVA57" s="468"/>
      <c r="CVB57" s="468"/>
      <c r="CVC57" s="468"/>
      <c r="CVD57" s="468"/>
      <c r="CVE57" s="468"/>
      <c r="CVF57" s="468"/>
      <c r="CVG57" s="468"/>
      <c r="CVH57" s="468"/>
      <c r="CVI57" s="468"/>
      <c r="CVJ57" s="468"/>
      <c r="CVK57" s="468"/>
      <c r="CVL57" s="468"/>
      <c r="CVM57" s="468"/>
      <c r="CVN57" s="468"/>
      <c r="CVO57" s="468"/>
      <c r="CVP57" s="468"/>
      <c r="CVQ57" s="468"/>
      <c r="CVR57" s="468"/>
      <c r="CVS57" s="468"/>
      <c r="CVT57" s="468"/>
      <c r="CVU57" s="468"/>
      <c r="CVV57" s="468"/>
      <c r="CVW57" s="468"/>
      <c r="CVX57" s="468"/>
      <c r="CVY57" s="468"/>
      <c r="CVZ57" s="468"/>
      <c r="CWA57" s="468"/>
      <c r="CWB57" s="468"/>
      <c r="CWC57" s="468"/>
      <c r="CWD57" s="468"/>
      <c r="CWE57" s="468"/>
      <c r="CWF57" s="468"/>
      <c r="CWG57" s="468"/>
      <c r="CWH57" s="468"/>
      <c r="CWI57" s="468"/>
      <c r="CWJ57" s="468"/>
      <c r="CWK57" s="468"/>
      <c r="CWL57" s="468"/>
      <c r="CWM57" s="468"/>
      <c r="CWN57" s="468"/>
      <c r="CWO57" s="468"/>
      <c r="CWP57" s="468"/>
      <c r="CWQ57" s="468"/>
      <c r="CWR57" s="468"/>
      <c r="CWS57" s="468"/>
      <c r="CWT57" s="468"/>
      <c r="CWU57" s="468"/>
      <c r="CWV57" s="468"/>
      <c r="CWW57" s="468"/>
      <c r="CWX57" s="468"/>
      <c r="CWY57" s="468"/>
      <c r="CWZ57" s="468"/>
      <c r="CXA57" s="468"/>
      <c r="CXB57" s="468"/>
      <c r="CXC57" s="468"/>
      <c r="CXD57" s="468"/>
      <c r="CXE57" s="468"/>
      <c r="CXF57" s="468"/>
      <c r="CXG57" s="468"/>
      <c r="CXH57" s="468"/>
      <c r="CXI57" s="468"/>
      <c r="CXJ57" s="468"/>
      <c r="CXK57" s="468"/>
      <c r="CXL57" s="468"/>
      <c r="CXM57" s="468"/>
      <c r="CXN57" s="468"/>
      <c r="CXO57" s="468"/>
      <c r="CXP57" s="468"/>
      <c r="CXQ57" s="468"/>
      <c r="CXR57" s="468"/>
      <c r="CXS57" s="468"/>
      <c r="CXT57" s="468"/>
      <c r="CXU57" s="468"/>
      <c r="CXV57" s="468"/>
      <c r="CXW57" s="468"/>
      <c r="CXX57" s="468"/>
      <c r="CXY57" s="468"/>
      <c r="CXZ57" s="468"/>
      <c r="CYA57" s="468"/>
      <c r="CYB57" s="468"/>
      <c r="CYC57" s="468"/>
      <c r="CYD57" s="468"/>
      <c r="CYE57" s="468"/>
      <c r="CYF57" s="468"/>
      <c r="CYG57" s="468"/>
      <c r="CYH57" s="468"/>
      <c r="CYI57" s="468"/>
      <c r="CYJ57" s="468"/>
      <c r="CYK57" s="468"/>
      <c r="CYL57" s="468"/>
      <c r="CYM57" s="468"/>
      <c r="CYN57" s="468"/>
      <c r="CYO57" s="468"/>
      <c r="CYP57" s="468"/>
      <c r="CYQ57" s="468"/>
      <c r="CYR57" s="468"/>
      <c r="CYS57" s="468"/>
      <c r="CYT57" s="468"/>
      <c r="CYU57" s="468"/>
      <c r="CYV57" s="468"/>
      <c r="CYW57" s="468"/>
      <c r="CYX57" s="468"/>
      <c r="CYY57" s="468"/>
      <c r="CYZ57" s="468"/>
      <c r="CZA57" s="468"/>
      <c r="CZB57" s="468"/>
      <c r="CZC57" s="468"/>
      <c r="CZD57" s="468"/>
      <c r="CZE57" s="468"/>
      <c r="CZF57" s="468"/>
      <c r="CZG57" s="468"/>
      <c r="CZH57" s="468"/>
      <c r="CZI57" s="468"/>
      <c r="CZJ57" s="468"/>
      <c r="CZK57" s="468"/>
      <c r="CZL57" s="468"/>
      <c r="CZM57" s="468"/>
      <c r="CZN57" s="468"/>
      <c r="CZO57" s="468"/>
      <c r="CZP57" s="468"/>
      <c r="CZQ57" s="468"/>
      <c r="CZR57" s="468"/>
      <c r="CZS57" s="468"/>
      <c r="CZT57" s="468"/>
      <c r="CZU57" s="468"/>
      <c r="CZV57" s="468"/>
      <c r="CZW57" s="468"/>
      <c r="CZX57" s="468"/>
      <c r="CZY57" s="468"/>
      <c r="CZZ57" s="468"/>
      <c r="DAA57" s="468"/>
      <c r="DAB57" s="468"/>
      <c r="DAC57" s="468"/>
      <c r="DAD57" s="468"/>
      <c r="DAE57" s="468"/>
      <c r="DAF57" s="468"/>
      <c r="DAG57" s="468"/>
      <c r="DAH57" s="468"/>
      <c r="DAI57" s="468"/>
      <c r="DAJ57" s="468"/>
      <c r="DAK57" s="468"/>
      <c r="DAL57" s="468"/>
      <c r="DAM57" s="468"/>
      <c r="DAN57" s="468"/>
      <c r="DAO57" s="468"/>
      <c r="DAP57" s="468"/>
      <c r="DAQ57" s="468"/>
      <c r="DAR57" s="468"/>
      <c r="DAS57" s="468"/>
      <c r="DAT57" s="468"/>
      <c r="DAU57" s="468"/>
      <c r="DAV57" s="468"/>
      <c r="DAW57" s="468"/>
      <c r="DAX57" s="468"/>
      <c r="DAY57" s="468"/>
      <c r="DAZ57" s="468"/>
      <c r="DBA57" s="468"/>
      <c r="DBB57" s="468"/>
      <c r="DBC57" s="468"/>
      <c r="DBD57" s="468"/>
      <c r="DBE57" s="468"/>
      <c r="DBF57" s="468"/>
      <c r="DBG57" s="468"/>
      <c r="DBH57" s="468"/>
      <c r="DBI57" s="468"/>
      <c r="DBJ57" s="468"/>
      <c r="DBK57" s="468"/>
      <c r="DBL57" s="468"/>
      <c r="DBM57" s="468"/>
      <c r="DBN57" s="468"/>
      <c r="DBO57" s="468"/>
      <c r="DBP57" s="468"/>
      <c r="DBQ57" s="468"/>
      <c r="DBR57" s="468"/>
      <c r="DBS57" s="468"/>
      <c r="DBT57" s="468"/>
      <c r="DBU57" s="468"/>
      <c r="DBV57" s="468"/>
      <c r="DBW57" s="468"/>
      <c r="DBX57" s="468"/>
      <c r="DBY57" s="468"/>
      <c r="DBZ57" s="468"/>
      <c r="DCA57" s="468"/>
      <c r="DCB57" s="468"/>
      <c r="DCC57" s="468"/>
      <c r="DCD57" s="468"/>
      <c r="DCE57" s="468"/>
      <c r="DCF57" s="468"/>
      <c r="DCG57" s="468"/>
      <c r="DCH57" s="468"/>
      <c r="DCI57" s="468"/>
      <c r="DCJ57" s="468"/>
      <c r="DCK57" s="468"/>
      <c r="DCL57" s="468"/>
      <c r="DCM57" s="468"/>
      <c r="DCN57" s="468"/>
      <c r="DCO57" s="468"/>
      <c r="DCP57" s="468"/>
      <c r="DCQ57" s="468"/>
      <c r="DCR57" s="468"/>
      <c r="DCS57" s="468"/>
      <c r="DCT57" s="468"/>
      <c r="DCU57" s="468"/>
      <c r="DCV57" s="468"/>
      <c r="DCW57" s="468"/>
      <c r="DCX57" s="468"/>
      <c r="DCY57" s="468"/>
      <c r="DCZ57" s="468"/>
      <c r="DDA57" s="468"/>
      <c r="DDB57" s="468"/>
      <c r="DDC57" s="468"/>
      <c r="DDD57" s="468"/>
      <c r="DDE57" s="468"/>
      <c r="DDF57" s="468"/>
      <c r="DDG57" s="468"/>
      <c r="DDH57" s="468"/>
      <c r="DDI57" s="468"/>
      <c r="DDJ57" s="468"/>
      <c r="DDK57" s="468"/>
      <c r="DDL57" s="468"/>
      <c r="DDM57" s="468"/>
      <c r="DDN57" s="468"/>
      <c r="DDO57" s="468"/>
      <c r="DDP57" s="468"/>
      <c r="DDQ57" s="468"/>
      <c r="DDR57" s="468"/>
      <c r="DDS57" s="468"/>
      <c r="DDT57" s="468"/>
      <c r="DDU57" s="468"/>
      <c r="DDV57" s="468"/>
      <c r="DDW57" s="468"/>
      <c r="DDX57" s="468"/>
      <c r="DDY57" s="468"/>
      <c r="DDZ57" s="468"/>
      <c r="DEA57" s="468"/>
      <c r="DEB57" s="468"/>
      <c r="DEC57" s="468"/>
      <c r="DED57" s="468"/>
      <c r="DEE57" s="468"/>
      <c r="DEF57" s="468"/>
      <c r="DEG57" s="468"/>
      <c r="DEH57" s="468"/>
      <c r="DEI57" s="468"/>
      <c r="DEJ57" s="468"/>
      <c r="DEK57" s="468"/>
      <c r="DEL57" s="468"/>
      <c r="DEM57" s="468"/>
      <c r="DEN57" s="468"/>
      <c r="DEO57" s="468"/>
      <c r="DEP57" s="468"/>
      <c r="DEQ57" s="468"/>
      <c r="DER57" s="468"/>
      <c r="DES57" s="468"/>
      <c r="DET57" s="468"/>
      <c r="DEU57" s="468"/>
      <c r="DEV57" s="468"/>
      <c r="DEW57" s="468"/>
      <c r="DEX57" s="468"/>
      <c r="DEY57" s="468"/>
      <c r="DEZ57" s="468"/>
      <c r="DFA57" s="468"/>
      <c r="DFB57" s="468"/>
      <c r="DFC57" s="468"/>
      <c r="DFD57" s="468"/>
      <c r="DFE57" s="468"/>
      <c r="DFF57" s="468"/>
      <c r="DFG57" s="468"/>
      <c r="DFH57" s="468"/>
      <c r="DFI57" s="468"/>
      <c r="DFJ57" s="468"/>
      <c r="DFK57" s="468"/>
      <c r="DFL57" s="468"/>
      <c r="DFM57" s="468"/>
      <c r="DFN57" s="468"/>
      <c r="DFO57" s="468"/>
      <c r="DFP57" s="468"/>
      <c r="DFQ57" s="468"/>
      <c r="DFR57" s="468"/>
      <c r="DFS57" s="468"/>
      <c r="DFT57" s="468"/>
      <c r="DFU57" s="468"/>
      <c r="DFV57" s="468"/>
      <c r="DFW57" s="468"/>
      <c r="DFX57" s="468"/>
      <c r="DFY57" s="468"/>
      <c r="DFZ57" s="468"/>
      <c r="DGA57" s="468"/>
      <c r="DGB57" s="468"/>
      <c r="DGC57" s="468"/>
      <c r="DGD57" s="468"/>
      <c r="DGE57" s="468"/>
      <c r="DGF57" s="468"/>
      <c r="DGG57" s="468"/>
      <c r="DGH57" s="468"/>
      <c r="DGI57" s="468"/>
      <c r="DGJ57" s="468"/>
      <c r="DGK57" s="468"/>
      <c r="DGL57" s="468"/>
      <c r="DGM57" s="468"/>
      <c r="DGN57" s="468"/>
      <c r="DGO57" s="468"/>
      <c r="DGP57" s="468"/>
      <c r="DGQ57" s="468"/>
      <c r="DGR57" s="468"/>
      <c r="DGS57" s="468"/>
      <c r="DGT57" s="468"/>
      <c r="DGU57" s="468"/>
      <c r="DGV57" s="468"/>
      <c r="DGW57" s="468"/>
      <c r="DGX57" s="468"/>
      <c r="DGY57" s="468"/>
      <c r="DGZ57" s="468"/>
      <c r="DHA57" s="468"/>
      <c r="DHB57" s="468"/>
      <c r="DHC57" s="468"/>
      <c r="DHD57" s="468"/>
      <c r="DHE57" s="468"/>
      <c r="DHF57" s="468"/>
      <c r="DHG57" s="468"/>
      <c r="DHH57" s="468"/>
      <c r="DHI57" s="468"/>
      <c r="DHJ57" s="468"/>
      <c r="DHK57" s="468"/>
      <c r="DHL57" s="468"/>
      <c r="DHM57" s="468"/>
      <c r="DHN57" s="468"/>
      <c r="DHO57" s="468"/>
      <c r="DHP57" s="468"/>
      <c r="DHQ57" s="468"/>
      <c r="DHR57" s="468"/>
      <c r="DHS57" s="468"/>
      <c r="DHT57" s="468"/>
      <c r="DHU57" s="468"/>
      <c r="DHV57" s="468"/>
      <c r="DHW57" s="468"/>
      <c r="DHX57" s="468"/>
      <c r="DHY57" s="468"/>
      <c r="DHZ57" s="468"/>
      <c r="DIA57" s="468"/>
      <c r="DIB57" s="468"/>
      <c r="DIC57" s="468"/>
      <c r="DID57" s="468"/>
      <c r="DIE57" s="468"/>
      <c r="DIF57" s="468"/>
      <c r="DIG57" s="468"/>
      <c r="DIH57" s="468"/>
      <c r="DII57" s="468"/>
      <c r="DIJ57" s="468"/>
      <c r="DIK57" s="468"/>
      <c r="DIL57" s="468"/>
      <c r="DIM57" s="468"/>
      <c r="DIN57" s="468"/>
      <c r="DIO57" s="468"/>
      <c r="DIP57" s="468"/>
      <c r="DIQ57" s="468"/>
      <c r="DIR57" s="468"/>
      <c r="DIS57" s="468"/>
      <c r="DIT57" s="468"/>
      <c r="DIU57" s="468"/>
      <c r="DIV57" s="468"/>
      <c r="DIW57" s="468"/>
      <c r="DIX57" s="468"/>
      <c r="DIY57" s="468"/>
      <c r="DIZ57" s="468"/>
      <c r="DJA57" s="468"/>
      <c r="DJB57" s="468"/>
      <c r="DJC57" s="468"/>
      <c r="DJD57" s="468"/>
      <c r="DJE57" s="468"/>
      <c r="DJF57" s="468"/>
      <c r="DJG57" s="468"/>
      <c r="DJH57" s="468"/>
      <c r="DJI57" s="468"/>
      <c r="DJJ57" s="468"/>
      <c r="DJK57" s="468"/>
      <c r="DJL57" s="468"/>
      <c r="DJM57" s="468"/>
      <c r="DJN57" s="468"/>
      <c r="DJO57" s="468"/>
      <c r="DJP57" s="468"/>
      <c r="DJQ57" s="468"/>
      <c r="DJR57" s="468"/>
      <c r="DJS57" s="468"/>
      <c r="DJT57" s="468"/>
      <c r="DJU57" s="468"/>
      <c r="DJV57" s="468"/>
      <c r="DJW57" s="468"/>
      <c r="DJX57" s="468"/>
      <c r="DJY57" s="468"/>
      <c r="DJZ57" s="468"/>
      <c r="DKA57" s="468"/>
      <c r="DKB57" s="468"/>
      <c r="DKC57" s="468"/>
      <c r="DKD57" s="468"/>
      <c r="DKE57" s="468"/>
      <c r="DKF57" s="468"/>
      <c r="DKG57" s="468"/>
      <c r="DKH57" s="468"/>
      <c r="DKI57" s="468"/>
      <c r="DKJ57" s="468"/>
      <c r="DKK57" s="468"/>
      <c r="DKL57" s="468"/>
      <c r="DKM57" s="468"/>
      <c r="DKN57" s="468"/>
      <c r="DKO57" s="468"/>
      <c r="DKP57" s="468"/>
      <c r="DKQ57" s="468"/>
      <c r="DKR57" s="468"/>
      <c r="DKS57" s="468"/>
      <c r="DKT57" s="468"/>
      <c r="DKU57" s="468"/>
      <c r="DKV57" s="468"/>
      <c r="DKW57" s="468"/>
      <c r="DKX57" s="468"/>
      <c r="DKY57" s="468"/>
      <c r="DKZ57" s="468"/>
      <c r="DLA57" s="468"/>
      <c r="DLB57" s="468"/>
      <c r="DLC57" s="468"/>
      <c r="DLD57" s="468"/>
      <c r="DLE57" s="468"/>
      <c r="DLF57" s="468"/>
      <c r="DLG57" s="468"/>
      <c r="DLH57" s="468"/>
      <c r="DLI57" s="468"/>
      <c r="DLJ57" s="468"/>
      <c r="DLK57" s="468"/>
      <c r="DLL57" s="468"/>
      <c r="DLM57" s="468"/>
      <c r="DLN57" s="468"/>
      <c r="DLO57" s="468"/>
      <c r="DLP57" s="468"/>
      <c r="DLQ57" s="468"/>
      <c r="DLR57" s="468"/>
      <c r="DLS57" s="468"/>
      <c r="DLT57" s="468"/>
      <c r="DLU57" s="468"/>
      <c r="DLV57" s="468"/>
      <c r="DLW57" s="468"/>
      <c r="DLX57" s="468"/>
      <c r="DLY57" s="468"/>
      <c r="DLZ57" s="468"/>
      <c r="DMA57" s="468"/>
      <c r="DMB57" s="468"/>
      <c r="DMC57" s="468"/>
      <c r="DMD57" s="468"/>
      <c r="DME57" s="468"/>
      <c r="DMF57" s="468"/>
      <c r="DMG57" s="468"/>
      <c r="DMH57" s="468"/>
      <c r="DMI57" s="468"/>
      <c r="DMJ57" s="468"/>
      <c r="DMK57" s="468"/>
      <c r="DML57" s="468"/>
      <c r="DMM57" s="468"/>
      <c r="DMN57" s="468"/>
      <c r="DMO57" s="468"/>
      <c r="DMP57" s="468"/>
      <c r="DMQ57" s="468"/>
      <c r="DMR57" s="468"/>
      <c r="DMS57" s="468"/>
      <c r="DMT57" s="468"/>
      <c r="DMU57" s="468"/>
      <c r="DMV57" s="468"/>
      <c r="DMW57" s="468"/>
      <c r="DMX57" s="468"/>
      <c r="DMY57" s="468"/>
      <c r="DMZ57" s="468"/>
      <c r="DNA57" s="468"/>
      <c r="DNB57" s="468"/>
      <c r="DNC57" s="468"/>
      <c r="DND57" s="468"/>
      <c r="DNE57" s="468"/>
      <c r="DNF57" s="468"/>
      <c r="DNG57" s="468"/>
      <c r="DNH57" s="468"/>
      <c r="DNI57" s="468"/>
      <c r="DNJ57" s="468"/>
      <c r="DNK57" s="468"/>
      <c r="DNL57" s="468"/>
      <c r="DNM57" s="468"/>
      <c r="DNN57" s="468"/>
      <c r="DNO57" s="468"/>
      <c r="DNP57" s="468"/>
      <c r="DNQ57" s="468"/>
      <c r="DNR57" s="468"/>
      <c r="DNS57" s="468"/>
      <c r="DNT57" s="468"/>
      <c r="DNU57" s="468"/>
      <c r="DNV57" s="468"/>
      <c r="DNW57" s="468"/>
      <c r="DNX57" s="468"/>
      <c r="DNY57" s="468"/>
      <c r="DNZ57" s="468"/>
      <c r="DOA57" s="468"/>
      <c r="DOB57" s="468"/>
      <c r="DOC57" s="468"/>
      <c r="DOD57" s="468"/>
      <c r="DOE57" s="468"/>
      <c r="DOF57" s="468"/>
      <c r="DOG57" s="468"/>
      <c r="DOH57" s="468"/>
      <c r="DOI57" s="468"/>
      <c r="DOJ57" s="468"/>
      <c r="DOK57" s="468"/>
      <c r="DOL57" s="468"/>
      <c r="DOM57" s="468"/>
      <c r="DON57" s="468"/>
      <c r="DOO57" s="468"/>
      <c r="DOP57" s="468"/>
      <c r="DOQ57" s="468"/>
      <c r="DOR57" s="468"/>
      <c r="DOS57" s="468"/>
      <c r="DOT57" s="468"/>
      <c r="DOU57" s="468"/>
      <c r="DOV57" s="468"/>
      <c r="DOW57" s="468"/>
      <c r="DOX57" s="468"/>
      <c r="DOY57" s="468"/>
      <c r="DOZ57" s="468"/>
      <c r="DPA57" s="468"/>
      <c r="DPB57" s="468"/>
      <c r="DPC57" s="468"/>
      <c r="DPD57" s="468"/>
      <c r="DPE57" s="468"/>
      <c r="DPF57" s="468"/>
      <c r="DPG57" s="468"/>
      <c r="DPH57" s="468"/>
      <c r="DPI57" s="468"/>
      <c r="DPJ57" s="468"/>
      <c r="DPK57" s="468"/>
      <c r="DPL57" s="468"/>
      <c r="DPM57" s="468"/>
      <c r="DPN57" s="468"/>
      <c r="DPO57" s="468"/>
      <c r="DPP57" s="468"/>
      <c r="DPQ57" s="468"/>
      <c r="DPR57" s="468"/>
      <c r="DPS57" s="468"/>
      <c r="DPT57" s="468"/>
      <c r="DPU57" s="468"/>
      <c r="DPV57" s="468"/>
      <c r="DPW57" s="468"/>
      <c r="DPX57" s="468"/>
      <c r="DPY57" s="468"/>
      <c r="DPZ57" s="468"/>
      <c r="DQA57" s="468"/>
      <c r="DQB57" s="468"/>
      <c r="DQC57" s="468"/>
      <c r="DQD57" s="468"/>
      <c r="DQE57" s="468"/>
      <c r="DQF57" s="468"/>
      <c r="DQG57" s="468"/>
      <c r="DQH57" s="468"/>
      <c r="DQI57" s="468"/>
      <c r="DQJ57" s="468"/>
      <c r="DQK57" s="468"/>
      <c r="DQL57" s="468"/>
      <c r="DQM57" s="468"/>
      <c r="DQN57" s="468"/>
      <c r="DQO57" s="468"/>
      <c r="DQP57" s="468"/>
      <c r="DQQ57" s="468"/>
      <c r="DQR57" s="468"/>
      <c r="DQS57" s="468"/>
      <c r="DQT57" s="468"/>
      <c r="DQU57" s="468"/>
      <c r="DQV57" s="468"/>
      <c r="DQW57" s="468"/>
      <c r="DQX57" s="468"/>
      <c r="DQY57" s="468"/>
      <c r="DQZ57" s="468"/>
      <c r="DRA57" s="468"/>
      <c r="DRB57" s="468"/>
      <c r="DRC57" s="468"/>
      <c r="DRD57" s="468"/>
      <c r="DRE57" s="468"/>
      <c r="DRF57" s="468"/>
      <c r="DRG57" s="468"/>
      <c r="DRH57" s="468"/>
      <c r="DRI57" s="468"/>
      <c r="DRJ57" s="468"/>
      <c r="DRK57" s="468"/>
      <c r="DRL57" s="468"/>
      <c r="DRM57" s="468"/>
      <c r="DRN57" s="468"/>
      <c r="DRO57" s="468"/>
      <c r="DRP57" s="468"/>
      <c r="DRQ57" s="468"/>
      <c r="DRR57" s="468"/>
      <c r="DRS57" s="468"/>
      <c r="DRT57" s="468"/>
      <c r="DRU57" s="468"/>
      <c r="DRV57" s="468"/>
      <c r="DRW57" s="468"/>
      <c r="DRX57" s="468"/>
      <c r="DRY57" s="468"/>
      <c r="DRZ57" s="468"/>
      <c r="DSA57" s="468"/>
      <c r="DSB57" s="468"/>
      <c r="DSC57" s="468"/>
      <c r="DSD57" s="468"/>
      <c r="DSE57" s="468"/>
      <c r="DSF57" s="468"/>
      <c r="DSG57" s="468"/>
      <c r="DSH57" s="468"/>
      <c r="DSI57" s="468"/>
      <c r="DSJ57" s="468"/>
      <c r="DSK57" s="468"/>
      <c r="DSL57" s="468"/>
      <c r="DSM57" s="468"/>
      <c r="DSN57" s="468"/>
      <c r="DSO57" s="468"/>
      <c r="DSP57" s="468"/>
      <c r="DSQ57" s="468"/>
      <c r="DSR57" s="468"/>
      <c r="DSS57" s="468"/>
      <c r="DST57" s="468"/>
      <c r="DSU57" s="468"/>
      <c r="DSV57" s="468"/>
      <c r="DSW57" s="468"/>
      <c r="DSX57" s="468"/>
      <c r="DSY57" s="468"/>
      <c r="DSZ57" s="468"/>
      <c r="DTA57" s="468"/>
      <c r="DTB57" s="468"/>
      <c r="DTC57" s="468"/>
      <c r="DTD57" s="468"/>
      <c r="DTE57" s="468"/>
      <c r="DTF57" s="468"/>
      <c r="DTG57" s="468"/>
      <c r="DTH57" s="468"/>
      <c r="DTI57" s="468"/>
      <c r="DTJ57" s="468"/>
      <c r="DTK57" s="468"/>
      <c r="DTL57" s="468"/>
      <c r="DTM57" s="468"/>
      <c r="DTN57" s="468"/>
      <c r="DTO57" s="468"/>
      <c r="DTP57" s="468"/>
      <c r="DTQ57" s="468"/>
      <c r="DTR57" s="468"/>
      <c r="DTS57" s="468"/>
      <c r="DTT57" s="468"/>
      <c r="DTU57" s="468"/>
      <c r="DTV57" s="468"/>
      <c r="DTW57" s="468"/>
      <c r="DTX57" s="468"/>
      <c r="DTY57" s="468"/>
      <c r="DTZ57" s="468"/>
      <c r="DUA57" s="468"/>
      <c r="DUB57" s="468"/>
      <c r="DUC57" s="468"/>
      <c r="DUD57" s="468"/>
      <c r="DUE57" s="468"/>
      <c r="DUF57" s="468"/>
      <c r="DUG57" s="468"/>
      <c r="DUH57" s="468"/>
      <c r="DUI57" s="468"/>
      <c r="DUJ57" s="468"/>
      <c r="DUK57" s="468"/>
      <c r="DUL57" s="468"/>
      <c r="DUM57" s="468"/>
      <c r="DUN57" s="468"/>
      <c r="DUO57" s="468"/>
      <c r="DUP57" s="468"/>
      <c r="DUQ57" s="468"/>
      <c r="DUR57" s="468"/>
      <c r="DUS57" s="468"/>
      <c r="DUT57" s="468"/>
      <c r="DUU57" s="468"/>
      <c r="DUV57" s="468"/>
      <c r="DUW57" s="468"/>
      <c r="DUX57" s="468"/>
      <c r="DUY57" s="468"/>
      <c r="DUZ57" s="468"/>
      <c r="DVA57" s="468"/>
      <c r="DVB57" s="468"/>
      <c r="DVC57" s="468"/>
      <c r="DVD57" s="468"/>
      <c r="DVE57" s="468"/>
      <c r="DVF57" s="468"/>
      <c r="DVG57" s="468"/>
      <c r="DVH57" s="468"/>
      <c r="DVI57" s="468"/>
      <c r="DVJ57" s="468"/>
      <c r="DVK57" s="468"/>
      <c r="DVL57" s="468"/>
      <c r="DVM57" s="468"/>
      <c r="DVN57" s="468"/>
      <c r="DVO57" s="468"/>
      <c r="DVP57" s="468"/>
      <c r="DVQ57" s="468"/>
      <c r="DVR57" s="468"/>
      <c r="DVS57" s="468"/>
      <c r="DVT57" s="468"/>
      <c r="DVU57" s="468"/>
      <c r="DVV57" s="468"/>
      <c r="DVW57" s="468"/>
      <c r="DVX57" s="468"/>
      <c r="DVY57" s="468"/>
      <c r="DVZ57" s="468"/>
      <c r="DWA57" s="468"/>
      <c r="DWB57" s="468"/>
      <c r="DWC57" s="468"/>
      <c r="DWD57" s="468"/>
      <c r="DWE57" s="468"/>
      <c r="DWF57" s="468"/>
      <c r="DWG57" s="468"/>
      <c r="DWH57" s="468"/>
      <c r="DWI57" s="468"/>
      <c r="DWJ57" s="468"/>
      <c r="DWK57" s="468"/>
      <c r="DWL57" s="468"/>
      <c r="DWM57" s="468"/>
      <c r="DWN57" s="468"/>
      <c r="DWO57" s="468"/>
      <c r="DWP57" s="468"/>
      <c r="DWQ57" s="468"/>
      <c r="DWR57" s="468"/>
      <c r="DWS57" s="468"/>
      <c r="DWT57" s="468"/>
      <c r="DWU57" s="468"/>
      <c r="DWV57" s="468"/>
      <c r="DWW57" s="468"/>
      <c r="DWX57" s="468"/>
      <c r="DWY57" s="468"/>
      <c r="DWZ57" s="468"/>
      <c r="DXA57" s="468"/>
      <c r="DXB57" s="468"/>
      <c r="DXC57" s="468"/>
      <c r="DXD57" s="468"/>
      <c r="DXE57" s="468"/>
      <c r="DXF57" s="468"/>
      <c r="DXG57" s="468"/>
      <c r="DXH57" s="468"/>
      <c r="DXI57" s="468"/>
      <c r="DXJ57" s="468"/>
      <c r="DXK57" s="468"/>
      <c r="DXL57" s="468"/>
      <c r="DXM57" s="468"/>
      <c r="DXN57" s="468"/>
      <c r="DXO57" s="468"/>
      <c r="DXP57" s="468"/>
      <c r="DXQ57" s="468"/>
      <c r="DXR57" s="468"/>
      <c r="DXS57" s="468"/>
      <c r="DXT57" s="468"/>
      <c r="DXU57" s="468"/>
      <c r="DXV57" s="468"/>
      <c r="DXW57" s="468"/>
      <c r="DXX57" s="468"/>
      <c r="DXY57" s="468"/>
      <c r="DXZ57" s="468"/>
      <c r="DYA57" s="468"/>
      <c r="DYB57" s="468"/>
      <c r="DYC57" s="468"/>
      <c r="DYD57" s="468"/>
      <c r="DYE57" s="468"/>
      <c r="DYF57" s="468"/>
      <c r="DYG57" s="468"/>
      <c r="DYH57" s="468"/>
      <c r="DYI57" s="468"/>
      <c r="DYJ57" s="468"/>
      <c r="DYK57" s="468"/>
      <c r="DYL57" s="468"/>
      <c r="DYM57" s="468"/>
      <c r="DYN57" s="468"/>
      <c r="DYO57" s="468"/>
      <c r="DYP57" s="468"/>
      <c r="DYQ57" s="468"/>
      <c r="DYR57" s="468"/>
      <c r="DYS57" s="468"/>
      <c r="DYT57" s="468"/>
      <c r="DYU57" s="468"/>
      <c r="DYV57" s="468"/>
      <c r="DYW57" s="468"/>
      <c r="DYX57" s="468"/>
      <c r="DYY57" s="468"/>
      <c r="DYZ57" s="468"/>
      <c r="DZA57" s="468"/>
      <c r="DZB57" s="468"/>
      <c r="DZC57" s="468"/>
      <c r="DZD57" s="468"/>
      <c r="DZE57" s="468"/>
      <c r="DZF57" s="468"/>
      <c r="DZG57" s="468"/>
      <c r="DZH57" s="468"/>
      <c r="DZI57" s="468"/>
      <c r="DZJ57" s="468"/>
      <c r="DZK57" s="468"/>
      <c r="DZL57" s="468"/>
      <c r="DZM57" s="468"/>
      <c r="DZN57" s="468"/>
      <c r="DZO57" s="468"/>
      <c r="DZP57" s="468"/>
      <c r="DZQ57" s="468"/>
      <c r="DZR57" s="468"/>
      <c r="DZS57" s="468"/>
      <c r="DZT57" s="468"/>
      <c r="DZU57" s="468"/>
      <c r="DZV57" s="468"/>
      <c r="DZW57" s="468"/>
      <c r="DZX57" s="468"/>
      <c r="DZY57" s="468"/>
      <c r="DZZ57" s="468"/>
      <c r="EAA57" s="468"/>
      <c r="EAB57" s="468"/>
      <c r="EAC57" s="468"/>
      <c r="EAD57" s="468"/>
      <c r="EAE57" s="468"/>
      <c r="EAF57" s="468"/>
      <c r="EAG57" s="468"/>
      <c r="EAH57" s="468"/>
      <c r="EAI57" s="468"/>
      <c r="EAJ57" s="468"/>
      <c r="EAK57" s="468"/>
      <c r="EAL57" s="468"/>
      <c r="EAM57" s="468"/>
      <c r="EAN57" s="468"/>
      <c r="EAO57" s="468"/>
      <c r="EAP57" s="468"/>
      <c r="EAQ57" s="468"/>
      <c r="EAR57" s="468"/>
      <c r="EAS57" s="468"/>
      <c r="EAT57" s="468"/>
      <c r="EAU57" s="468"/>
      <c r="EAV57" s="468"/>
      <c r="EAW57" s="468"/>
      <c r="EAX57" s="468"/>
      <c r="EAY57" s="468"/>
      <c r="EAZ57" s="468"/>
      <c r="EBA57" s="468"/>
      <c r="EBB57" s="468"/>
      <c r="EBC57" s="468"/>
      <c r="EBD57" s="468"/>
      <c r="EBE57" s="468"/>
      <c r="EBF57" s="468"/>
      <c r="EBG57" s="468"/>
      <c r="EBH57" s="468"/>
      <c r="EBI57" s="468"/>
      <c r="EBJ57" s="468"/>
      <c r="EBK57" s="468"/>
      <c r="EBL57" s="468"/>
      <c r="EBM57" s="468"/>
      <c r="EBN57" s="468"/>
      <c r="EBO57" s="468"/>
      <c r="EBP57" s="468"/>
      <c r="EBQ57" s="468"/>
      <c r="EBR57" s="468"/>
      <c r="EBS57" s="468"/>
      <c r="EBT57" s="468"/>
      <c r="EBU57" s="468"/>
      <c r="EBV57" s="468"/>
      <c r="EBW57" s="468"/>
      <c r="EBX57" s="468"/>
      <c r="EBY57" s="468"/>
      <c r="EBZ57" s="468"/>
      <c r="ECA57" s="468"/>
      <c r="ECB57" s="468"/>
      <c r="ECC57" s="468"/>
      <c r="ECD57" s="468"/>
      <c r="ECE57" s="468"/>
      <c r="ECF57" s="468"/>
      <c r="ECG57" s="468"/>
      <c r="ECH57" s="468"/>
      <c r="ECI57" s="468"/>
      <c r="ECJ57" s="468"/>
      <c r="ECK57" s="468"/>
      <c r="ECL57" s="468"/>
      <c r="ECM57" s="468"/>
      <c r="ECN57" s="468"/>
      <c r="ECO57" s="468"/>
      <c r="ECP57" s="468"/>
      <c r="ECQ57" s="468"/>
      <c r="ECR57" s="468"/>
      <c r="ECS57" s="468"/>
      <c r="ECT57" s="468"/>
      <c r="ECU57" s="468"/>
      <c r="ECV57" s="468"/>
      <c r="ECW57" s="468"/>
      <c r="ECX57" s="468"/>
      <c r="ECY57" s="468"/>
      <c r="ECZ57" s="468"/>
      <c r="EDA57" s="468"/>
      <c r="EDB57" s="468"/>
      <c r="EDC57" s="468"/>
      <c r="EDD57" s="468"/>
      <c r="EDE57" s="468"/>
      <c r="EDF57" s="468"/>
      <c r="EDG57" s="468"/>
      <c r="EDH57" s="468"/>
      <c r="EDI57" s="468"/>
      <c r="EDJ57" s="468"/>
      <c r="EDK57" s="468"/>
      <c r="EDL57" s="468"/>
      <c r="EDM57" s="468"/>
      <c r="EDN57" s="468"/>
      <c r="EDO57" s="468"/>
      <c r="EDP57" s="468"/>
      <c r="EDQ57" s="468"/>
      <c r="EDR57" s="468"/>
      <c r="EDS57" s="468"/>
      <c r="EDT57" s="468"/>
      <c r="EDU57" s="468"/>
      <c r="EDV57" s="468"/>
      <c r="EDW57" s="468"/>
      <c r="EDX57" s="468"/>
      <c r="EDY57" s="468"/>
      <c r="EDZ57" s="468"/>
      <c r="EEA57" s="468"/>
      <c r="EEB57" s="468"/>
      <c r="EEC57" s="468"/>
      <c r="EED57" s="468"/>
      <c r="EEE57" s="468"/>
      <c r="EEF57" s="468"/>
      <c r="EEG57" s="468"/>
      <c r="EEH57" s="468"/>
      <c r="EEI57" s="468"/>
      <c r="EEJ57" s="468"/>
      <c r="EEK57" s="468"/>
      <c r="EEL57" s="468"/>
      <c r="EEM57" s="468"/>
      <c r="EEN57" s="468"/>
      <c r="EEO57" s="468"/>
      <c r="EEP57" s="468"/>
      <c r="EEQ57" s="468"/>
      <c r="EER57" s="468"/>
      <c r="EES57" s="468"/>
      <c r="EET57" s="468"/>
      <c r="EEU57" s="468"/>
      <c r="EEV57" s="468"/>
      <c r="EEW57" s="468"/>
      <c r="EEX57" s="468"/>
      <c r="EEY57" s="468"/>
      <c r="EEZ57" s="468"/>
      <c r="EFA57" s="468"/>
      <c r="EFB57" s="468"/>
      <c r="EFC57" s="468"/>
      <c r="EFD57" s="468"/>
      <c r="EFE57" s="468"/>
      <c r="EFF57" s="468"/>
      <c r="EFG57" s="468"/>
      <c r="EFH57" s="468"/>
      <c r="EFI57" s="468"/>
      <c r="EFJ57" s="468"/>
      <c r="EFK57" s="468"/>
      <c r="EFL57" s="468"/>
      <c r="EFM57" s="468"/>
      <c r="EFN57" s="468"/>
      <c r="EFO57" s="468"/>
      <c r="EFP57" s="468"/>
      <c r="EFQ57" s="468"/>
      <c r="EFR57" s="468"/>
      <c r="EFS57" s="468"/>
      <c r="EFT57" s="468"/>
      <c r="EFU57" s="468"/>
      <c r="EFV57" s="468"/>
      <c r="EFW57" s="468"/>
      <c r="EFX57" s="468"/>
      <c r="EFY57" s="468"/>
      <c r="EFZ57" s="468"/>
      <c r="EGA57" s="468"/>
      <c r="EGB57" s="468"/>
      <c r="EGC57" s="468"/>
      <c r="EGD57" s="468"/>
      <c r="EGE57" s="468"/>
      <c r="EGF57" s="468"/>
      <c r="EGG57" s="468"/>
      <c r="EGH57" s="468"/>
      <c r="EGI57" s="468"/>
      <c r="EGJ57" s="468"/>
      <c r="EGK57" s="468"/>
      <c r="EGL57" s="468"/>
      <c r="EGM57" s="468"/>
      <c r="EGN57" s="468"/>
      <c r="EGO57" s="468"/>
      <c r="EGP57" s="468"/>
      <c r="EGQ57" s="468"/>
      <c r="EGR57" s="468"/>
      <c r="EGS57" s="468"/>
      <c r="EGT57" s="468"/>
      <c r="EGU57" s="468"/>
      <c r="EGV57" s="468"/>
      <c r="EGW57" s="468"/>
      <c r="EGX57" s="468"/>
      <c r="EGY57" s="468"/>
      <c r="EGZ57" s="468"/>
      <c r="EHA57" s="468"/>
      <c r="EHB57" s="468"/>
      <c r="EHC57" s="468"/>
      <c r="EHD57" s="468"/>
      <c r="EHE57" s="468"/>
      <c r="EHF57" s="468"/>
      <c r="EHG57" s="468"/>
      <c r="EHH57" s="468"/>
      <c r="EHI57" s="468"/>
      <c r="EHJ57" s="468"/>
      <c r="EHK57" s="468"/>
      <c r="EHL57" s="468"/>
      <c r="EHM57" s="468"/>
      <c r="EHN57" s="468"/>
      <c r="EHO57" s="468"/>
      <c r="EHP57" s="468"/>
      <c r="EHQ57" s="468"/>
      <c r="EHR57" s="468"/>
      <c r="EHS57" s="468"/>
      <c r="EHT57" s="468"/>
      <c r="EHU57" s="468"/>
      <c r="EHV57" s="468"/>
      <c r="EHW57" s="468"/>
      <c r="EHX57" s="468"/>
      <c r="EHY57" s="468"/>
      <c r="EHZ57" s="468"/>
      <c r="EIA57" s="468"/>
      <c r="EIB57" s="468"/>
      <c r="EIC57" s="468"/>
      <c r="EID57" s="468"/>
      <c r="EIE57" s="468"/>
      <c r="EIF57" s="468"/>
      <c r="EIG57" s="468"/>
      <c r="EIH57" s="468"/>
      <c r="EII57" s="468"/>
      <c r="EIJ57" s="468"/>
      <c r="EIK57" s="468"/>
      <c r="EIL57" s="468"/>
      <c r="EIM57" s="468"/>
      <c r="EIN57" s="468"/>
      <c r="EIO57" s="468"/>
      <c r="EIP57" s="468"/>
      <c r="EIQ57" s="468"/>
      <c r="EIR57" s="468"/>
      <c r="EIS57" s="468"/>
      <c r="EIT57" s="468"/>
      <c r="EIU57" s="468"/>
      <c r="EIV57" s="468"/>
      <c r="EIW57" s="468"/>
      <c r="EIX57" s="468"/>
      <c r="EIY57" s="468"/>
      <c r="EIZ57" s="468"/>
      <c r="EJA57" s="468"/>
      <c r="EJB57" s="468"/>
      <c r="EJC57" s="468"/>
      <c r="EJD57" s="468"/>
      <c r="EJE57" s="468"/>
      <c r="EJF57" s="468"/>
      <c r="EJG57" s="468"/>
      <c r="EJH57" s="468"/>
      <c r="EJI57" s="468"/>
      <c r="EJJ57" s="468"/>
      <c r="EJK57" s="468"/>
      <c r="EJL57" s="468"/>
      <c r="EJM57" s="468"/>
      <c r="EJN57" s="468"/>
      <c r="EJO57" s="468"/>
      <c r="EJP57" s="468"/>
      <c r="EJQ57" s="468"/>
      <c r="EJR57" s="468"/>
      <c r="EJS57" s="468"/>
      <c r="EJT57" s="468"/>
      <c r="EJU57" s="468"/>
      <c r="EJV57" s="468"/>
      <c r="EJW57" s="468"/>
      <c r="EJX57" s="468"/>
      <c r="EJY57" s="468"/>
      <c r="EJZ57" s="468"/>
      <c r="EKA57" s="468"/>
      <c r="EKB57" s="468"/>
      <c r="EKC57" s="468"/>
      <c r="EKD57" s="468"/>
      <c r="EKE57" s="468"/>
      <c r="EKF57" s="468"/>
      <c r="EKG57" s="468"/>
      <c r="EKH57" s="468"/>
      <c r="EKI57" s="468"/>
      <c r="EKJ57" s="468"/>
      <c r="EKK57" s="468"/>
      <c r="EKL57" s="468"/>
      <c r="EKM57" s="468"/>
      <c r="EKN57" s="468"/>
      <c r="EKO57" s="468"/>
      <c r="EKP57" s="468"/>
      <c r="EKQ57" s="468"/>
      <c r="EKR57" s="468"/>
      <c r="EKS57" s="468"/>
      <c r="EKT57" s="468"/>
      <c r="EKU57" s="468"/>
      <c r="EKV57" s="468"/>
      <c r="EKW57" s="468"/>
      <c r="EKX57" s="468"/>
      <c r="EKY57" s="468"/>
      <c r="EKZ57" s="468"/>
      <c r="ELA57" s="468"/>
      <c r="ELB57" s="468"/>
      <c r="ELC57" s="468"/>
      <c r="ELD57" s="468"/>
      <c r="ELE57" s="468"/>
      <c r="ELF57" s="468"/>
      <c r="ELG57" s="468"/>
      <c r="ELH57" s="468"/>
      <c r="ELI57" s="468"/>
      <c r="ELJ57" s="468"/>
      <c r="ELK57" s="468"/>
      <c r="ELL57" s="468"/>
      <c r="ELM57" s="468"/>
      <c r="ELN57" s="468"/>
      <c r="ELO57" s="468"/>
      <c r="ELP57" s="468"/>
      <c r="ELQ57" s="468"/>
      <c r="ELR57" s="468"/>
      <c r="ELS57" s="468"/>
      <c r="ELT57" s="468"/>
      <c r="ELU57" s="468"/>
      <c r="ELV57" s="468"/>
      <c r="ELW57" s="468"/>
      <c r="ELX57" s="468"/>
      <c r="ELY57" s="468"/>
      <c r="ELZ57" s="468"/>
      <c r="EMA57" s="468"/>
      <c r="EMB57" s="468"/>
      <c r="EMC57" s="468"/>
      <c r="EMD57" s="468"/>
      <c r="EME57" s="468"/>
      <c r="EMF57" s="468"/>
      <c r="EMG57" s="468"/>
      <c r="EMH57" s="468"/>
      <c r="EMI57" s="468"/>
      <c r="EMJ57" s="468"/>
      <c r="EMK57" s="468"/>
      <c r="EML57" s="468"/>
      <c r="EMM57" s="468"/>
      <c r="EMN57" s="468"/>
      <c r="EMO57" s="468"/>
      <c r="EMP57" s="468"/>
      <c r="EMQ57" s="468"/>
      <c r="EMR57" s="468"/>
      <c r="EMS57" s="468"/>
      <c r="EMT57" s="468"/>
      <c r="EMU57" s="468"/>
      <c r="EMV57" s="468"/>
      <c r="EMW57" s="468"/>
      <c r="EMX57" s="468"/>
      <c r="EMY57" s="468"/>
      <c r="EMZ57" s="468"/>
      <c r="ENA57" s="468"/>
      <c r="ENB57" s="468"/>
      <c r="ENC57" s="468"/>
      <c r="END57" s="468"/>
      <c r="ENE57" s="468"/>
      <c r="ENF57" s="468"/>
      <c r="ENG57" s="468"/>
      <c r="ENH57" s="468"/>
      <c r="ENI57" s="468"/>
      <c r="ENJ57" s="468"/>
      <c r="ENK57" s="468"/>
      <c r="ENL57" s="468"/>
      <c r="ENM57" s="468"/>
      <c r="ENN57" s="468"/>
      <c r="ENO57" s="468"/>
      <c r="ENP57" s="468"/>
      <c r="ENQ57" s="468"/>
      <c r="ENR57" s="468"/>
      <c r="ENS57" s="468"/>
      <c r="ENT57" s="468"/>
      <c r="ENU57" s="468"/>
      <c r="ENV57" s="468"/>
      <c r="ENW57" s="468"/>
      <c r="ENX57" s="468"/>
      <c r="ENY57" s="468"/>
      <c r="ENZ57" s="468"/>
      <c r="EOA57" s="468"/>
      <c r="EOB57" s="468"/>
      <c r="EOC57" s="468"/>
      <c r="EOD57" s="468"/>
      <c r="EOE57" s="468"/>
      <c r="EOF57" s="468"/>
      <c r="EOG57" s="468"/>
      <c r="EOH57" s="468"/>
      <c r="EOI57" s="468"/>
      <c r="EOJ57" s="468"/>
      <c r="EOK57" s="468"/>
      <c r="EOL57" s="468"/>
      <c r="EOM57" s="468"/>
      <c r="EON57" s="468"/>
      <c r="EOO57" s="468"/>
      <c r="EOP57" s="468"/>
      <c r="EOQ57" s="468"/>
      <c r="EOR57" s="468"/>
      <c r="EOS57" s="468"/>
      <c r="EOT57" s="468"/>
      <c r="EOU57" s="468"/>
      <c r="EOV57" s="468"/>
      <c r="EOW57" s="468"/>
      <c r="EOX57" s="468"/>
      <c r="EOY57" s="468"/>
      <c r="EOZ57" s="468"/>
      <c r="EPA57" s="468"/>
      <c r="EPB57" s="468"/>
      <c r="EPC57" s="468"/>
      <c r="EPD57" s="468"/>
      <c r="EPE57" s="468"/>
      <c r="EPF57" s="468"/>
      <c r="EPG57" s="468"/>
      <c r="EPH57" s="468"/>
      <c r="EPI57" s="468"/>
      <c r="EPJ57" s="468"/>
      <c r="EPK57" s="468"/>
      <c r="EPL57" s="468"/>
      <c r="EPM57" s="468"/>
      <c r="EPN57" s="468"/>
      <c r="EPO57" s="468"/>
      <c r="EPP57" s="468"/>
      <c r="EPQ57" s="468"/>
      <c r="EPR57" s="468"/>
      <c r="EPS57" s="468"/>
      <c r="EPT57" s="468"/>
      <c r="EPU57" s="468"/>
      <c r="EPV57" s="468"/>
      <c r="EPW57" s="468"/>
      <c r="EPX57" s="468"/>
      <c r="EPY57" s="468"/>
      <c r="EPZ57" s="468"/>
      <c r="EQA57" s="468"/>
      <c r="EQB57" s="468"/>
      <c r="EQC57" s="468"/>
      <c r="EQD57" s="468"/>
      <c r="EQE57" s="468"/>
      <c r="EQF57" s="468"/>
      <c r="EQG57" s="468"/>
      <c r="EQH57" s="468"/>
      <c r="EQI57" s="468"/>
      <c r="EQJ57" s="468"/>
      <c r="EQK57" s="468"/>
      <c r="EQL57" s="468"/>
      <c r="EQM57" s="468"/>
      <c r="EQN57" s="468"/>
      <c r="EQO57" s="468"/>
      <c r="EQP57" s="468"/>
      <c r="EQQ57" s="468"/>
      <c r="EQR57" s="468"/>
      <c r="EQS57" s="468"/>
      <c r="EQT57" s="468"/>
      <c r="EQU57" s="468"/>
      <c r="EQV57" s="468"/>
      <c r="EQW57" s="468"/>
      <c r="EQX57" s="468"/>
      <c r="EQY57" s="468"/>
      <c r="EQZ57" s="468"/>
      <c r="ERA57" s="468"/>
      <c r="ERB57" s="468"/>
      <c r="ERC57" s="468"/>
      <c r="ERD57" s="468"/>
      <c r="ERE57" s="468"/>
      <c r="ERF57" s="468"/>
      <c r="ERG57" s="468"/>
      <c r="ERH57" s="468"/>
      <c r="ERI57" s="468"/>
      <c r="ERJ57" s="468"/>
      <c r="ERK57" s="468"/>
      <c r="ERL57" s="468"/>
      <c r="ERM57" s="468"/>
      <c r="ERN57" s="468"/>
      <c r="ERO57" s="468"/>
      <c r="ERP57" s="468"/>
      <c r="ERQ57" s="468"/>
      <c r="ERR57" s="468"/>
      <c r="ERS57" s="468"/>
      <c r="ERT57" s="468"/>
      <c r="ERU57" s="468"/>
      <c r="ERV57" s="468"/>
      <c r="ERW57" s="468"/>
      <c r="ERX57" s="468"/>
      <c r="ERY57" s="468"/>
      <c r="ERZ57" s="468"/>
      <c r="ESA57" s="468"/>
      <c r="ESB57" s="468"/>
      <c r="ESC57" s="468"/>
      <c r="ESD57" s="468"/>
      <c r="ESE57" s="468"/>
      <c r="ESF57" s="468"/>
      <c r="ESG57" s="468"/>
      <c r="ESH57" s="468"/>
      <c r="ESI57" s="468"/>
      <c r="ESJ57" s="468"/>
      <c r="ESK57" s="468"/>
      <c r="ESL57" s="468"/>
      <c r="ESM57" s="468"/>
      <c r="ESN57" s="468"/>
      <c r="ESO57" s="468"/>
      <c r="ESP57" s="468"/>
      <c r="ESQ57" s="468"/>
      <c r="ESR57" s="468"/>
      <c r="ESS57" s="468"/>
      <c r="EST57" s="468"/>
      <c r="ESU57" s="468"/>
      <c r="ESV57" s="468"/>
      <c r="ESW57" s="468"/>
      <c r="ESX57" s="468"/>
      <c r="ESY57" s="468"/>
      <c r="ESZ57" s="468"/>
      <c r="ETA57" s="468"/>
      <c r="ETB57" s="468"/>
      <c r="ETC57" s="468"/>
      <c r="ETD57" s="468"/>
      <c r="ETE57" s="468"/>
      <c r="ETF57" s="468"/>
      <c r="ETG57" s="468"/>
      <c r="ETH57" s="468"/>
      <c r="ETI57" s="468"/>
      <c r="ETJ57" s="468"/>
      <c r="ETK57" s="468"/>
      <c r="ETL57" s="468"/>
      <c r="ETM57" s="468"/>
      <c r="ETN57" s="468"/>
      <c r="ETO57" s="468"/>
      <c r="ETP57" s="468"/>
      <c r="ETQ57" s="468"/>
      <c r="ETR57" s="468"/>
      <c r="ETS57" s="468"/>
      <c r="ETT57" s="468"/>
      <c r="ETU57" s="468"/>
      <c r="ETV57" s="468"/>
      <c r="ETW57" s="468"/>
      <c r="ETX57" s="468"/>
      <c r="ETY57" s="468"/>
      <c r="ETZ57" s="468"/>
      <c r="EUA57" s="468"/>
      <c r="EUB57" s="468"/>
      <c r="EUC57" s="468"/>
      <c r="EUD57" s="468"/>
      <c r="EUE57" s="468"/>
      <c r="EUF57" s="468"/>
      <c r="EUG57" s="468"/>
      <c r="EUH57" s="468"/>
      <c r="EUI57" s="468"/>
      <c r="EUJ57" s="468"/>
      <c r="EUK57" s="468"/>
      <c r="EUL57" s="468"/>
      <c r="EUM57" s="468"/>
      <c r="EUN57" s="468"/>
      <c r="EUO57" s="468"/>
      <c r="EUP57" s="468"/>
      <c r="EUQ57" s="468"/>
      <c r="EUR57" s="468"/>
      <c r="EUS57" s="468"/>
      <c r="EUT57" s="468"/>
      <c r="EUU57" s="468"/>
      <c r="EUV57" s="468"/>
      <c r="EUW57" s="468"/>
      <c r="EUX57" s="468"/>
      <c r="EUY57" s="468"/>
      <c r="EUZ57" s="468"/>
      <c r="EVA57" s="468"/>
      <c r="EVB57" s="468"/>
      <c r="EVC57" s="468"/>
      <c r="EVD57" s="468"/>
      <c r="EVE57" s="468"/>
      <c r="EVF57" s="468"/>
      <c r="EVG57" s="468"/>
      <c r="EVH57" s="468"/>
      <c r="EVI57" s="468"/>
      <c r="EVJ57" s="468"/>
      <c r="EVK57" s="468"/>
      <c r="EVL57" s="468"/>
      <c r="EVM57" s="468"/>
      <c r="EVN57" s="468"/>
      <c r="EVO57" s="468"/>
      <c r="EVP57" s="468"/>
      <c r="EVQ57" s="468"/>
      <c r="EVR57" s="468"/>
      <c r="EVS57" s="468"/>
      <c r="EVT57" s="468"/>
      <c r="EVU57" s="468"/>
      <c r="EVV57" s="468"/>
      <c r="EVW57" s="468"/>
      <c r="EVX57" s="468"/>
      <c r="EVY57" s="468"/>
      <c r="EVZ57" s="468"/>
      <c r="EWA57" s="468"/>
      <c r="EWB57" s="468"/>
      <c r="EWC57" s="468"/>
      <c r="EWD57" s="468"/>
      <c r="EWE57" s="468"/>
      <c r="EWF57" s="468"/>
      <c r="EWG57" s="468"/>
      <c r="EWH57" s="468"/>
      <c r="EWI57" s="468"/>
      <c r="EWJ57" s="468"/>
      <c r="EWK57" s="468"/>
      <c r="EWL57" s="468"/>
      <c r="EWM57" s="468"/>
      <c r="EWN57" s="468"/>
      <c r="EWO57" s="468"/>
      <c r="EWP57" s="468"/>
      <c r="EWQ57" s="468"/>
      <c r="EWR57" s="468"/>
      <c r="EWS57" s="468"/>
      <c r="EWT57" s="468"/>
      <c r="EWU57" s="468"/>
      <c r="EWV57" s="468"/>
      <c r="EWW57" s="468"/>
      <c r="EWX57" s="468"/>
      <c r="EWY57" s="468"/>
      <c r="EWZ57" s="468"/>
      <c r="EXA57" s="468"/>
      <c r="EXB57" s="468"/>
      <c r="EXC57" s="468"/>
      <c r="EXD57" s="468"/>
      <c r="EXE57" s="468"/>
      <c r="EXF57" s="468"/>
      <c r="EXG57" s="468"/>
      <c r="EXH57" s="468"/>
      <c r="EXI57" s="468"/>
      <c r="EXJ57" s="468"/>
      <c r="EXK57" s="468"/>
      <c r="EXL57" s="468"/>
      <c r="EXM57" s="468"/>
      <c r="EXN57" s="468"/>
      <c r="EXO57" s="468"/>
      <c r="EXP57" s="468"/>
      <c r="EXQ57" s="468"/>
      <c r="EXR57" s="468"/>
      <c r="EXS57" s="468"/>
      <c r="EXT57" s="468"/>
      <c r="EXU57" s="468"/>
      <c r="EXV57" s="468"/>
      <c r="EXW57" s="468"/>
      <c r="EXX57" s="468"/>
      <c r="EXY57" s="468"/>
      <c r="EXZ57" s="468"/>
      <c r="EYA57" s="468"/>
      <c r="EYB57" s="468"/>
      <c r="EYC57" s="468"/>
      <c r="EYD57" s="468"/>
      <c r="EYE57" s="468"/>
      <c r="EYF57" s="468"/>
      <c r="EYG57" s="468"/>
      <c r="EYH57" s="468"/>
      <c r="EYI57" s="468"/>
      <c r="EYJ57" s="468"/>
      <c r="EYK57" s="468"/>
      <c r="EYL57" s="468"/>
      <c r="EYM57" s="468"/>
      <c r="EYN57" s="468"/>
      <c r="EYO57" s="468"/>
      <c r="EYP57" s="468"/>
      <c r="EYQ57" s="468"/>
      <c r="EYR57" s="468"/>
      <c r="EYS57" s="468"/>
      <c r="EYT57" s="468"/>
      <c r="EYU57" s="468"/>
      <c r="EYV57" s="468"/>
      <c r="EYW57" s="468"/>
      <c r="EYX57" s="468"/>
      <c r="EYY57" s="468"/>
      <c r="EYZ57" s="468"/>
      <c r="EZA57" s="468"/>
      <c r="EZB57" s="468"/>
      <c r="EZC57" s="468"/>
      <c r="EZD57" s="468"/>
      <c r="EZE57" s="468"/>
      <c r="EZF57" s="468"/>
      <c r="EZG57" s="468"/>
      <c r="EZH57" s="468"/>
      <c r="EZI57" s="468"/>
      <c r="EZJ57" s="468"/>
      <c r="EZK57" s="468"/>
      <c r="EZL57" s="468"/>
      <c r="EZM57" s="468"/>
      <c r="EZN57" s="468"/>
      <c r="EZO57" s="468"/>
      <c r="EZP57" s="468"/>
      <c r="EZQ57" s="468"/>
      <c r="EZR57" s="468"/>
      <c r="EZS57" s="468"/>
      <c r="EZT57" s="468"/>
      <c r="EZU57" s="468"/>
      <c r="EZV57" s="468"/>
      <c r="EZW57" s="468"/>
      <c r="EZX57" s="468"/>
      <c r="EZY57" s="468"/>
      <c r="EZZ57" s="468"/>
      <c r="FAA57" s="468"/>
      <c r="FAB57" s="468"/>
      <c r="FAC57" s="468"/>
      <c r="FAD57" s="468"/>
      <c r="FAE57" s="468"/>
      <c r="FAF57" s="468"/>
      <c r="FAG57" s="468"/>
      <c r="FAH57" s="468"/>
      <c r="FAI57" s="468"/>
      <c r="FAJ57" s="468"/>
      <c r="FAK57" s="468"/>
      <c r="FAL57" s="468"/>
      <c r="FAM57" s="468"/>
      <c r="FAN57" s="468"/>
      <c r="FAO57" s="468"/>
      <c r="FAP57" s="468"/>
      <c r="FAQ57" s="468"/>
      <c r="FAR57" s="468"/>
      <c r="FAS57" s="468"/>
      <c r="FAT57" s="468"/>
      <c r="FAU57" s="468"/>
      <c r="FAV57" s="468"/>
      <c r="FAW57" s="468"/>
      <c r="FAX57" s="468"/>
      <c r="FAY57" s="468"/>
      <c r="FAZ57" s="468"/>
      <c r="FBA57" s="468"/>
      <c r="FBB57" s="468"/>
      <c r="FBC57" s="468"/>
      <c r="FBD57" s="468"/>
      <c r="FBE57" s="468"/>
      <c r="FBF57" s="468"/>
      <c r="FBG57" s="468"/>
      <c r="FBH57" s="468"/>
      <c r="FBI57" s="468"/>
      <c r="FBJ57" s="468"/>
      <c r="FBK57" s="468"/>
      <c r="FBL57" s="468"/>
      <c r="FBM57" s="468"/>
      <c r="FBN57" s="468"/>
      <c r="FBO57" s="468"/>
      <c r="FBP57" s="468"/>
      <c r="FBQ57" s="468"/>
      <c r="FBR57" s="468"/>
      <c r="FBS57" s="468"/>
      <c r="FBT57" s="468"/>
      <c r="FBU57" s="468"/>
      <c r="FBV57" s="468"/>
      <c r="FBW57" s="468"/>
      <c r="FBX57" s="468"/>
      <c r="FBY57" s="468"/>
      <c r="FBZ57" s="468"/>
      <c r="FCA57" s="468"/>
      <c r="FCB57" s="468"/>
      <c r="FCC57" s="468"/>
      <c r="FCD57" s="468"/>
      <c r="FCE57" s="468"/>
      <c r="FCF57" s="468"/>
      <c r="FCG57" s="468"/>
      <c r="FCH57" s="468"/>
      <c r="FCI57" s="468"/>
      <c r="FCJ57" s="468"/>
      <c r="FCK57" s="468"/>
      <c r="FCL57" s="468"/>
      <c r="FCM57" s="468"/>
      <c r="FCN57" s="468"/>
      <c r="FCO57" s="468"/>
      <c r="FCP57" s="468"/>
      <c r="FCQ57" s="468"/>
      <c r="FCR57" s="468"/>
      <c r="FCS57" s="468"/>
      <c r="FCT57" s="468"/>
      <c r="FCU57" s="468"/>
      <c r="FCV57" s="468"/>
      <c r="FCW57" s="468"/>
      <c r="FCX57" s="468"/>
      <c r="FCY57" s="468"/>
      <c r="FCZ57" s="468"/>
      <c r="FDA57" s="468"/>
      <c r="FDB57" s="468"/>
      <c r="FDC57" s="468"/>
      <c r="FDD57" s="468"/>
      <c r="FDE57" s="468"/>
      <c r="FDF57" s="468"/>
      <c r="FDG57" s="468"/>
      <c r="FDH57" s="468"/>
      <c r="FDI57" s="468"/>
      <c r="FDJ57" s="468"/>
      <c r="FDK57" s="468"/>
      <c r="FDL57" s="468"/>
      <c r="FDM57" s="468"/>
      <c r="FDN57" s="468"/>
      <c r="FDO57" s="468"/>
      <c r="FDP57" s="468"/>
      <c r="FDQ57" s="468"/>
      <c r="FDR57" s="468"/>
      <c r="FDS57" s="468"/>
      <c r="FDT57" s="468"/>
      <c r="FDU57" s="468"/>
      <c r="FDV57" s="468"/>
      <c r="FDW57" s="468"/>
      <c r="FDX57" s="468"/>
      <c r="FDY57" s="468"/>
      <c r="FDZ57" s="468"/>
      <c r="FEA57" s="468"/>
      <c r="FEB57" s="468"/>
      <c r="FEC57" s="468"/>
      <c r="FED57" s="468"/>
      <c r="FEE57" s="468"/>
      <c r="FEF57" s="468"/>
      <c r="FEG57" s="468"/>
      <c r="FEH57" s="468"/>
      <c r="FEI57" s="468"/>
      <c r="FEJ57" s="468"/>
      <c r="FEK57" s="468"/>
      <c r="FEL57" s="468"/>
      <c r="FEM57" s="468"/>
      <c r="FEN57" s="468"/>
      <c r="FEO57" s="468"/>
      <c r="FEP57" s="468"/>
      <c r="FEQ57" s="468"/>
      <c r="FER57" s="468"/>
      <c r="FES57" s="468"/>
      <c r="FET57" s="468"/>
      <c r="FEU57" s="468"/>
      <c r="FEV57" s="468"/>
      <c r="FEW57" s="468"/>
      <c r="FEX57" s="468"/>
      <c r="FEY57" s="468"/>
      <c r="FEZ57" s="468"/>
      <c r="FFA57" s="468"/>
      <c r="FFB57" s="468"/>
      <c r="FFC57" s="468"/>
      <c r="FFD57" s="468"/>
      <c r="FFE57" s="468"/>
      <c r="FFF57" s="468"/>
      <c r="FFG57" s="468"/>
      <c r="FFH57" s="468"/>
      <c r="FFI57" s="468"/>
      <c r="FFJ57" s="468"/>
      <c r="FFK57" s="468"/>
      <c r="FFL57" s="468"/>
      <c r="FFM57" s="468"/>
      <c r="FFN57" s="468"/>
      <c r="FFO57" s="468"/>
      <c r="FFP57" s="468"/>
      <c r="FFQ57" s="468"/>
      <c r="FFR57" s="468"/>
      <c r="FFS57" s="468"/>
      <c r="FFT57" s="468"/>
      <c r="FFU57" s="468"/>
      <c r="FFV57" s="468"/>
      <c r="FFW57" s="468"/>
      <c r="FFX57" s="468"/>
      <c r="FFY57" s="468"/>
      <c r="FFZ57" s="468"/>
      <c r="FGA57" s="468"/>
      <c r="FGB57" s="468"/>
      <c r="FGC57" s="468"/>
      <c r="FGD57" s="468"/>
      <c r="FGE57" s="468"/>
      <c r="FGF57" s="468"/>
      <c r="FGG57" s="468"/>
      <c r="FGH57" s="468"/>
      <c r="FGI57" s="468"/>
      <c r="FGJ57" s="468"/>
      <c r="FGK57" s="468"/>
      <c r="FGL57" s="468"/>
      <c r="FGM57" s="468"/>
      <c r="FGN57" s="468"/>
      <c r="FGO57" s="468"/>
      <c r="FGP57" s="468"/>
      <c r="FGQ57" s="468"/>
      <c r="FGR57" s="468"/>
      <c r="FGS57" s="468"/>
      <c r="FGT57" s="468"/>
      <c r="FGU57" s="468"/>
      <c r="FGV57" s="468"/>
      <c r="FGW57" s="468"/>
      <c r="FGX57" s="468"/>
      <c r="FGY57" s="468"/>
      <c r="FGZ57" s="468"/>
      <c r="FHA57" s="468"/>
      <c r="FHB57" s="468"/>
      <c r="FHC57" s="468"/>
      <c r="FHD57" s="468"/>
      <c r="FHE57" s="468"/>
      <c r="FHF57" s="468"/>
      <c r="FHG57" s="468"/>
      <c r="FHH57" s="468"/>
      <c r="FHI57" s="468"/>
      <c r="FHJ57" s="468"/>
      <c r="FHK57" s="468"/>
      <c r="FHL57" s="468"/>
      <c r="FHM57" s="468"/>
      <c r="FHN57" s="468"/>
      <c r="FHO57" s="468"/>
      <c r="FHP57" s="468"/>
      <c r="FHQ57" s="468"/>
      <c r="FHR57" s="468"/>
      <c r="FHS57" s="468"/>
      <c r="FHT57" s="468"/>
      <c r="FHU57" s="468"/>
      <c r="FHV57" s="468"/>
      <c r="FHW57" s="468"/>
      <c r="FHX57" s="468"/>
      <c r="FHY57" s="468"/>
      <c r="FHZ57" s="468"/>
      <c r="FIA57" s="468"/>
      <c r="FIB57" s="468"/>
      <c r="FIC57" s="468"/>
      <c r="FID57" s="468"/>
      <c r="FIE57" s="468"/>
      <c r="FIF57" s="468"/>
      <c r="FIG57" s="468"/>
      <c r="FIH57" s="468"/>
      <c r="FII57" s="468"/>
      <c r="FIJ57" s="468"/>
      <c r="FIK57" s="468"/>
      <c r="FIL57" s="468"/>
      <c r="FIM57" s="468"/>
      <c r="FIN57" s="468"/>
      <c r="FIO57" s="468"/>
      <c r="FIP57" s="468"/>
      <c r="FIQ57" s="468"/>
      <c r="FIR57" s="468"/>
      <c r="FIS57" s="468"/>
      <c r="FIT57" s="468"/>
      <c r="FIU57" s="468"/>
      <c r="FIV57" s="468"/>
      <c r="FIW57" s="468"/>
      <c r="FIX57" s="468"/>
      <c r="FIY57" s="468"/>
      <c r="FIZ57" s="468"/>
      <c r="FJA57" s="468"/>
      <c r="FJB57" s="468"/>
      <c r="FJC57" s="468"/>
      <c r="FJD57" s="468"/>
      <c r="FJE57" s="468"/>
      <c r="FJF57" s="468"/>
      <c r="FJG57" s="468"/>
      <c r="FJH57" s="468"/>
      <c r="FJI57" s="468"/>
      <c r="FJJ57" s="468"/>
      <c r="FJK57" s="468"/>
      <c r="FJL57" s="468"/>
      <c r="FJM57" s="468"/>
      <c r="FJN57" s="468"/>
      <c r="FJO57" s="468"/>
      <c r="FJP57" s="468"/>
      <c r="FJQ57" s="468"/>
      <c r="FJR57" s="468"/>
      <c r="FJS57" s="468"/>
      <c r="FJT57" s="468"/>
      <c r="FJU57" s="468"/>
      <c r="FJV57" s="468"/>
      <c r="FJW57" s="468"/>
      <c r="FJX57" s="468"/>
      <c r="FJY57" s="468"/>
      <c r="FJZ57" s="468"/>
      <c r="FKA57" s="468"/>
      <c r="FKB57" s="468"/>
      <c r="FKC57" s="468"/>
      <c r="FKD57" s="468"/>
      <c r="FKE57" s="468"/>
      <c r="FKF57" s="468"/>
      <c r="FKG57" s="468"/>
      <c r="FKH57" s="468"/>
      <c r="FKI57" s="468"/>
      <c r="FKJ57" s="468"/>
      <c r="FKK57" s="468"/>
      <c r="FKL57" s="468"/>
      <c r="FKM57" s="468"/>
      <c r="FKN57" s="468"/>
      <c r="FKO57" s="468"/>
      <c r="FKP57" s="468"/>
      <c r="FKQ57" s="468"/>
      <c r="FKR57" s="468"/>
      <c r="FKS57" s="468"/>
      <c r="FKT57" s="468"/>
      <c r="FKU57" s="468"/>
      <c r="FKV57" s="468"/>
      <c r="FKW57" s="468"/>
      <c r="FKX57" s="468"/>
      <c r="FKY57" s="468"/>
      <c r="FKZ57" s="468"/>
      <c r="FLA57" s="468"/>
      <c r="FLB57" s="468"/>
      <c r="FLC57" s="468"/>
      <c r="FLD57" s="468"/>
      <c r="FLE57" s="468"/>
      <c r="FLF57" s="468"/>
      <c r="FLG57" s="468"/>
      <c r="FLH57" s="468"/>
      <c r="FLI57" s="468"/>
      <c r="FLJ57" s="468"/>
      <c r="FLK57" s="468"/>
      <c r="FLL57" s="468"/>
      <c r="FLM57" s="468"/>
      <c r="FLN57" s="468"/>
      <c r="FLO57" s="468"/>
      <c r="FLP57" s="468"/>
      <c r="FLQ57" s="468"/>
      <c r="FLR57" s="468"/>
      <c r="FLS57" s="468"/>
      <c r="FLT57" s="468"/>
      <c r="FLU57" s="468"/>
      <c r="FLV57" s="468"/>
      <c r="FLW57" s="468"/>
      <c r="FLX57" s="468"/>
      <c r="FLY57" s="468"/>
      <c r="FLZ57" s="468"/>
      <c r="FMA57" s="468"/>
      <c r="FMB57" s="468"/>
      <c r="FMC57" s="468"/>
      <c r="FMD57" s="468"/>
      <c r="FME57" s="468"/>
      <c r="FMF57" s="468"/>
      <c r="FMG57" s="468"/>
      <c r="FMH57" s="468"/>
      <c r="FMI57" s="468"/>
      <c r="FMJ57" s="468"/>
      <c r="FMK57" s="468"/>
      <c r="FML57" s="468"/>
      <c r="FMM57" s="468"/>
      <c r="FMN57" s="468"/>
      <c r="FMO57" s="468"/>
      <c r="FMP57" s="468"/>
      <c r="FMQ57" s="468"/>
      <c r="FMR57" s="468"/>
      <c r="FMS57" s="468"/>
      <c r="FMT57" s="468"/>
      <c r="FMU57" s="468"/>
      <c r="FMV57" s="468"/>
      <c r="FMW57" s="468"/>
      <c r="FMX57" s="468"/>
      <c r="FMY57" s="468"/>
      <c r="FMZ57" s="468"/>
      <c r="FNA57" s="468"/>
      <c r="FNB57" s="468"/>
      <c r="FNC57" s="468"/>
      <c r="FND57" s="468"/>
      <c r="FNE57" s="468"/>
      <c r="FNF57" s="468"/>
      <c r="FNG57" s="468"/>
      <c r="FNH57" s="468"/>
      <c r="FNI57" s="468"/>
      <c r="FNJ57" s="468"/>
      <c r="FNK57" s="468"/>
      <c r="FNL57" s="468"/>
      <c r="FNM57" s="468"/>
      <c r="FNN57" s="468"/>
      <c r="FNO57" s="468"/>
      <c r="FNP57" s="468"/>
      <c r="FNQ57" s="468"/>
      <c r="FNR57" s="468"/>
      <c r="FNS57" s="468"/>
      <c r="FNT57" s="468"/>
      <c r="FNU57" s="468"/>
      <c r="FNV57" s="468"/>
      <c r="FNW57" s="468"/>
      <c r="FNX57" s="468"/>
      <c r="FNY57" s="468"/>
      <c r="FNZ57" s="468"/>
      <c r="FOA57" s="468"/>
      <c r="FOB57" s="468"/>
      <c r="FOC57" s="468"/>
      <c r="FOD57" s="468"/>
      <c r="FOE57" s="468"/>
      <c r="FOF57" s="468"/>
      <c r="FOG57" s="468"/>
      <c r="FOH57" s="468"/>
      <c r="FOI57" s="468"/>
      <c r="FOJ57" s="468"/>
      <c r="FOK57" s="468"/>
      <c r="FOL57" s="468"/>
      <c r="FOM57" s="468"/>
      <c r="FON57" s="468"/>
      <c r="FOO57" s="468"/>
      <c r="FOP57" s="468"/>
      <c r="FOQ57" s="468"/>
      <c r="FOR57" s="468"/>
      <c r="FOS57" s="468"/>
      <c r="FOT57" s="468"/>
      <c r="FOU57" s="468"/>
      <c r="FOV57" s="468"/>
      <c r="FOW57" s="468"/>
      <c r="FOX57" s="468"/>
      <c r="FOY57" s="468"/>
      <c r="FOZ57" s="468"/>
      <c r="FPA57" s="468"/>
      <c r="FPB57" s="468"/>
      <c r="FPC57" s="468"/>
      <c r="FPD57" s="468"/>
      <c r="FPE57" s="468"/>
      <c r="FPF57" s="468"/>
      <c r="FPG57" s="468"/>
      <c r="FPH57" s="468"/>
      <c r="FPI57" s="468"/>
      <c r="FPJ57" s="468"/>
      <c r="FPK57" s="468"/>
      <c r="FPL57" s="468"/>
      <c r="FPM57" s="468"/>
      <c r="FPN57" s="468"/>
      <c r="FPO57" s="468"/>
      <c r="FPP57" s="468"/>
      <c r="FPQ57" s="468"/>
      <c r="FPR57" s="468"/>
      <c r="FPS57" s="468"/>
      <c r="FPT57" s="468"/>
      <c r="FPU57" s="468"/>
      <c r="FPV57" s="468"/>
      <c r="FPW57" s="468"/>
      <c r="FPX57" s="468"/>
      <c r="FPY57" s="468"/>
      <c r="FPZ57" s="468"/>
      <c r="FQA57" s="468"/>
      <c r="FQB57" s="468"/>
      <c r="FQC57" s="468"/>
      <c r="FQD57" s="468"/>
      <c r="FQE57" s="468"/>
      <c r="FQF57" s="468"/>
      <c r="FQG57" s="468"/>
      <c r="FQH57" s="468"/>
      <c r="FQI57" s="468"/>
      <c r="FQJ57" s="468"/>
      <c r="FQK57" s="468"/>
      <c r="FQL57" s="468"/>
      <c r="FQM57" s="468"/>
      <c r="FQN57" s="468"/>
      <c r="FQO57" s="468"/>
      <c r="FQP57" s="468"/>
      <c r="FQQ57" s="468"/>
      <c r="FQR57" s="468"/>
      <c r="FQS57" s="468"/>
      <c r="FQT57" s="468"/>
      <c r="FQU57" s="468"/>
      <c r="FQV57" s="468"/>
      <c r="FQW57" s="468"/>
      <c r="FQX57" s="468"/>
      <c r="FQY57" s="468"/>
      <c r="FQZ57" s="468"/>
      <c r="FRA57" s="468"/>
      <c r="FRB57" s="468"/>
      <c r="FRC57" s="468"/>
      <c r="FRD57" s="468"/>
      <c r="FRE57" s="468"/>
      <c r="FRF57" s="468"/>
      <c r="FRG57" s="468"/>
      <c r="FRH57" s="468"/>
      <c r="FRI57" s="468"/>
      <c r="FRJ57" s="468"/>
      <c r="FRK57" s="468"/>
      <c r="FRL57" s="468"/>
      <c r="FRM57" s="468"/>
      <c r="FRN57" s="468"/>
      <c r="FRO57" s="468"/>
      <c r="FRP57" s="468"/>
      <c r="FRQ57" s="468"/>
      <c r="FRR57" s="468"/>
      <c r="FRS57" s="468"/>
      <c r="FRT57" s="468"/>
      <c r="FRU57" s="468"/>
      <c r="FRV57" s="468"/>
      <c r="FRW57" s="468"/>
      <c r="FRX57" s="468"/>
      <c r="FRY57" s="468"/>
      <c r="FRZ57" s="468"/>
      <c r="FSA57" s="468"/>
      <c r="FSB57" s="468"/>
      <c r="FSC57" s="468"/>
      <c r="FSD57" s="468"/>
      <c r="FSE57" s="468"/>
      <c r="FSF57" s="468"/>
      <c r="FSG57" s="468"/>
      <c r="FSH57" s="468"/>
      <c r="FSI57" s="468"/>
      <c r="FSJ57" s="468"/>
      <c r="FSK57" s="468"/>
      <c r="FSL57" s="468"/>
      <c r="FSM57" s="468"/>
      <c r="FSN57" s="468"/>
      <c r="FSO57" s="468"/>
      <c r="FSP57" s="468"/>
      <c r="FSQ57" s="468"/>
      <c r="FSR57" s="468"/>
      <c r="FSS57" s="468"/>
      <c r="FST57" s="468"/>
      <c r="FSU57" s="468"/>
      <c r="FSV57" s="468"/>
      <c r="FSW57" s="468"/>
      <c r="FSX57" s="468"/>
      <c r="FSY57" s="468"/>
      <c r="FSZ57" s="468"/>
      <c r="FTA57" s="468"/>
      <c r="FTB57" s="468"/>
      <c r="FTC57" s="468"/>
      <c r="FTD57" s="468"/>
      <c r="FTE57" s="468"/>
      <c r="FTF57" s="468"/>
      <c r="FTG57" s="468"/>
      <c r="FTH57" s="468"/>
      <c r="FTI57" s="468"/>
      <c r="FTJ57" s="468"/>
      <c r="FTK57" s="468"/>
      <c r="FTL57" s="468"/>
      <c r="FTM57" s="468"/>
      <c r="FTN57" s="468"/>
      <c r="FTO57" s="468"/>
      <c r="FTP57" s="468"/>
      <c r="FTQ57" s="468"/>
      <c r="FTR57" s="468"/>
      <c r="FTS57" s="468"/>
      <c r="FTT57" s="468"/>
      <c r="FTU57" s="468"/>
      <c r="FTV57" s="468"/>
      <c r="FTW57" s="468"/>
      <c r="FTX57" s="468"/>
      <c r="FTY57" s="468"/>
      <c r="FTZ57" s="468"/>
      <c r="FUA57" s="468"/>
      <c r="FUB57" s="468"/>
      <c r="FUC57" s="468"/>
      <c r="FUD57" s="468"/>
      <c r="FUE57" s="468"/>
      <c r="FUF57" s="468"/>
      <c r="FUG57" s="468"/>
      <c r="FUH57" s="468"/>
      <c r="FUI57" s="468"/>
      <c r="FUJ57" s="468"/>
      <c r="FUK57" s="468"/>
      <c r="FUL57" s="468"/>
      <c r="FUM57" s="468"/>
      <c r="FUN57" s="468"/>
      <c r="FUO57" s="468"/>
      <c r="FUP57" s="468"/>
      <c r="FUQ57" s="468"/>
      <c r="FUR57" s="468"/>
      <c r="FUS57" s="468"/>
      <c r="FUT57" s="468"/>
      <c r="FUU57" s="468"/>
      <c r="FUV57" s="468"/>
      <c r="FUW57" s="468"/>
      <c r="FUX57" s="468"/>
      <c r="FUY57" s="468"/>
      <c r="FUZ57" s="468"/>
      <c r="FVA57" s="468"/>
      <c r="FVB57" s="468"/>
      <c r="FVC57" s="468"/>
      <c r="FVD57" s="468"/>
      <c r="FVE57" s="468"/>
      <c r="FVF57" s="468"/>
      <c r="FVG57" s="468"/>
      <c r="FVH57" s="468"/>
      <c r="FVI57" s="468"/>
      <c r="FVJ57" s="468"/>
      <c r="FVK57" s="468"/>
      <c r="FVL57" s="468"/>
      <c r="FVM57" s="468"/>
      <c r="FVN57" s="468"/>
      <c r="FVO57" s="468"/>
      <c r="FVP57" s="468"/>
      <c r="FVQ57" s="468"/>
      <c r="FVR57" s="468"/>
      <c r="FVS57" s="468"/>
      <c r="FVT57" s="468"/>
      <c r="FVU57" s="468"/>
      <c r="FVV57" s="468"/>
      <c r="FVW57" s="468"/>
      <c r="FVX57" s="468"/>
      <c r="FVY57" s="468"/>
      <c r="FVZ57" s="468"/>
      <c r="FWA57" s="468"/>
      <c r="FWB57" s="468"/>
      <c r="FWC57" s="468"/>
      <c r="FWD57" s="468"/>
      <c r="FWE57" s="468"/>
      <c r="FWF57" s="468"/>
      <c r="FWG57" s="468"/>
      <c r="FWH57" s="468"/>
      <c r="FWI57" s="468"/>
      <c r="FWJ57" s="468"/>
      <c r="FWK57" s="468"/>
      <c r="FWL57" s="468"/>
      <c r="FWM57" s="468"/>
      <c r="FWN57" s="468"/>
      <c r="FWO57" s="468"/>
      <c r="FWP57" s="468"/>
      <c r="FWQ57" s="468"/>
      <c r="FWR57" s="468"/>
      <c r="FWS57" s="468"/>
      <c r="FWT57" s="468"/>
      <c r="FWU57" s="468"/>
      <c r="FWV57" s="468"/>
      <c r="FWW57" s="468"/>
      <c r="FWX57" s="468"/>
      <c r="FWY57" s="468"/>
      <c r="FWZ57" s="468"/>
      <c r="FXA57" s="468"/>
      <c r="FXB57" s="468"/>
      <c r="FXC57" s="468"/>
      <c r="FXD57" s="468"/>
      <c r="FXE57" s="468"/>
      <c r="FXF57" s="468"/>
      <c r="FXG57" s="468"/>
      <c r="FXH57" s="468"/>
      <c r="FXI57" s="468"/>
      <c r="FXJ57" s="468"/>
      <c r="FXK57" s="468"/>
      <c r="FXL57" s="468"/>
      <c r="FXM57" s="468"/>
      <c r="FXN57" s="468"/>
      <c r="FXO57" s="468"/>
      <c r="FXP57" s="468"/>
      <c r="FXQ57" s="468"/>
      <c r="FXR57" s="468"/>
      <c r="FXS57" s="468"/>
      <c r="FXT57" s="468"/>
      <c r="FXU57" s="468"/>
      <c r="FXV57" s="468"/>
      <c r="FXW57" s="468"/>
      <c r="FXX57" s="468"/>
      <c r="FXY57" s="468"/>
      <c r="FXZ57" s="468"/>
      <c r="FYA57" s="468"/>
      <c r="FYB57" s="468"/>
      <c r="FYC57" s="468"/>
      <c r="FYD57" s="468"/>
      <c r="FYE57" s="468"/>
      <c r="FYF57" s="468"/>
      <c r="FYG57" s="468"/>
      <c r="FYH57" s="468"/>
      <c r="FYI57" s="468"/>
      <c r="FYJ57" s="468"/>
      <c r="FYK57" s="468"/>
      <c r="FYL57" s="468"/>
      <c r="FYM57" s="468"/>
      <c r="FYN57" s="468"/>
      <c r="FYO57" s="468"/>
      <c r="FYP57" s="468"/>
      <c r="FYQ57" s="468"/>
      <c r="FYR57" s="468"/>
      <c r="FYS57" s="468"/>
      <c r="FYT57" s="468"/>
      <c r="FYU57" s="468"/>
      <c r="FYV57" s="468"/>
      <c r="FYW57" s="468"/>
      <c r="FYX57" s="468"/>
      <c r="FYY57" s="468"/>
      <c r="FYZ57" s="468"/>
      <c r="FZA57" s="468"/>
      <c r="FZB57" s="468"/>
      <c r="FZC57" s="468"/>
      <c r="FZD57" s="468"/>
      <c r="FZE57" s="468"/>
      <c r="FZF57" s="468"/>
      <c r="FZG57" s="468"/>
      <c r="FZH57" s="468"/>
      <c r="FZI57" s="468"/>
      <c r="FZJ57" s="468"/>
      <c r="FZK57" s="468"/>
      <c r="FZL57" s="468"/>
      <c r="FZM57" s="468"/>
      <c r="FZN57" s="468"/>
      <c r="FZO57" s="468"/>
      <c r="FZP57" s="468"/>
      <c r="FZQ57" s="468"/>
      <c r="FZR57" s="468"/>
      <c r="FZS57" s="468"/>
      <c r="FZT57" s="468"/>
      <c r="FZU57" s="468"/>
      <c r="FZV57" s="468"/>
      <c r="FZW57" s="468"/>
      <c r="FZX57" s="468"/>
      <c r="FZY57" s="468"/>
      <c r="FZZ57" s="468"/>
      <c r="GAA57" s="468"/>
      <c r="GAB57" s="468"/>
      <c r="GAC57" s="468"/>
      <c r="GAD57" s="468"/>
      <c r="GAE57" s="468"/>
      <c r="GAF57" s="468"/>
      <c r="GAG57" s="468"/>
      <c r="GAH57" s="468"/>
      <c r="GAI57" s="468"/>
      <c r="GAJ57" s="468"/>
      <c r="GAK57" s="468"/>
      <c r="GAL57" s="468"/>
      <c r="GAM57" s="468"/>
      <c r="GAN57" s="468"/>
      <c r="GAO57" s="468"/>
      <c r="GAP57" s="468"/>
      <c r="GAQ57" s="468"/>
      <c r="GAR57" s="468"/>
      <c r="GAS57" s="468"/>
      <c r="GAT57" s="468"/>
      <c r="GAU57" s="468"/>
      <c r="GAV57" s="468"/>
      <c r="GAW57" s="468"/>
      <c r="GAX57" s="468"/>
      <c r="GAY57" s="468"/>
      <c r="GAZ57" s="468"/>
      <c r="GBA57" s="468"/>
      <c r="GBB57" s="468"/>
      <c r="GBC57" s="468"/>
      <c r="GBD57" s="468"/>
      <c r="GBE57" s="468"/>
      <c r="GBF57" s="468"/>
      <c r="GBG57" s="468"/>
      <c r="GBH57" s="468"/>
      <c r="GBI57" s="468"/>
      <c r="GBJ57" s="468"/>
      <c r="GBK57" s="468"/>
      <c r="GBL57" s="468"/>
      <c r="GBM57" s="468"/>
      <c r="GBN57" s="468"/>
      <c r="GBO57" s="468"/>
      <c r="GBP57" s="468"/>
      <c r="GBQ57" s="468"/>
      <c r="GBR57" s="468"/>
      <c r="GBS57" s="468"/>
      <c r="GBT57" s="468"/>
      <c r="GBU57" s="468"/>
      <c r="GBV57" s="468"/>
      <c r="GBW57" s="468"/>
      <c r="GBX57" s="468"/>
      <c r="GBY57" s="468"/>
      <c r="GBZ57" s="468"/>
      <c r="GCA57" s="468"/>
      <c r="GCB57" s="468"/>
      <c r="GCC57" s="468"/>
      <c r="GCD57" s="468"/>
      <c r="GCE57" s="468"/>
      <c r="GCF57" s="468"/>
      <c r="GCG57" s="468"/>
      <c r="GCH57" s="468"/>
      <c r="GCI57" s="468"/>
      <c r="GCJ57" s="468"/>
      <c r="GCK57" s="468"/>
      <c r="GCL57" s="468"/>
      <c r="GCM57" s="468"/>
      <c r="GCN57" s="468"/>
      <c r="GCO57" s="468"/>
      <c r="GCP57" s="468"/>
      <c r="GCQ57" s="468"/>
      <c r="GCR57" s="468"/>
      <c r="GCS57" s="468"/>
      <c r="GCT57" s="468"/>
      <c r="GCU57" s="468"/>
      <c r="GCV57" s="468"/>
      <c r="GCW57" s="468"/>
      <c r="GCX57" s="468"/>
      <c r="GCY57" s="468"/>
      <c r="GCZ57" s="468"/>
      <c r="GDA57" s="468"/>
      <c r="GDB57" s="468"/>
      <c r="GDC57" s="468"/>
      <c r="GDD57" s="468"/>
      <c r="GDE57" s="468"/>
      <c r="GDF57" s="468"/>
      <c r="GDG57" s="468"/>
      <c r="GDH57" s="468"/>
      <c r="GDI57" s="468"/>
      <c r="GDJ57" s="468"/>
      <c r="GDK57" s="468"/>
      <c r="GDL57" s="468"/>
      <c r="GDM57" s="468"/>
      <c r="GDN57" s="468"/>
      <c r="GDO57" s="468"/>
      <c r="GDP57" s="468"/>
      <c r="GDQ57" s="468"/>
      <c r="GDR57" s="468"/>
      <c r="GDS57" s="468"/>
      <c r="GDT57" s="468"/>
      <c r="GDU57" s="468"/>
      <c r="GDV57" s="468"/>
      <c r="GDW57" s="468"/>
      <c r="GDX57" s="468"/>
      <c r="GDY57" s="468"/>
      <c r="GDZ57" s="468"/>
      <c r="GEA57" s="468"/>
      <c r="GEB57" s="468"/>
      <c r="GEC57" s="468"/>
      <c r="GED57" s="468"/>
      <c r="GEE57" s="468"/>
      <c r="GEF57" s="468"/>
      <c r="GEG57" s="468"/>
      <c r="GEH57" s="468"/>
      <c r="GEI57" s="468"/>
      <c r="GEJ57" s="468"/>
      <c r="GEK57" s="468"/>
      <c r="GEL57" s="468"/>
      <c r="GEM57" s="468"/>
      <c r="GEN57" s="468"/>
      <c r="GEO57" s="468"/>
      <c r="GEP57" s="468"/>
      <c r="GEQ57" s="468"/>
      <c r="GER57" s="468"/>
      <c r="GES57" s="468"/>
      <c r="GET57" s="468"/>
      <c r="GEU57" s="468"/>
      <c r="GEV57" s="468"/>
      <c r="GEW57" s="468"/>
      <c r="GEX57" s="468"/>
      <c r="GEY57" s="468"/>
      <c r="GEZ57" s="468"/>
      <c r="GFA57" s="468"/>
      <c r="GFB57" s="468"/>
      <c r="GFC57" s="468"/>
      <c r="GFD57" s="468"/>
      <c r="GFE57" s="468"/>
      <c r="GFF57" s="468"/>
      <c r="GFG57" s="468"/>
      <c r="GFH57" s="468"/>
      <c r="GFI57" s="468"/>
      <c r="GFJ57" s="468"/>
      <c r="GFK57" s="468"/>
      <c r="GFL57" s="468"/>
      <c r="GFM57" s="468"/>
      <c r="GFN57" s="468"/>
      <c r="GFO57" s="468"/>
      <c r="GFP57" s="468"/>
      <c r="GFQ57" s="468"/>
      <c r="GFR57" s="468"/>
      <c r="GFS57" s="468"/>
      <c r="GFT57" s="468"/>
      <c r="GFU57" s="468"/>
      <c r="GFV57" s="468"/>
      <c r="GFW57" s="468"/>
      <c r="GFX57" s="468"/>
      <c r="GFY57" s="468"/>
      <c r="GFZ57" s="468"/>
      <c r="GGA57" s="468"/>
      <c r="GGB57" s="468"/>
      <c r="GGC57" s="468"/>
      <c r="GGD57" s="468"/>
      <c r="GGE57" s="468"/>
      <c r="GGF57" s="468"/>
      <c r="GGG57" s="468"/>
      <c r="GGH57" s="468"/>
      <c r="GGI57" s="468"/>
      <c r="GGJ57" s="468"/>
      <c r="GGK57" s="468"/>
      <c r="GGL57" s="468"/>
      <c r="GGM57" s="468"/>
      <c r="GGN57" s="468"/>
      <c r="GGO57" s="468"/>
      <c r="GGP57" s="468"/>
      <c r="GGQ57" s="468"/>
      <c r="GGR57" s="468"/>
      <c r="GGS57" s="468"/>
      <c r="GGT57" s="468"/>
      <c r="GGU57" s="468"/>
      <c r="GGV57" s="468"/>
      <c r="GGW57" s="468"/>
      <c r="GGX57" s="468"/>
      <c r="GGY57" s="468"/>
      <c r="GGZ57" s="468"/>
      <c r="GHA57" s="468"/>
      <c r="GHB57" s="468"/>
      <c r="GHC57" s="468"/>
      <c r="GHD57" s="468"/>
      <c r="GHE57" s="468"/>
      <c r="GHF57" s="468"/>
      <c r="GHG57" s="468"/>
      <c r="GHH57" s="468"/>
      <c r="GHI57" s="468"/>
      <c r="GHJ57" s="468"/>
      <c r="GHK57" s="468"/>
      <c r="GHL57" s="468"/>
      <c r="GHM57" s="468"/>
      <c r="GHN57" s="468"/>
      <c r="GHO57" s="468"/>
      <c r="GHP57" s="468"/>
      <c r="GHQ57" s="468"/>
      <c r="GHR57" s="468"/>
      <c r="GHS57" s="468"/>
      <c r="GHT57" s="468"/>
      <c r="GHU57" s="468"/>
      <c r="GHV57" s="468"/>
      <c r="GHW57" s="468"/>
      <c r="GHX57" s="468"/>
      <c r="GHY57" s="468"/>
      <c r="GHZ57" s="468"/>
      <c r="GIA57" s="468"/>
      <c r="GIB57" s="468"/>
      <c r="GIC57" s="468"/>
      <c r="GID57" s="468"/>
      <c r="GIE57" s="468"/>
      <c r="GIF57" s="468"/>
      <c r="GIG57" s="468"/>
      <c r="GIH57" s="468"/>
      <c r="GII57" s="468"/>
      <c r="GIJ57" s="468"/>
      <c r="GIK57" s="468"/>
      <c r="GIL57" s="468"/>
      <c r="GIM57" s="468"/>
      <c r="GIN57" s="468"/>
      <c r="GIO57" s="468"/>
      <c r="GIP57" s="468"/>
      <c r="GIQ57" s="468"/>
      <c r="GIR57" s="468"/>
      <c r="GIS57" s="468"/>
      <c r="GIT57" s="468"/>
      <c r="GIU57" s="468"/>
      <c r="GIV57" s="468"/>
      <c r="GIW57" s="468"/>
      <c r="GIX57" s="468"/>
      <c r="GIY57" s="468"/>
      <c r="GIZ57" s="468"/>
      <c r="GJA57" s="468"/>
      <c r="GJB57" s="468"/>
      <c r="GJC57" s="468"/>
      <c r="GJD57" s="468"/>
      <c r="GJE57" s="468"/>
      <c r="GJF57" s="468"/>
      <c r="GJG57" s="468"/>
      <c r="GJH57" s="468"/>
      <c r="GJI57" s="468"/>
      <c r="GJJ57" s="468"/>
      <c r="GJK57" s="468"/>
      <c r="GJL57" s="468"/>
      <c r="GJM57" s="468"/>
      <c r="GJN57" s="468"/>
      <c r="GJO57" s="468"/>
      <c r="GJP57" s="468"/>
      <c r="GJQ57" s="468"/>
      <c r="GJR57" s="468"/>
      <c r="GJS57" s="468"/>
      <c r="GJT57" s="468"/>
      <c r="GJU57" s="468"/>
      <c r="GJV57" s="468"/>
      <c r="GJW57" s="468"/>
      <c r="GJX57" s="468"/>
      <c r="GJY57" s="468"/>
      <c r="GJZ57" s="468"/>
      <c r="GKA57" s="468"/>
      <c r="GKB57" s="468"/>
      <c r="GKC57" s="468"/>
      <c r="GKD57" s="468"/>
      <c r="GKE57" s="468"/>
      <c r="GKF57" s="468"/>
      <c r="GKG57" s="468"/>
      <c r="GKH57" s="468"/>
      <c r="GKI57" s="468"/>
      <c r="GKJ57" s="468"/>
      <c r="GKK57" s="468"/>
      <c r="GKL57" s="468"/>
      <c r="GKM57" s="468"/>
      <c r="GKN57" s="468"/>
      <c r="GKO57" s="468"/>
      <c r="GKP57" s="468"/>
      <c r="GKQ57" s="468"/>
      <c r="GKR57" s="468"/>
      <c r="GKS57" s="468"/>
      <c r="GKT57" s="468"/>
      <c r="GKU57" s="468"/>
      <c r="GKV57" s="468"/>
      <c r="GKW57" s="468"/>
      <c r="GKX57" s="468"/>
      <c r="GKY57" s="468"/>
      <c r="GKZ57" s="468"/>
      <c r="GLA57" s="468"/>
      <c r="GLB57" s="468"/>
      <c r="GLC57" s="468"/>
      <c r="GLD57" s="468"/>
      <c r="GLE57" s="468"/>
      <c r="GLF57" s="468"/>
      <c r="GLG57" s="468"/>
      <c r="GLH57" s="468"/>
      <c r="GLI57" s="468"/>
      <c r="GLJ57" s="468"/>
      <c r="GLK57" s="468"/>
      <c r="GLL57" s="468"/>
      <c r="GLM57" s="468"/>
      <c r="GLN57" s="468"/>
      <c r="GLO57" s="468"/>
      <c r="GLP57" s="468"/>
      <c r="GLQ57" s="468"/>
      <c r="GLR57" s="468"/>
      <c r="GLS57" s="468"/>
      <c r="GLT57" s="468"/>
      <c r="GLU57" s="468"/>
      <c r="GLV57" s="468"/>
      <c r="GLW57" s="468"/>
      <c r="GLX57" s="468"/>
      <c r="GLY57" s="468"/>
      <c r="GLZ57" s="468"/>
      <c r="GMA57" s="468"/>
      <c r="GMB57" s="468"/>
      <c r="GMC57" s="468"/>
      <c r="GMD57" s="468"/>
      <c r="GME57" s="468"/>
      <c r="GMF57" s="468"/>
      <c r="GMG57" s="468"/>
      <c r="GMH57" s="468"/>
      <c r="GMI57" s="468"/>
      <c r="GMJ57" s="468"/>
      <c r="GMK57" s="468"/>
      <c r="GML57" s="468"/>
      <c r="GMM57" s="468"/>
      <c r="GMN57" s="468"/>
      <c r="GMO57" s="468"/>
      <c r="GMP57" s="468"/>
      <c r="GMQ57" s="468"/>
      <c r="GMR57" s="468"/>
      <c r="GMS57" s="468"/>
      <c r="GMT57" s="468"/>
      <c r="GMU57" s="468"/>
      <c r="GMV57" s="468"/>
      <c r="GMW57" s="468"/>
      <c r="GMX57" s="468"/>
      <c r="GMY57" s="468"/>
      <c r="GMZ57" s="468"/>
      <c r="GNA57" s="468"/>
      <c r="GNB57" s="468"/>
      <c r="GNC57" s="468"/>
      <c r="GND57" s="468"/>
      <c r="GNE57" s="468"/>
      <c r="GNF57" s="468"/>
      <c r="GNG57" s="468"/>
      <c r="GNH57" s="468"/>
      <c r="GNI57" s="468"/>
      <c r="GNJ57" s="468"/>
      <c r="GNK57" s="468"/>
      <c r="GNL57" s="468"/>
      <c r="GNM57" s="468"/>
      <c r="GNN57" s="468"/>
      <c r="GNO57" s="468"/>
      <c r="GNP57" s="468"/>
      <c r="GNQ57" s="468"/>
      <c r="GNR57" s="468"/>
      <c r="GNS57" s="468"/>
      <c r="GNT57" s="468"/>
      <c r="GNU57" s="468"/>
      <c r="GNV57" s="468"/>
      <c r="GNW57" s="468"/>
      <c r="GNX57" s="468"/>
      <c r="GNY57" s="468"/>
      <c r="GNZ57" s="468"/>
      <c r="GOA57" s="468"/>
      <c r="GOB57" s="468"/>
      <c r="GOC57" s="468"/>
      <c r="GOD57" s="468"/>
      <c r="GOE57" s="468"/>
      <c r="GOF57" s="468"/>
      <c r="GOG57" s="468"/>
      <c r="GOH57" s="468"/>
      <c r="GOI57" s="468"/>
      <c r="GOJ57" s="468"/>
      <c r="GOK57" s="468"/>
      <c r="GOL57" s="468"/>
      <c r="GOM57" s="468"/>
      <c r="GON57" s="468"/>
      <c r="GOO57" s="468"/>
      <c r="GOP57" s="468"/>
      <c r="GOQ57" s="468"/>
      <c r="GOR57" s="468"/>
      <c r="GOS57" s="468"/>
      <c r="GOT57" s="468"/>
      <c r="GOU57" s="468"/>
      <c r="GOV57" s="468"/>
      <c r="GOW57" s="468"/>
      <c r="GOX57" s="468"/>
      <c r="GOY57" s="468"/>
      <c r="GOZ57" s="468"/>
      <c r="GPA57" s="468"/>
      <c r="GPB57" s="468"/>
      <c r="GPC57" s="468"/>
      <c r="GPD57" s="468"/>
      <c r="GPE57" s="468"/>
      <c r="GPF57" s="468"/>
      <c r="GPG57" s="468"/>
      <c r="GPH57" s="468"/>
      <c r="GPI57" s="468"/>
      <c r="GPJ57" s="468"/>
      <c r="GPK57" s="468"/>
      <c r="GPL57" s="468"/>
      <c r="GPM57" s="468"/>
      <c r="GPN57" s="468"/>
      <c r="GPO57" s="468"/>
      <c r="GPP57" s="468"/>
      <c r="GPQ57" s="468"/>
      <c r="GPR57" s="468"/>
      <c r="GPS57" s="468"/>
      <c r="GPT57" s="468"/>
      <c r="GPU57" s="468"/>
      <c r="GPV57" s="468"/>
      <c r="GPW57" s="468"/>
      <c r="GPX57" s="468"/>
      <c r="GPY57" s="468"/>
      <c r="GPZ57" s="468"/>
      <c r="GQA57" s="468"/>
      <c r="GQB57" s="468"/>
      <c r="GQC57" s="468"/>
      <c r="GQD57" s="468"/>
      <c r="GQE57" s="468"/>
      <c r="GQF57" s="468"/>
      <c r="GQG57" s="468"/>
      <c r="GQH57" s="468"/>
      <c r="GQI57" s="468"/>
      <c r="GQJ57" s="468"/>
      <c r="GQK57" s="468"/>
      <c r="GQL57" s="468"/>
      <c r="GQM57" s="468"/>
      <c r="GQN57" s="468"/>
      <c r="GQO57" s="468"/>
      <c r="GQP57" s="468"/>
      <c r="GQQ57" s="468"/>
      <c r="GQR57" s="468"/>
      <c r="GQS57" s="468"/>
      <c r="GQT57" s="468"/>
      <c r="GQU57" s="468"/>
      <c r="GQV57" s="468"/>
      <c r="GQW57" s="468"/>
      <c r="GQX57" s="468"/>
      <c r="GQY57" s="468"/>
      <c r="GQZ57" s="468"/>
      <c r="GRA57" s="468"/>
      <c r="GRB57" s="468"/>
      <c r="GRC57" s="468"/>
      <c r="GRD57" s="468"/>
      <c r="GRE57" s="468"/>
      <c r="GRF57" s="468"/>
      <c r="GRG57" s="468"/>
      <c r="GRH57" s="468"/>
      <c r="GRI57" s="468"/>
      <c r="GRJ57" s="468"/>
      <c r="GRK57" s="468"/>
      <c r="GRL57" s="468"/>
      <c r="GRM57" s="468"/>
      <c r="GRN57" s="468"/>
      <c r="GRO57" s="468"/>
      <c r="GRP57" s="468"/>
      <c r="GRQ57" s="468"/>
      <c r="GRR57" s="468"/>
      <c r="GRS57" s="468"/>
      <c r="GRT57" s="468"/>
      <c r="GRU57" s="468"/>
      <c r="GRV57" s="468"/>
      <c r="GRW57" s="468"/>
      <c r="GRX57" s="468"/>
      <c r="GRY57" s="468"/>
      <c r="GRZ57" s="468"/>
      <c r="GSA57" s="468"/>
      <c r="GSB57" s="468"/>
      <c r="GSC57" s="468"/>
      <c r="GSD57" s="468"/>
      <c r="GSE57" s="468"/>
      <c r="GSF57" s="468"/>
      <c r="GSG57" s="468"/>
      <c r="GSH57" s="468"/>
      <c r="GSI57" s="468"/>
      <c r="GSJ57" s="468"/>
      <c r="GSK57" s="468"/>
      <c r="GSL57" s="468"/>
      <c r="GSM57" s="468"/>
      <c r="GSN57" s="468"/>
      <c r="GSO57" s="468"/>
      <c r="GSP57" s="468"/>
      <c r="GSQ57" s="468"/>
      <c r="GSR57" s="468"/>
      <c r="GSS57" s="468"/>
      <c r="GST57" s="468"/>
      <c r="GSU57" s="468"/>
      <c r="GSV57" s="468"/>
      <c r="GSW57" s="468"/>
      <c r="GSX57" s="468"/>
      <c r="GSY57" s="468"/>
      <c r="GSZ57" s="468"/>
      <c r="GTA57" s="468"/>
      <c r="GTB57" s="468"/>
      <c r="GTC57" s="468"/>
      <c r="GTD57" s="468"/>
      <c r="GTE57" s="468"/>
      <c r="GTF57" s="468"/>
      <c r="GTG57" s="468"/>
      <c r="GTH57" s="468"/>
      <c r="GTI57" s="468"/>
      <c r="GTJ57" s="468"/>
      <c r="GTK57" s="468"/>
      <c r="GTL57" s="468"/>
      <c r="GTM57" s="468"/>
      <c r="GTN57" s="468"/>
      <c r="GTO57" s="468"/>
      <c r="GTP57" s="468"/>
      <c r="GTQ57" s="468"/>
      <c r="GTR57" s="468"/>
      <c r="GTS57" s="468"/>
      <c r="GTT57" s="468"/>
      <c r="GTU57" s="468"/>
      <c r="GTV57" s="468"/>
      <c r="GTW57" s="468"/>
      <c r="GTX57" s="468"/>
      <c r="GTY57" s="468"/>
      <c r="GTZ57" s="468"/>
      <c r="GUA57" s="468"/>
      <c r="GUB57" s="468"/>
      <c r="GUC57" s="468"/>
      <c r="GUD57" s="468"/>
      <c r="GUE57" s="468"/>
      <c r="GUF57" s="468"/>
      <c r="GUG57" s="468"/>
      <c r="GUH57" s="468"/>
      <c r="GUI57" s="468"/>
      <c r="GUJ57" s="468"/>
      <c r="GUK57" s="468"/>
      <c r="GUL57" s="468"/>
      <c r="GUM57" s="468"/>
      <c r="GUN57" s="468"/>
      <c r="GUO57" s="468"/>
      <c r="GUP57" s="468"/>
      <c r="GUQ57" s="468"/>
      <c r="GUR57" s="468"/>
      <c r="GUS57" s="468"/>
      <c r="GUT57" s="468"/>
      <c r="GUU57" s="468"/>
      <c r="GUV57" s="468"/>
      <c r="GUW57" s="468"/>
      <c r="GUX57" s="468"/>
      <c r="GUY57" s="468"/>
      <c r="GUZ57" s="468"/>
      <c r="GVA57" s="468"/>
      <c r="GVB57" s="468"/>
      <c r="GVC57" s="468"/>
      <c r="GVD57" s="468"/>
      <c r="GVE57" s="468"/>
      <c r="GVF57" s="468"/>
      <c r="GVG57" s="468"/>
      <c r="GVH57" s="468"/>
      <c r="GVI57" s="468"/>
      <c r="GVJ57" s="468"/>
      <c r="GVK57" s="468"/>
      <c r="GVL57" s="468"/>
      <c r="GVM57" s="468"/>
      <c r="GVN57" s="468"/>
      <c r="GVO57" s="468"/>
      <c r="GVP57" s="468"/>
      <c r="GVQ57" s="468"/>
      <c r="GVR57" s="468"/>
      <c r="GVS57" s="468"/>
      <c r="GVT57" s="468"/>
      <c r="GVU57" s="468"/>
      <c r="GVV57" s="468"/>
      <c r="GVW57" s="468"/>
      <c r="GVX57" s="468"/>
      <c r="GVY57" s="468"/>
      <c r="GVZ57" s="468"/>
      <c r="GWA57" s="468"/>
      <c r="GWB57" s="468"/>
      <c r="GWC57" s="468"/>
      <c r="GWD57" s="468"/>
      <c r="GWE57" s="468"/>
      <c r="GWF57" s="468"/>
      <c r="GWG57" s="468"/>
      <c r="GWH57" s="468"/>
      <c r="GWI57" s="468"/>
      <c r="GWJ57" s="468"/>
      <c r="GWK57" s="468"/>
      <c r="GWL57" s="468"/>
      <c r="GWM57" s="468"/>
      <c r="GWN57" s="468"/>
      <c r="GWO57" s="468"/>
      <c r="GWP57" s="468"/>
      <c r="GWQ57" s="468"/>
      <c r="GWR57" s="468"/>
      <c r="GWS57" s="468"/>
      <c r="GWT57" s="468"/>
      <c r="GWU57" s="468"/>
      <c r="GWV57" s="468"/>
      <c r="GWW57" s="468"/>
      <c r="GWX57" s="468"/>
      <c r="GWY57" s="468"/>
      <c r="GWZ57" s="468"/>
      <c r="GXA57" s="468"/>
      <c r="GXB57" s="468"/>
      <c r="GXC57" s="468"/>
      <c r="GXD57" s="468"/>
      <c r="GXE57" s="468"/>
      <c r="GXF57" s="468"/>
      <c r="GXG57" s="468"/>
      <c r="GXH57" s="468"/>
      <c r="GXI57" s="468"/>
      <c r="GXJ57" s="468"/>
      <c r="GXK57" s="468"/>
      <c r="GXL57" s="468"/>
      <c r="GXM57" s="468"/>
      <c r="GXN57" s="468"/>
      <c r="GXO57" s="468"/>
      <c r="GXP57" s="468"/>
      <c r="GXQ57" s="468"/>
      <c r="GXR57" s="468"/>
      <c r="GXS57" s="468"/>
      <c r="GXT57" s="468"/>
      <c r="GXU57" s="468"/>
      <c r="GXV57" s="468"/>
      <c r="GXW57" s="468"/>
      <c r="GXX57" s="468"/>
      <c r="GXY57" s="468"/>
      <c r="GXZ57" s="468"/>
      <c r="GYA57" s="468"/>
      <c r="GYB57" s="468"/>
      <c r="GYC57" s="468"/>
      <c r="GYD57" s="468"/>
      <c r="GYE57" s="468"/>
      <c r="GYF57" s="468"/>
      <c r="GYG57" s="468"/>
      <c r="GYH57" s="468"/>
      <c r="GYI57" s="468"/>
      <c r="GYJ57" s="468"/>
      <c r="GYK57" s="468"/>
      <c r="GYL57" s="468"/>
      <c r="GYM57" s="468"/>
      <c r="GYN57" s="468"/>
      <c r="GYO57" s="468"/>
      <c r="GYP57" s="468"/>
      <c r="GYQ57" s="468"/>
      <c r="GYR57" s="468"/>
      <c r="GYS57" s="468"/>
      <c r="GYT57" s="468"/>
      <c r="GYU57" s="468"/>
      <c r="GYV57" s="468"/>
      <c r="GYW57" s="468"/>
      <c r="GYX57" s="468"/>
      <c r="GYY57" s="468"/>
      <c r="GYZ57" s="468"/>
      <c r="GZA57" s="468"/>
      <c r="GZB57" s="468"/>
      <c r="GZC57" s="468"/>
      <c r="GZD57" s="468"/>
      <c r="GZE57" s="468"/>
      <c r="GZF57" s="468"/>
      <c r="GZG57" s="468"/>
      <c r="GZH57" s="468"/>
      <c r="GZI57" s="468"/>
      <c r="GZJ57" s="468"/>
      <c r="GZK57" s="468"/>
      <c r="GZL57" s="468"/>
      <c r="GZM57" s="468"/>
      <c r="GZN57" s="468"/>
      <c r="GZO57" s="468"/>
      <c r="GZP57" s="468"/>
      <c r="GZQ57" s="468"/>
      <c r="GZR57" s="468"/>
      <c r="GZS57" s="468"/>
      <c r="GZT57" s="468"/>
      <c r="GZU57" s="468"/>
      <c r="GZV57" s="468"/>
      <c r="GZW57" s="468"/>
      <c r="GZX57" s="468"/>
      <c r="GZY57" s="468"/>
      <c r="GZZ57" s="468"/>
      <c r="HAA57" s="468"/>
      <c r="HAB57" s="468"/>
      <c r="HAC57" s="468"/>
      <c r="HAD57" s="468"/>
      <c r="HAE57" s="468"/>
      <c r="HAF57" s="468"/>
      <c r="HAG57" s="468"/>
      <c r="HAH57" s="468"/>
      <c r="HAI57" s="468"/>
      <c r="HAJ57" s="468"/>
      <c r="HAK57" s="468"/>
      <c r="HAL57" s="468"/>
      <c r="HAM57" s="468"/>
      <c r="HAN57" s="468"/>
      <c r="HAO57" s="468"/>
      <c r="HAP57" s="468"/>
      <c r="HAQ57" s="468"/>
      <c r="HAR57" s="468"/>
      <c r="HAS57" s="468"/>
      <c r="HAT57" s="468"/>
      <c r="HAU57" s="468"/>
      <c r="HAV57" s="468"/>
      <c r="HAW57" s="468"/>
      <c r="HAX57" s="468"/>
      <c r="HAY57" s="468"/>
      <c r="HAZ57" s="468"/>
      <c r="HBA57" s="468"/>
      <c r="HBB57" s="468"/>
      <c r="HBC57" s="468"/>
      <c r="HBD57" s="468"/>
      <c r="HBE57" s="468"/>
      <c r="HBF57" s="468"/>
      <c r="HBG57" s="468"/>
      <c r="HBH57" s="468"/>
      <c r="HBI57" s="468"/>
      <c r="HBJ57" s="468"/>
      <c r="HBK57" s="468"/>
      <c r="HBL57" s="468"/>
      <c r="HBM57" s="468"/>
      <c r="HBN57" s="468"/>
      <c r="HBO57" s="468"/>
      <c r="HBP57" s="468"/>
      <c r="HBQ57" s="468"/>
      <c r="HBR57" s="468"/>
      <c r="HBS57" s="468"/>
      <c r="HBT57" s="468"/>
      <c r="HBU57" s="468"/>
      <c r="HBV57" s="468"/>
      <c r="HBW57" s="468"/>
      <c r="HBX57" s="468"/>
      <c r="HBY57" s="468"/>
      <c r="HBZ57" s="468"/>
      <c r="HCA57" s="468"/>
      <c r="HCB57" s="468"/>
      <c r="HCC57" s="468"/>
      <c r="HCD57" s="468"/>
      <c r="HCE57" s="468"/>
      <c r="HCF57" s="468"/>
      <c r="HCG57" s="468"/>
      <c r="HCH57" s="468"/>
      <c r="HCI57" s="468"/>
      <c r="HCJ57" s="468"/>
      <c r="HCK57" s="468"/>
      <c r="HCL57" s="468"/>
      <c r="HCM57" s="468"/>
      <c r="HCN57" s="468"/>
      <c r="HCO57" s="468"/>
      <c r="HCP57" s="468"/>
      <c r="HCQ57" s="468"/>
      <c r="HCR57" s="468"/>
      <c r="HCS57" s="468"/>
      <c r="HCT57" s="468"/>
      <c r="HCU57" s="468"/>
      <c r="HCV57" s="468"/>
      <c r="HCW57" s="468"/>
      <c r="HCX57" s="468"/>
      <c r="HCY57" s="468"/>
      <c r="HCZ57" s="468"/>
      <c r="HDA57" s="468"/>
      <c r="HDB57" s="468"/>
      <c r="HDC57" s="468"/>
      <c r="HDD57" s="468"/>
      <c r="HDE57" s="468"/>
      <c r="HDF57" s="468"/>
      <c r="HDG57" s="468"/>
      <c r="HDH57" s="468"/>
      <c r="HDI57" s="468"/>
      <c r="HDJ57" s="468"/>
      <c r="HDK57" s="468"/>
      <c r="HDL57" s="468"/>
      <c r="HDM57" s="468"/>
      <c r="HDN57" s="468"/>
      <c r="HDO57" s="468"/>
      <c r="HDP57" s="468"/>
      <c r="HDQ57" s="468"/>
      <c r="HDR57" s="468"/>
      <c r="HDS57" s="468"/>
      <c r="HDT57" s="468"/>
      <c r="HDU57" s="468"/>
      <c r="HDV57" s="468"/>
      <c r="HDW57" s="468"/>
      <c r="HDX57" s="468"/>
      <c r="HDY57" s="468"/>
      <c r="HDZ57" s="468"/>
      <c r="HEA57" s="468"/>
      <c r="HEB57" s="468"/>
      <c r="HEC57" s="468"/>
      <c r="HED57" s="468"/>
      <c r="HEE57" s="468"/>
      <c r="HEF57" s="468"/>
      <c r="HEG57" s="468"/>
      <c r="HEH57" s="468"/>
      <c r="HEI57" s="468"/>
      <c r="HEJ57" s="468"/>
      <c r="HEK57" s="468"/>
      <c r="HEL57" s="468"/>
      <c r="HEM57" s="468"/>
      <c r="HEN57" s="468"/>
      <c r="HEO57" s="468"/>
      <c r="HEP57" s="468"/>
      <c r="HEQ57" s="468"/>
      <c r="HER57" s="468"/>
      <c r="HES57" s="468"/>
      <c r="HET57" s="468"/>
      <c r="HEU57" s="468"/>
      <c r="HEV57" s="468"/>
      <c r="HEW57" s="468"/>
      <c r="HEX57" s="468"/>
      <c r="HEY57" s="468"/>
      <c r="HEZ57" s="468"/>
      <c r="HFA57" s="468"/>
      <c r="HFB57" s="468"/>
      <c r="HFC57" s="468"/>
      <c r="HFD57" s="468"/>
      <c r="HFE57" s="468"/>
      <c r="HFF57" s="468"/>
      <c r="HFG57" s="468"/>
      <c r="HFH57" s="468"/>
      <c r="HFI57" s="468"/>
      <c r="HFJ57" s="468"/>
      <c r="HFK57" s="468"/>
      <c r="HFL57" s="468"/>
      <c r="HFM57" s="468"/>
      <c r="HFN57" s="468"/>
      <c r="HFO57" s="468"/>
      <c r="HFP57" s="468"/>
      <c r="HFQ57" s="468"/>
      <c r="HFR57" s="468"/>
      <c r="HFS57" s="468"/>
      <c r="HFT57" s="468"/>
      <c r="HFU57" s="468"/>
      <c r="HFV57" s="468"/>
      <c r="HFW57" s="468"/>
      <c r="HFX57" s="468"/>
      <c r="HFY57" s="468"/>
      <c r="HFZ57" s="468"/>
      <c r="HGA57" s="468"/>
      <c r="HGB57" s="468"/>
      <c r="HGC57" s="468"/>
      <c r="HGD57" s="468"/>
      <c r="HGE57" s="468"/>
      <c r="HGF57" s="468"/>
      <c r="HGG57" s="468"/>
      <c r="HGH57" s="468"/>
      <c r="HGI57" s="468"/>
      <c r="HGJ57" s="468"/>
      <c r="HGK57" s="468"/>
      <c r="HGL57" s="468"/>
      <c r="HGM57" s="468"/>
      <c r="HGN57" s="468"/>
      <c r="HGO57" s="468"/>
      <c r="HGP57" s="468"/>
      <c r="HGQ57" s="468"/>
      <c r="HGR57" s="468"/>
      <c r="HGS57" s="468"/>
      <c r="HGT57" s="468"/>
      <c r="HGU57" s="468"/>
      <c r="HGV57" s="468"/>
      <c r="HGW57" s="468"/>
      <c r="HGX57" s="468"/>
      <c r="HGY57" s="468"/>
      <c r="HGZ57" s="468"/>
      <c r="HHA57" s="468"/>
      <c r="HHB57" s="468"/>
      <c r="HHC57" s="468"/>
      <c r="HHD57" s="468"/>
      <c r="HHE57" s="468"/>
      <c r="HHF57" s="468"/>
      <c r="HHG57" s="468"/>
      <c r="HHH57" s="468"/>
      <c r="HHI57" s="468"/>
      <c r="HHJ57" s="468"/>
      <c r="HHK57" s="468"/>
      <c r="HHL57" s="468"/>
      <c r="HHM57" s="468"/>
      <c r="HHN57" s="468"/>
      <c r="HHO57" s="468"/>
      <c r="HHP57" s="468"/>
      <c r="HHQ57" s="468"/>
      <c r="HHR57" s="468"/>
      <c r="HHS57" s="468"/>
      <c r="HHT57" s="468"/>
      <c r="HHU57" s="468"/>
      <c r="HHV57" s="468"/>
      <c r="HHW57" s="468"/>
      <c r="HHX57" s="468"/>
      <c r="HHY57" s="468"/>
      <c r="HHZ57" s="468"/>
      <c r="HIA57" s="468"/>
      <c r="HIB57" s="468"/>
      <c r="HIC57" s="468"/>
      <c r="HID57" s="468"/>
      <c r="HIE57" s="468"/>
      <c r="HIF57" s="468"/>
      <c r="HIG57" s="468"/>
      <c r="HIH57" s="468"/>
      <c r="HII57" s="468"/>
      <c r="HIJ57" s="468"/>
      <c r="HIK57" s="468"/>
      <c r="HIL57" s="468"/>
      <c r="HIM57" s="468"/>
      <c r="HIN57" s="468"/>
      <c r="HIO57" s="468"/>
      <c r="HIP57" s="468"/>
      <c r="HIQ57" s="468"/>
      <c r="HIR57" s="468"/>
      <c r="HIS57" s="468"/>
      <c r="HIT57" s="468"/>
      <c r="HIU57" s="468"/>
      <c r="HIV57" s="468"/>
      <c r="HIW57" s="468"/>
      <c r="HIX57" s="468"/>
      <c r="HIY57" s="468"/>
      <c r="HIZ57" s="468"/>
      <c r="HJA57" s="468"/>
      <c r="HJB57" s="468"/>
      <c r="HJC57" s="468"/>
      <c r="HJD57" s="468"/>
      <c r="HJE57" s="468"/>
      <c r="HJF57" s="468"/>
      <c r="HJG57" s="468"/>
      <c r="HJH57" s="468"/>
      <c r="HJI57" s="468"/>
      <c r="HJJ57" s="468"/>
      <c r="HJK57" s="468"/>
      <c r="HJL57" s="468"/>
      <c r="HJM57" s="468"/>
      <c r="HJN57" s="468"/>
      <c r="HJO57" s="468"/>
      <c r="HJP57" s="468"/>
      <c r="HJQ57" s="468"/>
      <c r="HJR57" s="468"/>
      <c r="HJS57" s="468"/>
      <c r="HJT57" s="468"/>
      <c r="HJU57" s="468"/>
      <c r="HJV57" s="468"/>
      <c r="HJW57" s="468"/>
      <c r="HJX57" s="468"/>
      <c r="HJY57" s="468"/>
      <c r="HJZ57" s="468"/>
      <c r="HKA57" s="468"/>
      <c r="HKB57" s="468"/>
      <c r="HKC57" s="468"/>
      <c r="HKD57" s="468"/>
      <c r="HKE57" s="468"/>
      <c r="HKF57" s="468"/>
      <c r="HKG57" s="468"/>
      <c r="HKH57" s="468"/>
      <c r="HKI57" s="468"/>
      <c r="HKJ57" s="468"/>
      <c r="HKK57" s="468"/>
      <c r="HKL57" s="468"/>
      <c r="HKM57" s="468"/>
      <c r="HKN57" s="468"/>
      <c r="HKO57" s="468"/>
      <c r="HKP57" s="468"/>
      <c r="HKQ57" s="468"/>
      <c r="HKR57" s="468"/>
      <c r="HKS57" s="468"/>
      <c r="HKT57" s="468"/>
      <c r="HKU57" s="468"/>
      <c r="HKV57" s="468"/>
      <c r="HKW57" s="468"/>
      <c r="HKX57" s="468"/>
      <c r="HKY57" s="468"/>
      <c r="HKZ57" s="468"/>
      <c r="HLA57" s="468"/>
      <c r="HLB57" s="468"/>
      <c r="HLC57" s="468"/>
      <c r="HLD57" s="468"/>
      <c r="HLE57" s="468"/>
      <c r="HLF57" s="468"/>
      <c r="HLG57" s="468"/>
      <c r="HLH57" s="468"/>
      <c r="HLI57" s="468"/>
      <c r="HLJ57" s="468"/>
      <c r="HLK57" s="468"/>
      <c r="HLL57" s="468"/>
      <c r="HLM57" s="468"/>
      <c r="HLN57" s="468"/>
      <c r="HLO57" s="468"/>
      <c r="HLP57" s="468"/>
      <c r="HLQ57" s="468"/>
      <c r="HLR57" s="468"/>
      <c r="HLS57" s="468"/>
      <c r="HLT57" s="468"/>
      <c r="HLU57" s="468"/>
      <c r="HLV57" s="468"/>
      <c r="HLW57" s="468"/>
      <c r="HLX57" s="468"/>
      <c r="HLY57" s="468"/>
      <c r="HLZ57" s="468"/>
      <c r="HMA57" s="468"/>
      <c r="HMB57" s="468"/>
      <c r="HMC57" s="468"/>
      <c r="HMD57" s="468"/>
      <c r="HME57" s="468"/>
      <c r="HMF57" s="468"/>
      <c r="HMG57" s="468"/>
      <c r="HMH57" s="468"/>
      <c r="HMI57" s="468"/>
      <c r="HMJ57" s="468"/>
      <c r="HMK57" s="468"/>
      <c r="HML57" s="468"/>
      <c r="HMM57" s="468"/>
      <c r="HMN57" s="468"/>
      <c r="HMO57" s="468"/>
      <c r="HMP57" s="468"/>
      <c r="HMQ57" s="468"/>
      <c r="HMR57" s="468"/>
      <c r="HMS57" s="468"/>
      <c r="HMT57" s="468"/>
      <c r="HMU57" s="468"/>
      <c r="HMV57" s="468"/>
      <c r="HMW57" s="468"/>
      <c r="HMX57" s="468"/>
      <c r="HMY57" s="468"/>
      <c r="HMZ57" s="468"/>
      <c r="HNA57" s="468"/>
      <c r="HNB57" s="468"/>
      <c r="HNC57" s="468"/>
      <c r="HND57" s="468"/>
      <c r="HNE57" s="468"/>
      <c r="HNF57" s="468"/>
      <c r="HNG57" s="468"/>
      <c r="HNH57" s="468"/>
      <c r="HNI57" s="468"/>
      <c r="HNJ57" s="468"/>
      <c r="HNK57" s="468"/>
      <c r="HNL57" s="468"/>
      <c r="HNM57" s="468"/>
      <c r="HNN57" s="468"/>
      <c r="HNO57" s="468"/>
      <c r="HNP57" s="468"/>
      <c r="HNQ57" s="468"/>
      <c r="HNR57" s="468"/>
      <c r="HNS57" s="468"/>
      <c r="HNT57" s="468"/>
      <c r="HNU57" s="468"/>
      <c r="HNV57" s="468"/>
      <c r="HNW57" s="468"/>
      <c r="HNX57" s="468"/>
      <c r="HNY57" s="468"/>
      <c r="HNZ57" s="468"/>
      <c r="HOA57" s="468"/>
      <c r="HOB57" s="468"/>
      <c r="HOC57" s="468"/>
      <c r="HOD57" s="468"/>
      <c r="HOE57" s="468"/>
      <c r="HOF57" s="468"/>
      <c r="HOG57" s="468"/>
      <c r="HOH57" s="468"/>
      <c r="HOI57" s="468"/>
      <c r="HOJ57" s="468"/>
      <c r="HOK57" s="468"/>
      <c r="HOL57" s="468"/>
      <c r="HOM57" s="468"/>
      <c r="HON57" s="468"/>
      <c r="HOO57" s="468"/>
      <c r="HOP57" s="468"/>
      <c r="HOQ57" s="468"/>
      <c r="HOR57" s="468"/>
      <c r="HOS57" s="468"/>
      <c r="HOT57" s="468"/>
      <c r="HOU57" s="468"/>
      <c r="HOV57" s="468"/>
      <c r="HOW57" s="468"/>
      <c r="HOX57" s="468"/>
      <c r="HOY57" s="468"/>
      <c r="HOZ57" s="468"/>
      <c r="HPA57" s="468"/>
      <c r="HPB57" s="468"/>
      <c r="HPC57" s="468"/>
      <c r="HPD57" s="468"/>
      <c r="HPE57" s="468"/>
      <c r="HPF57" s="468"/>
      <c r="HPG57" s="468"/>
      <c r="HPH57" s="468"/>
      <c r="HPI57" s="468"/>
      <c r="HPJ57" s="468"/>
      <c r="HPK57" s="468"/>
      <c r="HPL57" s="468"/>
      <c r="HPM57" s="468"/>
      <c r="HPN57" s="468"/>
      <c r="HPO57" s="468"/>
      <c r="HPP57" s="468"/>
      <c r="HPQ57" s="468"/>
      <c r="HPR57" s="468"/>
      <c r="HPS57" s="468"/>
      <c r="HPT57" s="468"/>
      <c r="HPU57" s="468"/>
      <c r="HPV57" s="468"/>
      <c r="HPW57" s="468"/>
      <c r="HPX57" s="468"/>
      <c r="HPY57" s="468"/>
      <c r="HPZ57" s="468"/>
      <c r="HQA57" s="468"/>
      <c r="HQB57" s="468"/>
      <c r="HQC57" s="468"/>
      <c r="HQD57" s="468"/>
      <c r="HQE57" s="468"/>
      <c r="HQF57" s="468"/>
      <c r="HQG57" s="468"/>
      <c r="HQH57" s="468"/>
      <c r="HQI57" s="468"/>
      <c r="HQJ57" s="468"/>
      <c r="HQK57" s="468"/>
      <c r="HQL57" s="468"/>
      <c r="HQM57" s="468"/>
      <c r="HQN57" s="468"/>
      <c r="HQO57" s="468"/>
      <c r="HQP57" s="468"/>
      <c r="HQQ57" s="468"/>
      <c r="HQR57" s="468"/>
      <c r="HQS57" s="468"/>
      <c r="HQT57" s="468"/>
      <c r="HQU57" s="468"/>
      <c r="HQV57" s="468"/>
      <c r="HQW57" s="468"/>
      <c r="HQX57" s="468"/>
      <c r="HQY57" s="468"/>
      <c r="HQZ57" s="468"/>
      <c r="HRA57" s="468"/>
      <c r="HRB57" s="468"/>
      <c r="HRC57" s="468"/>
      <c r="HRD57" s="468"/>
      <c r="HRE57" s="468"/>
      <c r="HRF57" s="468"/>
      <c r="HRG57" s="468"/>
      <c r="HRH57" s="468"/>
      <c r="HRI57" s="468"/>
      <c r="HRJ57" s="468"/>
      <c r="HRK57" s="468"/>
      <c r="HRL57" s="468"/>
      <c r="HRM57" s="468"/>
      <c r="HRN57" s="468"/>
      <c r="HRO57" s="468"/>
      <c r="HRP57" s="468"/>
      <c r="HRQ57" s="468"/>
      <c r="HRR57" s="468"/>
      <c r="HRS57" s="468"/>
      <c r="HRT57" s="468"/>
      <c r="HRU57" s="468"/>
      <c r="HRV57" s="468"/>
      <c r="HRW57" s="468"/>
      <c r="HRX57" s="468"/>
      <c r="HRY57" s="468"/>
      <c r="HRZ57" s="468"/>
      <c r="HSA57" s="468"/>
      <c r="HSB57" s="468"/>
      <c r="HSC57" s="468"/>
      <c r="HSD57" s="468"/>
      <c r="HSE57" s="468"/>
      <c r="HSF57" s="468"/>
      <c r="HSG57" s="468"/>
      <c r="HSH57" s="468"/>
      <c r="HSI57" s="468"/>
      <c r="HSJ57" s="468"/>
      <c r="HSK57" s="468"/>
      <c r="HSL57" s="468"/>
      <c r="HSM57" s="468"/>
      <c r="HSN57" s="468"/>
      <c r="HSO57" s="468"/>
      <c r="HSP57" s="468"/>
      <c r="HSQ57" s="468"/>
      <c r="HSR57" s="468"/>
      <c r="HSS57" s="468"/>
      <c r="HST57" s="468"/>
      <c r="HSU57" s="468"/>
      <c r="HSV57" s="468"/>
      <c r="HSW57" s="468"/>
      <c r="HSX57" s="468"/>
      <c r="HSY57" s="468"/>
      <c r="HSZ57" s="468"/>
      <c r="HTA57" s="468"/>
      <c r="HTB57" s="468"/>
      <c r="HTC57" s="468"/>
      <c r="HTD57" s="468"/>
      <c r="HTE57" s="468"/>
      <c r="HTF57" s="468"/>
      <c r="HTG57" s="468"/>
      <c r="HTH57" s="468"/>
      <c r="HTI57" s="468"/>
      <c r="HTJ57" s="468"/>
      <c r="HTK57" s="468"/>
      <c r="HTL57" s="468"/>
      <c r="HTM57" s="468"/>
      <c r="HTN57" s="468"/>
      <c r="HTO57" s="468"/>
      <c r="HTP57" s="468"/>
      <c r="HTQ57" s="468"/>
      <c r="HTR57" s="468"/>
      <c r="HTS57" s="468"/>
      <c r="HTT57" s="468"/>
      <c r="HTU57" s="468"/>
      <c r="HTV57" s="468"/>
      <c r="HTW57" s="468"/>
      <c r="HTX57" s="468"/>
      <c r="HTY57" s="468"/>
      <c r="HTZ57" s="468"/>
      <c r="HUA57" s="468"/>
      <c r="HUB57" s="468"/>
      <c r="HUC57" s="468"/>
      <c r="HUD57" s="468"/>
      <c r="HUE57" s="468"/>
      <c r="HUF57" s="468"/>
      <c r="HUG57" s="468"/>
      <c r="HUH57" s="468"/>
      <c r="HUI57" s="468"/>
      <c r="HUJ57" s="468"/>
      <c r="HUK57" s="468"/>
      <c r="HUL57" s="468"/>
      <c r="HUM57" s="468"/>
      <c r="HUN57" s="468"/>
      <c r="HUO57" s="468"/>
      <c r="HUP57" s="468"/>
      <c r="HUQ57" s="468"/>
      <c r="HUR57" s="468"/>
      <c r="HUS57" s="468"/>
      <c r="HUT57" s="468"/>
      <c r="HUU57" s="468"/>
      <c r="HUV57" s="468"/>
      <c r="HUW57" s="468"/>
      <c r="HUX57" s="468"/>
      <c r="HUY57" s="468"/>
      <c r="HUZ57" s="468"/>
      <c r="HVA57" s="468"/>
      <c r="HVB57" s="468"/>
      <c r="HVC57" s="468"/>
      <c r="HVD57" s="468"/>
      <c r="HVE57" s="468"/>
      <c r="HVF57" s="468"/>
      <c r="HVG57" s="468"/>
      <c r="HVH57" s="468"/>
      <c r="HVI57" s="468"/>
      <c r="HVJ57" s="468"/>
      <c r="HVK57" s="468"/>
      <c r="HVL57" s="468"/>
      <c r="HVM57" s="468"/>
      <c r="HVN57" s="468"/>
      <c r="HVO57" s="468"/>
      <c r="HVP57" s="468"/>
      <c r="HVQ57" s="468"/>
      <c r="HVR57" s="468"/>
      <c r="HVS57" s="468"/>
      <c r="HVT57" s="468"/>
      <c r="HVU57" s="468"/>
      <c r="HVV57" s="468"/>
      <c r="HVW57" s="468"/>
      <c r="HVX57" s="468"/>
      <c r="HVY57" s="468"/>
      <c r="HVZ57" s="468"/>
      <c r="HWA57" s="468"/>
      <c r="HWB57" s="468"/>
      <c r="HWC57" s="468"/>
      <c r="HWD57" s="468"/>
      <c r="HWE57" s="468"/>
      <c r="HWF57" s="468"/>
      <c r="HWG57" s="468"/>
      <c r="HWH57" s="468"/>
      <c r="HWI57" s="468"/>
      <c r="HWJ57" s="468"/>
      <c r="HWK57" s="468"/>
      <c r="HWL57" s="468"/>
      <c r="HWM57" s="468"/>
      <c r="HWN57" s="468"/>
      <c r="HWO57" s="468"/>
      <c r="HWP57" s="468"/>
      <c r="HWQ57" s="468"/>
      <c r="HWR57" s="468"/>
      <c r="HWS57" s="468"/>
      <c r="HWT57" s="468"/>
      <c r="HWU57" s="468"/>
      <c r="HWV57" s="468"/>
      <c r="HWW57" s="468"/>
      <c r="HWX57" s="468"/>
      <c r="HWY57" s="468"/>
      <c r="HWZ57" s="468"/>
      <c r="HXA57" s="468"/>
      <c r="HXB57" s="468"/>
      <c r="HXC57" s="468"/>
      <c r="HXD57" s="468"/>
      <c r="HXE57" s="468"/>
      <c r="HXF57" s="468"/>
      <c r="HXG57" s="468"/>
      <c r="HXH57" s="468"/>
      <c r="HXI57" s="468"/>
      <c r="HXJ57" s="468"/>
      <c r="HXK57" s="468"/>
      <c r="HXL57" s="468"/>
      <c r="HXM57" s="468"/>
      <c r="HXN57" s="468"/>
      <c r="HXO57" s="468"/>
      <c r="HXP57" s="468"/>
      <c r="HXQ57" s="468"/>
      <c r="HXR57" s="468"/>
      <c r="HXS57" s="468"/>
      <c r="HXT57" s="468"/>
      <c r="HXU57" s="468"/>
      <c r="HXV57" s="468"/>
      <c r="HXW57" s="468"/>
      <c r="HXX57" s="468"/>
      <c r="HXY57" s="468"/>
      <c r="HXZ57" s="468"/>
      <c r="HYA57" s="468"/>
      <c r="HYB57" s="468"/>
      <c r="HYC57" s="468"/>
      <c r="HYD57" s="468"/>
      <c r="HYE57" s="468"/>
      <c r="HYF57" s="468"/>
      <c r="HYG57" s="468"/>
      <c r="HYH57" s="468"/>
      <c r="HYI57" s="468"/>
      <c r="HYJ57" s="468"/>
      <c r="HYK57" s="468"/>
      <c r="HYL57" s="468"/>
      <c r="HYM57" s="468"/>
      <c r="HYN57" s="468"/>
      <c r="HYO57" s="468"/>
      <c r="HYP57" s="468"/>
      <c r="HYQ57" s="468"/>
      <c r="HYR57" s="468"/>
      <c r="HYS57" s="468"/>
      <c r="HYT57" s="468"/>
      <c r="HYU57" s="468"/>
      <c r="HYV57" s="468"/>
      <c r="HYW57" s="468"/>
      <c r="HYX57" s="468"/>
      <c r="HYY57" s="468"/>
      <c r="HYZ57" s="468"/>
      <c r="HZA57" s="468"/>
      <c r="HZB57" s="468"/>
      <c r="HZC57" s="468"/>
      <c r="HZD57" s="468"/>
      <c r="HZE57" s="468"/>
      <c r="HZF57" s="468"/>
      <c r="HZG57" s="468"/>
      <c r="HZH57" s="468"/>
      <c r="HZI57" s="468"/>
      <c r="HZJ57" s="468"/>
      <c r="HZK57" s="468"/>
      <c r="HZL57" s="468"/>
      <c r="HZM57" s="468"/>
      <c r="HZN57" s="468"/>
      <c r="HZO57" s="468"/>
      <c r="HZP57" s="468"/>
      <c r="HZQ57" s="468"/>
      <c r="HZR57" s="468"/>
      <c r="HZS57" s="468"/>
      <c r="HZT57" s="468"/>
      <c r="HZU57" s="468"/>
      <c r="HZV57" s="468"/>
      <c r="HZW57" s="468"/>
      <c r="HZX57" s="468"/>
      <c r="HZY57" s="468"/>
      <c r="HZZ57" s="468"/>
      <c r="IAA57" s="468"/>
      <c r="IAB57" s="468"/>
      <c r="IAC57" s="468"/>
      <c r="IAD57" s="468"/>
      <c r="IAE57" s="468"/>
      <c r="IAF57" s="468"/>
      <c r="IAG57" s="468"/>
      <c r="IAH57" s="468"/>
      <c r="IAI57" s="468"/>
      <c r="IAJ57" s="468"/>
      <c r="IAK57" s="468"/>
      <c r="IAL57" s="468"/>
      <c r="IAM57" s="468"/>
      <c r="IAN57" s="468"/>
      <c r="IAO57" s="468"/>
      <c r="IAP57" s="468"/>
      <c r="IAQ57" s="468"/>
      <c r="IAR57" s="468"/>
      <c r="IAS57" s="468"/>
      <c r="IAT57" s="468"/>
      <c r="IAU57" s="468"/>
      <c r="IAV57" s="468"/>
      <c r="IAW57" s="468"/>
      <c r="IAX57" s="468"/>
      <c r="IAY57" s="468"/>
      <c r="IAZ57" s="468"/>
      <c r="IBA57" s="468"/>
      <c r="IBB57" s="468"/>
      <c r="IBC57" s="468"/>
      <c r="IBD57" s="468"/>
      <c r="IBE57" s="468"/>
      <c r="IBF57" s="468"/>
      <c r="IBG57" s="468"/>
      <c r="IBH57" s="468"/>
      <c r="IBI57" s="468"/>
      <c r="IBJ57" s="468"/>
      <c r="IBK57" s="468"/>
      <c r="IBL57" s="468"/>
      <c r="IBM57" s="468"/>
      <c r="IBN57" s="468"/>
      <c r="IBO57" s="468"/>
      <c r="IBP57" s="468"/>
      <c r="IBQ57" s="468"/>
      <c r="IBR57" s="468"/>
      <c r="IBS57" s="468"/>
      <c r="IBT57" s="468"/>
      <c r="IBU57" s="468"/>
      <c r="IBV57" s="468"/>
      <c r="IBW57" s="468"/>
      <c r="IBX57" s="468"/>
      <c r="IBY57" s="468"/>
      <c r="IBZ57" s="468"/>
      <c r="ICA57" s="468"/>
      <c r="ICB57" s="468"/>
      <c r="ICC57" s="468"/>
      <c r="ICD57" s="468"/>
      <c r="ICE57" s="468"/>
      <c r="ICF57" s="468"/>
      <c r="ICG57" s="468"/>
      <c r="ICH57" s="468"/>
      <c r="ICI57" s="468"/>
      <c r="ICJ57" s="468"/>
      <c r="ICK57" s="468"/>
      <c r="ICL57" s="468"/>
      <c r="ICM57" s="468"/>
      <c r="ICN57" s="468"/>
      <c r="ICO57" s="468"/>
      <c r="ICP57" s="468"/>
      <c r="ICQ57" s="468"/>
      <c r="ICR57" s="468"/>
      <c r="ICS57" s="468"/>
      <c r="ICT57" s="468"/>
      <c r="ICU57" s="468"/>
      <c r="ICV57" s="468"/>
      <c r="ICW57" s="468"/>
      <c r="ICX57" s="468"/>
      <c r="ICY57" s="468"/>
      <c r="ICZ57" s="468"/>
      <c r="IDA57" s="468"/>
      <c r="IDB57" s="468"/>
      <c r="IDC57" s="468"/>
      <c r="IDD57" s="468"/>
      <c r="IDE57" s="468"/>
      <c r="IDF57" s="468"/>
      <c r="IDG57" s="468"/>
      <c r="IDH57" s="468"/>
      <c r="IDI57" s="468"/>
      <c r="IDJ57" s="468"/>
      <c r="IDK57" s="468"/>
      <c r="IDL57" s="468"/>
      <c r="IDM57" s="468"/>
      <c r="IDN57" s="468"/>
      <c r="IDO57" s="468"/>
      <c r="IDP57" s="468"/>
      <c r="IDQ57" s="468"/>
      <c r="IDR57" s="468"/>
      <c r="IDS57" s="468"/>
      <c r="IDT57" s="468"/>
      <c r="IDU57" s="468"/>
      <c r="IDV57" s="468"/>
      <c r="IDW57" s="468"/>
      <c r="IDX57" s="468"/>
      <c r="IDY57" s="468"/>
      <c r="IDZ57" s="468"/>
      <c r="IEA57" s="468"/>
      <c r="IEB57" s="468"/>
      <c r="IEC57" s="468"/>
      <c r="IED57" s="468"/>
      <c r="IEE57" s="468"/>
      <c r="IEF57" s="468"/>
      <c r="IEG57" s="468"/>
      <c r="IEH57" s="468"/>
      <c r="IEI57" s="468"/>
      <c r="IEJ57" s="468"/>
      <c r="IEK57" s="468"/>
      <c r="IEL57" s="468"/>
      <c r="IEM57" s="468"/>
      <c r="IEN57" s="468"/>
      <c r="IEO57" s="468"/>
      <c r="IEP57" s="468"/>
      <c r="IEQ57" s="468"/>
      <c r="IER57" s="468"/>
      <c r="IES57" s="468"/>
      <c r="IET57" s="468"/>
      <c r="IEU57" s="468"/>
      <c r="IEV57" s="468"/>
      <c r="IEW57" s="468"/>
      <c r="IEX57" s="468"/>
      <c r="IEY57" s="468"/>
      <c r="IEZ57" s="468"/>
      <c r="IFA57" s="468"/>
      <c r="IFB57" s="468"/>
      <c r="IFC57" s="468"/>
      <c r="IFD57" s="468"/>
      <c r="IFE57" s="468"/>
      <c r="IFF57" s="468"/>
      <c r="IFG57" s="468"/>
      <c r="IFH57" s="468"/>
      <c r="IFI57" s="468"/>
      <c r="IFJ57" s="468"/>
      <c r="IFK57" s="468"/>
      <c r="IFL57" s="468"/>
      <c r="IFM57" s="468"/>
      <c r="IFN57" s="468"/>
      <c r="IFO57" s="468"/>
      <c r="IFP57" s="468"/>
      <c r="IFQ57" s="468"/>
      <c r="IFR57" s="468"/>
      <c r="IFS57" s="468"/>
      <c r="IFT57" s="468"/>
      <c r="IFU57" s="468"/>
      <c r="IFV57" s="468"/>
      <c r="IFW57" s="468"/>
      <c r="IFX57" s="468"/>
      <c r="IFY57" s="468"/>
      <c r="IFZ57" s="468"/>
      <c r="IGA57" s="468"/>
      <c r="IGB57" s="468"/>
      <c r="IGC57" s="468"/>
      <c r="IGD57" s="468"/>
      <c r="IGE57" s="468"/>
      <c r="IGF57" s="468"/>
      <c r="IGG57" s="468"/>
      <c r="IGH57" s="468"/>
      <c r="IGI57" s="468"/>
      <c r="IGJ57" s="468"/>
      <c r="IGK57" s="468"/>
      <c r="IGL57" s="468"/>
      <c r="IGM57" s="468"/>
      <c r="IGN57" s="468"/>
      <c r="IGO57" s="468"/>
      <c r="IGP57" s="468"/>
      <c r="IGQ57" s="468"/>
      <c r="IGR57" s="468"/>
      <c r="IGS57" s="468"/>
      <c r="IGT57" s="468"/>
      <c r="IGU57" s="468"/>
      <c r="IGV57" s="468"/>
      <c r="IGW57" s="468"/>
      <c r="IGX57" s="468"/>
      <c r="IGY57" s="468"/>
      <c r="IGZ57" s="468"/>
      <c r="IHA57" s="468"/>
      <c r="IHB57" s="468"/>
      <c r="IHC57" s="468"/>
      <c r="IHD57" s="468"/>
      <c r="IHE57" s="468"/>
      <c r="IHF57" s="468"/>
      <c r="IHG57" s="468"/>
      <c r="IHH57" s="468"/>
      <c r="IHI57" s="468"/>
      <c r="IHJ57" s="468"/>
      <c r="IHK57" s="468"/>
      <c r="IHL57" s="468"/>
      <c r="IHM57" s="468"/>
      <c r="IHN57" s="468"/>
      <c r="IHO57" s="468"/>
      <c r="IHP57" s="468"/>
      <c r="IHQ57" s="468"/>
      <c r="IHR57" s="468"/>
      <c r="IHS57" s="468"/>
      <c r="IHT57" s="468"/>
      <c r="IHU57" s="468"/>
      <c r="IHV57" s="468"/>
      <c r="IHW57" s="468"/>
      <c r="IHX57" s="468"/>
      <c r="IHY57" s="468"/>
      <c r="IHZ57" s="468"/>
      <c r="IIA57" s="468"/>
      <c r="IIB57" s="468"/>
      <c r="IIC57" s="468"/>
      <c r="IID57" s="468"/>
      <c r="IIE57" s="468"/>
      <c r="IIF57" s="468"/>
      <c r="IIG57" s="468"/>
      <c r="IIH57" s="468"/>
      <c r="III57" s="468"/>
      <c r="IIJ57" s="468"/>
      <c r="IIK57" s="468"/>
      <c r="IIL57" s="468"/>
      <c r="IIM57" s="468"/>
      <c r="IIN57" s="468"/>
      <c r="IIO57" s="468"/>
      <c r="IIP57" s="468"/>
      <c r="IIQ57" s="468"/>
      <c r="IIR57" s="468"/>
      <c r="IIS57" s="468"/>
      <c r="IIT57" s="468"/>
      <c r="IIU57" s="468"/>
      <c r="IIV57" s="468"/>
      <c r="IIW57" s="468"/>
      <c r="IIX57" s="468"/>
      <c r="IIY57" s="468"/>
      <c r="IIZ57" s="468"/>
      <c r="IJA57" s="468"/>
      <c r="IJB57" s="468"/>
      <c r="IJC57" s="468"/>
      <c r="IJD57" s="468"/>
      <c r="IJE57" s="468"/>
      <c r="IJF57" s="468"/>
      <c r="IJG57" s="468"/>
      <c r="IJH57" s="468"/>
      <c r="IJI57" s="468"/>
      <c r="IJJ57" s="468"/>
      <c r="IJK57" s="468"/>
      <c r="IJL57" s="468"/>
      <c r="IJM57" s="468"/>
      <c r="IJN57" s="468"/>
      <c r="IJO57" s="468"/>
      <c r="IJP57" s="468"/>
      <c r="IJQ57" s="468"/>
      <c r="IJR57" s="468"/>
      <c r="IJS57" s="468"/>
      <c r="IJT57" s="468"/>
      <c r="IJU57" s="468"/>
      <c r="IJV57" s="468"/>
      <c r="IJW57" s="468"/>
      <c r="IJX57" s="468"/>
      <c r="IJY57" s="468"/>
      <c r="IJZ57" s="468"/>
      <c r="IKA57" s="468"/>
      <c r="IKB57" s="468"/>
      <c r="IKC57" s="468"/>
      <c r="IKD57" s="468"/>
      <c r="IKE57" s="468"/>
      <c r="IKF57" s="468"/>
      <c r="IKG57" s="468"/>
      <c r="IKH57" s="468"/>
      <c r="IKI57" s="468"/>
      <c r="IKJ57" s="468"/>
      <c r="IKK57" s="468"/>
      <c r="IKL57" s="468"/>
      <c r="IKM57" s="468"/>
      <c r="IKN57" s="468"/>
      <c r="IKO57" s="468"/>
      <c r="IKP57" s="468"/>
      <c r="IKQ57" s="468"/>
      <c r="IKR57" s="468"/>
      <c r="IKS57" s="468"/>
      <c r="IKT57" s="468"/>
      <c r="IKU57" s="468"/>
      <c r="IKV57" s="468"/>
      <c r="IKW57" s="468"/>
      <c r="IKX57" s="468"/>
      <c r="IKY57" s="468"/>
      <c r="IKZ57" s="468"/>
      <c r="ILA57" s="468"/>
      <c r="ILB57" s="468"/>
      <c r="ILC57" s="468"/>
      <c r="ILD57" s="468"/>
      <c r="ILE57" s="468"/>
      <c r="ILF57" s="468"/>
      <c r="ILG57" s="468"/>
      <c r="ILH57" s="468"/>
      <c r="ILI57" s="468"/>
      <c r="ILJ57" s="468"/>
      <c r="ILK57" s="468"/>
      <c r="ILL57" s="468"/>
      <c r="ILM57" s="468"/>
      <c r="ILN57" s="468"/>
      <c r="ILO57" s="468"/>
      <c r="ILP57" s="468"/>
      <c r="ILQ57" s="468"/>
      <c r="ILR57" s="468"/>
      <c r="ILS57" s="468"/>
      <c r="ILT57" s="468"/>
      <c r="ILU57" s="468"/>
      <c r="ILV57" s="468"/>
      <c r="ILW57" s="468"/>
      <c r="ILX57" s="468"/>
      <c r="ILY57" s="468"/>
      <c r="ILZ57" s="468"/>
      <c r="IMA57" s="468"/>
      <c r="IMB57" s="468"/>
      <c r="IMC57" s="468"/>
      <c r="IMD57" s="468"/>
      <c r="IME57" s="468"/>
      <c r="IMF57" s="468"/>
      <c r="IMG57" s="468"/>
      <c r="IMH57" s="468"/>
      <c r="IMI57" s="468"/>
      <c r="IMJ57" s="468"/>
      <c r="IMK57" s="468"/>
      <c r="IML57" s="468"/>
      <c r="IMM57" s="468"/>
      <c r="IMN57" s="468"/>
      <c r="IMO57" s="468"/>
      <c r="IMP57" s="468"/>
      <c r="IMQ57" s="468"/>
      <c r="IMR57" s="468"/>
      <c r="IMS57" s="468"/>
      <c r="IMT57" s="468"/>
      <c r="IMU57" s="468"/>
      <c r="IMV57" s="468"/>
      <c r="IMW57" s="468"/>
      <c r="IMX57" s="468"/>
      <c r="IMY57" s="468"/>
      <c r="IMZ57" s="468"/>
      <c r="INA57" s="468"/>
      <c r="INB57" s="468"/>
      <c r="INC57" s="468"/>
      <c r="IND57" s="468"/>
      <c r="INE57" s="468"/>
      <c r="INF57" s="468"/>
      <c r="ING57" s="468"/>
      <c r="INH57" s="468"/>
      <c r="INI57" s="468"/>
      <c r="INJ57" s="468"/>
      <c r="INK57" s="468"/>
      <c r="INL57" s="468"/>
      <c r="INM57" s="468"/>
      <c r="INN57" s="468"/>
      <c r="INO57" s="468"/>
      <c r="INP57" s="468"/>
      <c r="INQ57" s="468"/>
      <c r="INR57" s="468"/>
      <c r="INS57" s="468"/>
      <c r="INT57" s="468"/>
      <c r="INU57" s="468"/>
      <c r="INV57" s="468"/>
      <c r="INW57" s="468"/>
      <c r="INX57" s="468"/>
      <c r="INY57" s="468"/>
      <c r="INZ57" s="468"/>
      <c r="IOA57" s="468"/>
      <c r="IOB57" s="468"/>
      <c r="IOC57" s="468"/>
      <c r="IOD57" s="468"/>
      <c r="IOE57" s="468"/>
      <c r="IOF57" s="468"/>
      <c r="IOG57" s="468"/>
      <c r="IOH57" s="468"/>
      <c r="IOI57" s="468"/>
      <c r="IOJ57" s="468"/>
      <c r="IOK57" s="468"/>
      <c r="IOL57" s="468"/>
      <c r="IOM57" s="468"/>
      <c r="ION57" s="468"/>
      <c r="IOO57" s="468"/>
      <c r="IOP57" s="468"/>
      <c r="IOQ57" s="468"/>
      <c r="IOR57" s="468"/>
      <c r="IOS57" s="468"/>
      <c r="IOT57" s="468"/>
      <c r="IOU57" s="468"/>
      <c r="IOV57" s="468"/>
      <c r="IOW57" s="468"/>
      <c r="IOX57" s="468"/>
      <c r="IOY57" s="468"/>
      <c r="IOZ57" s="468"/>
      <c r="IPA57" s="468"/>
      <c r="IPB57" s="468"/>
      <c r="IPC57" s="468"/>
      <c r="IPD57" s="468"/>
      <c r="IPE57" s="468"/>
      <c r="IPF57" s="468"/>
      <c r="IPG57" s="468"/>
      <c r="IPH57" s="468"/>
      <c r="IPI57" s="468"/>
      <c r="IPJ57" s="468"/>
      <c r="IPK57" s="468"/>
      <c r="IPL57" s="468"/>
      <c r="IPM57" s="468"/>
      <c r="IPN57" s="468"/>
      <c r="IPO57" s="468"/>
      <c r="IPP57" s="468"/>
      <c r="IPQ57" s="468"/>
      <c r="IPR57" s="468"/>
      <c r="IPS57" s="468"/>
      <c r="IPT57" s="468"/>
      <c r="IPU57" s="468"/>
      <c r="IPV57" s="468"/>
      <c r="IPW57" s="468"/>
      <c r="IPX57" s="468"/>
      <c r="IPY57" s="468"/>
      <c r="IPZ57" s="468"/>
      <c r="IQA57" s="468"/>
      <c r="IQB57" s="468"/>
      <c r="IQC57" s="468"/>
      <c r="IQD57" s="468"/>
      <c r="IQE57" s="468"/>
      <c r="IQF57" s="468"/>
      <c r="IQG57" s="468"/>
      <c r="IQH57" s="468"/>
      <c r="IQI57" s="468"/>
      <c r="IQJ57" s="468"/>
      <c r="IQK57" s="468"/>
      <c r="IQL57" s="468"/>
      <c r="IQM57" s="468"/>
      <c r="IQN57" s="468"/>
      <c r="IQO57" s="468"/>
      <c r="IQP57" s="468"/>
      <c r="IQQ57" s="468"/>
      <c r="IQR57" s="468"/>
      <c r="IQS57" s="468"/>
      <c r="IQT57" s="468"/>
      <c r="IQU57" s="468"/>
      <c r="IQV57" s="468"/>
      <c r="IQW57" s="468"/>
      <c r="IQX57" s="468"/>
      <c r="IQY57" s="468"/>
      <c r="IQZ57" s="468"/>
      <c r="IRA57" s="468"/>
      <c r="IRB57" s="468"/>
      <c r="IRC57" s="468"/>
      <c r="IRD57" s="468"/>
      <c r="IRE57" s="468"/>
      <c r="IRF57" s="468"/>
      <c r="IRG57" s="468"/>
      <c r="IRH57" s="468"/>
      <c r="IRI57" s="468"/>
      <c r="IRJ57" s="468"/>
      <c r="IRK57" s="468"/>
      <c r="IRL57" s="468"/>
      <c r="IRM57" s="468"/>
      <c r="IRN57" s="468"/>
      <c r="IRO57" s="468"/>
      <c r="IRP57" s="468"/>
      <c r="IRQ57" s="468"/>
      <c r="IRR57" s="468"/>
      <c r="IRS57" s="468"/>
      <c r="IRT57" s="468"/>
      <c r="IRU57" s="468"/>
      <c r="IRV57" s="468"/>
      <c r="IRW57" s="468"/>
      <c r="IRX57" s="468"/>
      <c r="IRY57" s="468"/>
      <c r="IRZ57" s="468"/>
      <c r="ISA57" s="468"/>
      <c r="ISB57" s="468"/>
      <c r="ISC57" s="468"/>
      <c r="ISD57" s="468"/>
      <c r="ISE57" s="468"/>
      <c r="ISF57" s="468"/>
      <c r="ISG57" s="468"/>
      <c r="ISH57" s="468"/>
      <c r="ISI57" s="468"/>
      <c r="ISJ57" s="468"/>
      <c r="ISK57" s="468"/>
      <c r="ISL57" s="468"/>
      <c r="ISM57" s="468"/>
      <c r="ISN57" s="468"/>
      <c r="ISO57" s="468"/>
      <c r="ISP57" s="468"/>
      <c r="ISQ57" s="468"/>
      <c r="ISR57" s="468"/>
      <c r="ISS57" s="468"/>
      <c r="IST57" s="468"/>
      <c r="ISU57" s="468"/>
      <c r="ISV57" s="468"/>
      <c r="ISW57" s="468"/>
      <c r="ISX57" s="468"/>
      <c r="ISY57" s="468"/>
      <c r="ISZ57" s="468"/>
      <c r="ITA57" s="468"/>
      <c r="ITB57" s="468"/>
      <c r="ITC57" s="468"/>
      <c r="ITD57" s="468"/>
      <c r="ITE57" s="468"/>
      <c r="ITF57" s="468"/>
      <c r="ITG57" s="468"/>
      <c r="ITH57" s="468"/>
      <c r="ITI57" s="468"/>
      <c r="ITJ57" s="468"/>
      <c r="ITK57" s="468"/>
      <c r="ITL57" s="468"/>
      <c r="ITM57" s="468"/>
      <c r="ITN57" s="468"/>
      <c r="ITO57" s="468"/>
      <c r="ITP57" s="468"/>
      <c r="ITQ57" s="468"/>
      <c r="ITR57" s="468"/>
      <c r="ITS57" s="468"/>
      <c r="ITT57" s="468"/>
      <c r="ITU57" s="468"/>
      <c r="ITV57" s="468"/>
      <c r="ITW57" s="468"/>
      <c r="ITX57" s="468"/>
      <c r="ITY57" s="468"/>
      <c r="ITZ57" s="468"/>
      <c r="IUA57" s="468"/>
      <c r="IUB57" s="468"/>
      <c r="IUC57" s="468"/>
      <c r="IUD57" s="468"/>
      <c r="IUE57" s="468"/>
      <c r="IUF57" s="468"/>
      <c r="IUG57" s="468"/>
      <c r="IUH57" s="468"/>
      <c r="IUI57" s="468"/>
      <c r="IUJ57" s="468"/>
      <c r="IUK57" s="468"/>
      <c r="IUL57" s="468"/>
      <c r="IUM57" s="468"/>
      <c r="IUN57" s="468"/>
      <c r="IUO57" s="468"/>
      <c r="IUP57" s="468"/>
      <c r="IUQ57" s="468"/>
      <c r="IUR57" s="468"/>
      <c r="IUS57" s="468"/>
      <c r="IUT57" s="468"/>
      <c r="IUU57" s="468"/>
      <c r="IUV57" s="468"/>
      <c r="IUW57" s="468"/>
      <c r="IUX57" s="468"/>
      <c r="IUY57" s="468"/>
      <c r="IUZ57" s="468"/>
      <c r="IVA57" s="468"/>
      <c r="IVB57" s="468"/>
      <c r="IVC57" s="468"/>
      <c r="IVD57" s="468"/>
      <c r="IVE57" s="468"/>
      <c r="IVF57" s="468"/>
      <c r="IVG57" s="468"/>
      <c r="IVH57" s="468"/>
      <c r="IVI57" s="468"/>
      <c r="IVJ57" s="468"/>
      <c r="IVK57" s="468"/>
      <c r="IVL57" s="468"/>
      <c r="IVM57" s="468"/>
      <c r="IVN57" s="468"/>
      <c r="IVO57" s="468"/>
      <c r="IVP57" s="468"/>
      <c r="IVQ57" s="468"/>
      <c r="IVR57" s="468"/>
      <c r="IVS57" s="468"/>
      <c r="IVT57" s="468"/>
      <c r="IVU57" s="468"/>
      <c r="IVV57" s="468"/>
      <c r="IVW57" s="468"/>
      <c r="IVX57" s="468"/>
      <c r="IVY57" s="468"/>
      <c r="IVZ57" s="468"/>
      <c r="IWA57" s="468"/>
      <c r="IWB57" s="468"/>
      <c r="IWC57" s="468"/>
      <c r="IWD57" s="468"/>
      <c r="IWE57" s="468"/>
      <c r="IWF57" s="468"/>
      <c r="IWG57" s="468"/>
      <c r="IWH57" s="468"/>
      <c r="IWI57" s="468"/>
      <c r="IWJ57" s="468"/>
      <c r="IWK57" s="468"/>
      <c r="IWL57" s="468"/>
      <c r="IWM57" s="468"/>
      <c r="IWN57" s="468"/>
      <c r="IWO57" s="468"/>
      <c r="IWP57" s="468"/>
      <c r="IWQ57" s="468"/>
      <c r="IWR57" s="468"/>
      <c r="IWS57" s="468"/>
      <c r="IWT57" s="468"/>
      <c r="IWU57" s="468"/>
      <c r="IWV57" s="468"/>
      <c r="IWW57" s="468"/>
      <c r="IWX57" s="468"/>
      <c r="IWY57" s="468"/>
      <c r="IWZ57" s="468"/>
      <c r="IXA57" s="468"/>
      <c r="IXB57" s="468"/>
      <c r="IXC57" s="468"/>
      <c r="IXD57" s="468"/>
      <c r="IXE57" s="468"/>
      <c r="IXF57" s="468"/>
      <c r="IXG57" s="468"/>
      <c r="IXH57" s="468"/>
      <c r="IXI57" s="468"/>
      <c r="IXJ57" s="468"/>
      <c r="IXK57" s="468"/>
      <c r="IXL57" s="468"/>
      <c r="IXM57" s="468"/>
      <c r="IXN57" s="468"/>
      <c r="IXO57" s="468"/>
      <c r="IXP57" s="468"/>
      <c r="IXQ57" s="468"/>
      <c r="IXR57" s="468"/>
      <c r="IXS57" s="468"/>
      <c r="IXT57" s="468"/>
      <c r="IXU57" s="468"/>
      <c r="IXV57" s="468"/>
      <c r="IXW57" s="468"/>
      <c r="IXX57" s="468"/>
      <c r="IXY57" s="468"/>
      <c r="IXZ57" s="468"/>
      <c r="IYA57" s="468"/>
      <c r="IYB57" s="468"/>
      <c r="IYC57" s="468"/>
      <c r="IYD57" s="468"/>
      <c r="IYE57" s="468"/>
      <c r="IYF57" s="468"/>
      <c r="IYG57" s="468"/>
      <c r="IYH57" s="468"/>
      <c r="IYI57" s="468"/>
      <c r="IYJ57" s="468"/>
      <c r="IYK57" s="468"/>
      <c r="IYL57" s="468"/>
      <c r="IYM57" s="468"/>
      <c r="IYN57" s="468"/>
      <c r="IYO57" s="468"/>
      <c r="IYP57" s="468"/>
      <c r="IYQ57" s="468"/>
      <c r="IYR57" s="468"/>
      <c r="IYS57" s="468"/>
      <c r="IYT57" s="468"/>
      <c r="IYU57" s="468"/>
      <c r="IYV57" s="468"/>
      <c r="IYW57" s="468"/>
      <c r="IYX57" s="468"/>
      <c r="IYY57" s="468"/>
      <c r="IYZ57" s="468"/>
      <c r="IZA57" s="468"/>
      <c r="IZB57" s="468"/>
      <c r="IZC57" s="468"/>
      <c r="IZD57" s="468"/>
      <c r="IZE57" s="468"/>
      <c r="IZF57" s="468"/>
      <c r="IZG57" s="468"/>
      <c r="IZH57" s="468"/>
      <c r="IZI57" s="468"/>
      <c r="IZJ57" s="468"/>
      <c r="IZK57" s="468"/>
      <c r="IZL57" s="468"/>
      <c r="IZM57" s="468"/>
      <c r="IZN57" s="468"/>
      <c r="IZO57" s="468"/>
      <c r="IZP57" s="468"/>
      <c r="IZQ57" s="468"/>
      <c r="IZR57" s="468"/>
      <c r="IZS57" s="468"/>
      <c r="IZT57" s="468"/>
      <c r="IZU57" s="468"/>
      <c r="IZV57" s="468"/>
      <c r="IZW57" s="468"/>
      <c r="IZX57" s="468"/>
      <c r="IZY57" s="468"/>
      <c r="IZZ57" s="468"/>
      <c r="JAA57" s="468"/>
      <c r="JAB57" s="468"/>
      <c r="JAC57" s="468"/>
      <c r="JAD57" s="468"/>
      <c r="JAE57" s="468"/>
      <c r="JAF57" s="468"/>
      <c r="JAG57" s="468"/>
      <c r="JAH57" s="468"/>
      <c r="JAI57" s="468"/>
      <c r="JAJ57" s="468"/>
      <c r="JAK57" s="468"/>
      <c r="JAL57" s="468"/>
      <c r="JAM57" s="468"/>
      <c r="JAN57" s="468"/>
      <c r="JAO57" s="468"/>
      <c r="JAP57" s="468"/>
      <c r="JAQ57" s="468"/>
      <c r="JAR57" s="468"/>
      <c r="JAS57" s="468"/>
      <c r="JAT57" s="468"/>
      <c r="JAU57" s="468"/>
      <c r="JAV57" s="468"/>
      <c r="JAW57" s="468"/>
      <c r="JAX57" s="468"/>
      <c r="JAY57" s="468"/>
      <c r="JAZ57" s="468"/>
      <c r="JBA57" s="468"/>
      <c r="JBB57" s="468"/>
      <c r="JBC57" s="468"/>
      <c r="JBD57" s="468"/>
      <c r="JBE57" s="468"/>
      <c r="JBF57" s="468"/>
      <c r="JBG57" s="468"/>
      <c r="JBH57" s="468"/>
      <c r="JBI57" s="468"/>
      <c r="JBJ57" s="468"/>
      <c r="JBK57" s="468"/>
      <c r="JBL57" s="468"/>
      <c r="JBM57" s="468"/>
      <c r="JBN57" s="468"/>
      <c r="JBO57" s="468"/>
      <c r="JBP57" s="468"/>
      <c r="JBQ57" s="468"/>
      <c r="JBR57" s="468"/>
      <c r="JBS57" s="468"/>
      <c r="JBT57" s="468"/>
      <c r="JBU57" s="468"/>
      <c r="JBV57" s="468"/>
      <c r="JBW57" s="468"/>
      <c r="JBX57" s="468"/>
      <c r="JBY57" s="468"/>
      <c r="JBZ57" s="468"/>
      <c r="JCA57" s="468"/>
      <c r="JCB57" s="468"/>
      <c r="JCC57" s="468"/>
      <c r="JCD57" s="468"/>
      <c r="JCE57" s="468"/>
      <c r="JCF57" s="468"/>
      <c r="JCG57" s="468"/>
      <c r="JCH57" s="468"/>
      <c r="JCI57" s="468"/>
      <c r="JCJ57" s="468"/>
      <c r="JCK57" s="468"/>
      <c r="JCL57" s="468"/>
      <c r="JCM57" s="468"/>
      <c r="JCN57" s="468"/>
      <c r="JCO57" s="468"/>
      <c r="JCP57" s="468"/>
      <c r="JCQ57" s="468"/>
      <c r="JCR57" s="468"/>
      <c r="JCS57" s="468"/>
      <c r="JCT57" s="468"/>
      <c r="JCU57" s="468"/>
      <c r="JCV57" s="468"/>
      <c r="JCW57" s="468"/>
      <c r="JCX57" s="468"/>
      <c r="JCY57" s="468"/>
      <c r="JCZ57" s="468"/>
      <c r="JDA57" s="468"/>
      <c r="JDB57" s="468"/>
      <c r="JDC57" s="468"/>
      <c r="JDD57" s="468"/>
      <c r="JDE57" s="468"/>
      <c r="JDF57" s="468"/>
      <c r="JDG57" s="468"/>
      <c r="JDH57" s="468"/>
      <c r="JDI57" s="468"/>
      <c r="JDJ57" s="468"/>
      <c r="JDK57" s="468"/>
      <c r="JDL57" s="468"/>
      <c r="JDM57" s="468"/>
      <c r="JDN57" s="468"/>
      <c r="JDO57" s="468"/>
      <c r="JDP57" s="468"/>
      <c r="JDQ57" s="468"/>
      <c r="JDR57" s="468"/>
      <c r="JDS57" s="468"/>
      <c r="JDT57" s="468"/>
      <c r="JDU57" s="468"/>
      <c r="JDV57" s="468"/>
      <c r="JDW57" s="468"/>
      <c r="JDX57" s="468"/>
      <c r="JDY57" s="468"/>
      <c r="JDZ57" s="468"/>
      <c r="JEA57" s="468"/>
      <c r="JEB57" s="468"/>
      <c r="JEC57" s="468"/>
      <c r="JED57" s="468"/>
      <c r="JEE57" s="468"/>
      <c r="JEF57" s="468"/>
      <c r="JEG57" s="468"/>
      <c r="JEH57" s="468"/>
      <c r="JEI57" s="468"/>
      <c r="JEJ57" s="468"/>
      <c r="JEK57" s="468"/>
      <c r="JEL57" s="468"/>
      <c r="JEM57" s="468"/>
      <c r="JEN57" s="468"/>
      <c r="JEO57" s="468"/>
      <c r="JEP57" s="468"/>
      <c r="JEQ57" s="468"/>
      <c r="JER57" s="468"/>
      <c r="JES57" s="468"/>
      <c r="JET57" s="468"/>
      <c r="JEU57" s="468"/>
      <c r="JEV57" s="468"/>
      <c r="JEW57" s="468"/>
      <c r="JEX57" s="468"/>
      <c r="JEY57" s="468"/>
      <c r="JEZ57" s="468"/>
      <c r="JFA57" s="468"/>
      <c r="JFB57" s="468"/>
      <c r="JFC57" s="468"/>
      <c r="JFD57" s="468"/>
      <c r="JFE57" s="468"/>
      <c r="JFF57" s="468"/>
      <c r="JFG57" s="468"/>
      <c r="JFH57" s="468"/>
      <c r="JFI57" s="468"/>
      <c r="JFJ57" s="468"/>
      <c r="JFK57" s="468"/>
      <c r="JFL57" s="468"/>
      <c r="JFM57" s="468"/>
      <c r="JFN57" s="468"/>
      <c r="JFO57" s="468"/>
      <c r="JFP57" s="468"/>
      <c r="JFQ57" s="468"/>
      <c r="JFR57" s="468"/>
      <c r="JFS57" s="468"/>
      <c r="JFT57" s="468"/>
      <c r="JFU57" s="468"/>
      <c r="JFV57" s="468"/>
      <c r="JFW57" s="468"/>
      <c r="JFX57" s="468"/>
      <c r="JFY57" s="468"/>
      <c r="JFZ57" s="468"/>
      <c r="JGA57" s="468"/>
      <c r="JGB57" s="468"/>
      <c r="JGC57" s="468"/>
      <c r="JGD57" s="468"/>
      <c r="JGE57" s="468"/>
      <c r="JGF57" s="468"/>
      <c r="JGG57" s="468"/>
      <c r="JGH57" s="468"/>
      <c r="JGI57" s="468"/>
      <c r="JGJ57" s="468"/>
      <c r="JGK57" s="468"/>
      <c r="JGL57" s="468"/>
      <c r="JGM57" s="468"/>
      <c r="JGN57" s="468"/>
      <c r="JGO57" s="468"/>
      <c r="JGP57" s="468"/>
      <c r="JGQ57" s="468"/>
      <c r="JGR57" s="468"/>
      <c r="JGS57" s="468"/>
      <c r="JGT57" s="468"/>
      <c r="JGU57" s="468"/>
      <c r="JGV57" s="468"/>
      <c r="JGW57" s="468"/>
      <c r="JGX57" s="468"/>
      <c r="JGY57" s="468"/>
      <c r="JGZ57" s="468"/>
      <c r="JHA57" s="468"/>
      <c r="JHB57" s="468"/>
      <c r="JHC57" s="468"/>
      <c r="JHD57" s="468"/>
      <c r="JHE57" s="468"/>
      <c r="JHF57" s="468"/>
      <c r="JHG57" s="468"/>
      <c r="JHH57" s="468"/>
      <c r="JHI57" s="468"/>
      <c r="JHJ57" s="468"/>
      <c r="JHK57" s="468"/>
      <c r="JHL57" s="468"/>
      <c r="JHM57" s="468"/>
      <c r="JHN57" s="468"/>
      <c r="JHO57" s="468"/>
      <c r="JHP57" s="468"/>
      <c r="JHQ57" s="468"/>
      <c r="JHR57" s="468"/>
      <c r="JHS57" s="468"/>
      <c r="JHT57" s="468"/>
      <c r="JHU57" s="468"/>
      <c r="JHV57" s="468"/>
      <c r="JHW57" s="468"/>
      <c r="JHX57" s="468"/>
      <c r="JHY57" s="468"/>
      <c r="JHZ57" s="468"/>
      <c r="JIA57" s="468"/>
      <c r="JIB57" s="468"/>
      <c r="JIC57" s="468"/>
      <c r="JID57" s="468"/>
      <c r="JIE57" s="468"/>
      <c r="JIF57" s="468"/>
      <c r="JIG57" s="468"/>
      <c r="JIH57" s="468"/>
      <c r="JII57" s="468"/>
      <c r="JIJ57" s="468"/>
      <c r="JIK57" s="468"/>
      <c r="JIL57" s="468"/>
      <c r="JIM57" s="468"/>
      <c r="JIN57" s="468"/>
      <c r="JIO57" s="468"/>
      <c r="JIP57" s="468"/>
      <c r="JIQ57" s="468"/>
      <c r="JIR57" s="468"/>
      <c r="JIS57" s="468"/>
      <c r="JIT57" s="468"/>
      <c r="JIU57" s="468"/>
      <c r="JIV57" s="468"/>
      <c r="JIW57" s="468"/>
      <c r="JIX57" s="468"/>
      <c r="JIY57" s="468"/>
      <c r="JIZ57" s="468"/>
      <c r="JJA57" s="468"/>
      <c r="JJB57" s="468"/>
      <c r="JJC57" s="468"/>
      <c r="JJD57" s="468"/>
      <c r="JJE57" s="468"/>
      <c r="JJF57" s="468"/>
      <c r="JJG57" s="468"/>
      <c r="JJH57" s="468"/>
      <c r="JJI57" s="468"/>
      <c r="JJJ57" s="468"/>
      <c r="JJK57" s="468"/>
      <c r="JJL57" s="468"/>
      <c r="JJM57" s="468"/>
      <c r="JJN57" s="468"/>
      <c r="JJO57" s="468"/>
      <c r="JJP57" s="468"/>
      <c r="JJQ57" s="468"/>
      <c r="JJR57" s="468"/>
      <c r="JJS57" s="468"/>
      <c r="JJT57" s="468"/>
      <c r="JJU57" s="468"/>
      <c r="JJV57" s="468"/>
      <c r="JJW57" s="468"/>
      <c r="JJX57" s="468"/>
      <c r="JJY57" s="468"/>
      <c r="JJZ57" s="468"/>
      <c r="JKA57" s="468"/>
      <c r="JKB57" s="468"/>
      <c r="JKC57" s="468"/>
      <c r="JKD57" s="468"/>
      <c r="JKE57" s="468"/>
      <c r="JKF57" s="468"/>
      <c r="JKG57" s="468"/>
      <c r="JKH57" s="468"/>
      <c r="JKI57" s="468"/>
      <c r="JKJ57" s="468"/>
      <c r="JKK57" s="468"/>
      <c r="JKL57" s="468"/>
      <c r="JKM57" s="468"/>
      <c r="JKN57" s="468"/>
      <c r="JKO57" s="468"/>
      <c r="JKP57" s="468"/>
      <c r="JKQ57" s="468"/>
      <c r="JKR57" s="468"/>
      <c r="JKS57" s="468"/>
      <c r="JKT57" s="468"/>
      <c r="JKU57" s="468"/>
      <c r="JKV57" s="468"/>
      <c r="JKW57" s="468"/>
      <c r="JKX57" s="468"/>
      <c r="JKY57" s="468"/>
      <c r="JKZ57" s="468"/>
      <c r="JLA57" s="468"/>
      <c r="JLB57" s="468"/>
      <c r="JLC57" s="468"/>
      <c r="JLD57" s="468"/>
      <c r="JLE57" s="468"/>
      <c r="JLF57" s="468"/>
      <c r="JLG57" s="468"/>
      <c r="JLH57" s="468"/>
      <c r="JLI57" s="468"/>
      <c r="JLJ57" s="468"/>
      <c r="JLK57" s="468"/>
      <c r="JLL57" s="468"/>
      <c r="JLM57" s="468"/>
      <c r="JLN57" s="468"/>
      <c r="JLO57" s="468"/>
      <c r="JLP57" s="468"/>
      <c r="JLQ57" s="468"/>
      <c r="JLR57" s="468"/>
      <c r="JLS57" s="468"/>
      <c r="JLT57" s="468"/>
      <c r="JLU57" s="468"/>
      <c r="JLV57" s="468"/>
      <c r="JLW57" s="468"/>
      <c r="JLX57" s="468"/>
      <c r="JLY57" s="468"/>
      <c r="JLZ57" s="468"/>
      <c r="JMA57" s="468"/>
      <c r="JMB57" s="468"/>
      <c r="JMC57" s="468"/>
      <c r="JMD57" s="468"/>
      <c r="JME57" s="468"/>
      <c r="JMF57" s="468"/>
      <c r="JMG57" s="468"/>
      <c r="JMH57" s="468"/>
      <c r="JMI57" s="468"/>
      <c r="JMJ57" s="468"/>
      <c r="JMK57" s="468"/>
      <c r="JML57" s="468"/>
      <c r="JMM57" s="468"/>
      <c r="JMN57" s="468"/>
      <c r="JMO57" s="468"/>
      <c r="JMP57" s="468"/>
      <c r="JMQ57" s="468"/>
      <c r="JMR57" s="468"/>
      <c r="JMS57" s="468"/>
      <c r="JMT57" s="468"/>
      <c r="JMU57" s="468"/>
      <c r="JMV57" s="468"/>
      <c r="JMW57" s="468"/>
      <c r="JMX57" s="468"/>
      <c r="JMY57" s="468"/>
      <c r="JMZ57" s="468"/>
      <c r="JNA57" s="468"/>
      <c r="JNB57" s="468"/>
      <c r="JNC57" s="468"/>
      <c r="JND57" s="468"/>
      <c r="JNE57" s="468"/>
      <c r="JNF57" s="468"/>
      <c r="JNG57" s="468"/>
      <c r="JNH57" s="468"/>
      <c r="JNI57" s="468"/>
      <c r="JNJ57" s="468"/>
      <c r="JNK57" s="468"/>
      <c r="JNL57" s="468"/>
      <c r="JNM57" s="468"/>
      <c r="JNN57" s="468"/>
      <c r="JNO57" s="468"/>
      <c r="JNP57" s="468"/>
      <c r="JNQ57" s="468"/>
      <c r="JNR57" s="468"/>
      <c r="JNS57" s="468"/>
      <c r="JNT57" s="468"/>
      <c r="JNU57" s="468"/>
      <c r="JNV57" s="468"/>
      <c r="JNW57" s="468"/>
      <c r="JNX57" s="468"/>
      <c r="JNY57" s="468"/>
      <c r="JNZ57" s="468"/>
      <c r="JOA57" s="468"/>
      <c r="JOB57" s="468"/>
      <c r="JOC57" s="468"/>
      <c r="JOD57" s="468"/>
      <c r="JOE57" s="468"/>
      <c r="JOF57" s="468"/>
      <c r="JOG57" s="468"/>
      <c r="JOH57" s="468"/>
      <c r="JOI57" s="468"/>
      <c r="JOJ57" s="468"/>
      <c r="JOK57" s="468"/>
      <c r="JOL57" s="468"/>
      <c r="JOM57" s="468"/>
      <c r="JON57" s="468"/>
      <c r="JOO57" s="468"/>
      <c r="JOP57" s="468"/>
      <c r="JOQ57" s="468"/>
      <c r="JOR57" s="468"/>
      <c r="JOS57" s="468"/>
      <c r="JOT57" s="468"/>
      <c r="JOU57" s="468"/>
      <c r="JOV57" s="468"/>
      <c r="JOW57" s="468"/>
      <c r="JOX57" s="468"/>
      <c r="JOY57" s="468"/>
      <c r="JOZ57" s="468"/>
      <c r="JPA57" s="468"/>
      <c r="JPB57" s="468"/>
      <c r="JPC57" s="468"/>
      <c r="JPD57" s="468"/>
      <c r="JPE57" s="468"/>
      <c r="JPF57" s="468"/>
      <c r="JPG57" s="468"/>
      <c r="JPH57" s="468"/>
      <c r="JPI57" s="468"/>
      <c r="JPJ57" s="468"/>
      <c r="JPK57" s="468"/>
      <c r="JPL57" s="468"/>
      <c r="JPM57" s="468"/>
      <c r="JPN57" s="468"/>
      <c r="JPO57" s="468"/>
      <c r="JPP57" s="468"/>
      <c r="JPQ57" s="468"/>
      <c r="JPR57" s="468"/>
      <c r="JPS57" s="468"/>
      <c r="JPT57" s="468"/>
      <c r="JPU57" s="468"/>
      <c r="JPV57" s="468"/>
      <c r="JPW57" s="468"/>
      <c r="JPX57" s="468"/>
      <c r="JPY57" s="468"/>
      <c r="JPZ57" s="468"/>
      <c r="JQA57" s="468"/>
      <c r="JQB57" s="468"/>
      <c r="JQC57" s="468"/>
      <c r="JQD57" s="468"/>
      <c r="JQE57" s="468"/>
      <c r="JQF57" s="468"/>
      <c r="JQG57" s="468"/>
      <c r="JQH57" s="468"/>
      <c r="JQI57" s="468"/>
      <c r="JQJ57" s="468"/>
      <c r="JQK57" s="468"/>
      <c r="JQL57" s="468"/>
      <c r="JQM57" s="468"/>
      <c r="JQN57" s="468"/>
      <c r="JQO57" s="468"/>
      <c r="JQP57" s="468"/>
      <c r="JQQ57" s="468"/>
      <c r="JQR57" s="468"/>
      <c r="JQS57" s="468"/>
      <c r="JQT57" s="468"/>
      <c r="JQU57" s="468"/>
      <c r="JQV57" s="468"/>
      <c r="JQW57" s="468"/>
      <c r="JQX57" s="468"/>
      <c r="JQY57" s="468"/>
      <c r="JQZ57" s="468"/>
      <c r="JRA57" s="468"/>
      <c r="JRB57" s="468"/>
      <c r="JRC57" s="468"/>
      <c r="JRD57" s="468"/>
      <c r="JRE57" s="468"/>
      <c r="JRF57" s="468"/>
      <c r="JRG57" s="468"/>
      <c r="JRH57" s="468"/>
      <c r="JRI57" s="468"/>
      <c r="JRJ57" s="468"/>
      <c r="JRK57" s="468"/>
      <c r="JRL57" s="468"/>
      <c r="JRM57" s="468"/>
      <c r="JRN57" s="468"/>
      <c r="JRO57" s="468"/>
      <c r="JRP57" s="468"/>
      <c r="JRQ57" s="468"/>
      <c r="JRR57" s="468"/>
      <c r="JRS57" s="468"/>
      <c r="JRT57" s="468"/>
      <c r="JRU57" s="468"/>
      <c r="JRV57" s="468"/>
      <c r="JRW57" s="468"/>
      <c r="JRX57" s="468"/>
      <c r="JRY57" s="468"/>
      <c r="JRZ57" s="468"/>
      <c r="JSA57" s="468"/>
      <c r="JSB57" s="468"/>
      <c r="JSC57" s="468"/>
      <c r="JSD57" s="468"/>
      <c r="JSE57" s="468"/>
      <c r="JSF57" s="468"/>
      <c r="JSG57" s="468"/>
      <c r="JSH57" s="468"/>
      <c r="JSI57" s="468"/>
      <c r="JSJ57" s="468"/>
      <c r="JSK57" s="468"/>
      <c r="JSL57" s="468"/>
      <c r="JSM57" s="468"/>
      <c r="JSN57" s="468"/>
      <c r="JSO57" s="468"/>
      <c r="JSP57" s="468"/>
      <c r="JSQ57" s="468"/>
      <c r="JSR57" s="468"/>
      <c r="JSS57" s="468"/>
      <c r="JST57" s="468"/>
      <c r="JSU57" s="468"/>
      <c r="JSV57" s="468"/>
      <c r="JSW57" s="468"/>
      <c r="JSX57" s="468"/>
      <c r="JSY57" s="468"/>
      <c r="JSZ57" s="468"/>
      <c r="JTA57" s="468"/>
      <c r="JTB57" s="468"/>
      <c r="JTC57" s="468"/>
      <c r="JTD57" s="468"/>
      <c r="JTE57" s="468"/>
      <c r="JTF57" s="468"/>
      <c r="JTG57" s="468"/>
      <c r="JTH57" s="468"/>
      <c r="JTI57" s="468"/>
      <c r="JTJ57" s="468"/>
      <c r="JTK57" s="468"/>
      <c r="JTL57" s="468"/>
      <c r="JTM57" s="468"/>
      <c r="JTN57" s="468"/>
      <c r="JTO57" s="468"/>
      <c r="JTP57" s="468"/>
      <c r="JTQ57" s="468"/>
      <c r="JTR57" s="468"/>
      <c r="JTS57" s="468"/>
      <c r="JTT57" s="468"/>
      <c r="JTU57" s="468"/>
      <c r="JTV57" s="468"/>
      <c r="JTW57" s="468"/>
      <c r="JTX57" s="468"/>
      <c r="JTY57" s="468"/>
      <c r="JTZ57" s="468"/>
      <c r="JUA57" s="468"/>
      <c r="JUB57" s="468"/>
      <c r="JUC57" s="468"/>
      <c r="JUD57" s="468"/>
      <c r="JUE57" s="468"/>
      <c r="JUF57" s="468"/>
      <c r="JUG57" s="468"/>
      <c r="JUH57" s="468"/>
      <c r="JUI57" s="468"/>
      <c r="JUJ57" s="468"/>
      <c r="JUK57" s="468"/>
      <c r="JUL57" s="468"/>
      <c r="JUM57" s="468"/>
      <c r="JUN57" s="468"/>
      <c r="JUO57" s="468"/>
      <c r="JUP57" s="468"/>
      <c r="JUQ57" s="468"/>
      <c r="JUR57" s="468"/>
      <c r="JUS57" s="468"/>
      <c r="JUT57" s="468"/>
      <c r="JUU57" s="468"/>
      <c r="JUV57" s="468"/>
      <c r="JUW57" s="468"/>
      <c r="JUX57" s="468"/>
      <c r="JUY57" s="468"/>
      <c r="JUZ57" s="468"/>
      <c r="JVA57" s="468"/>
      <c r="JVB57" s="468"/>
      <c r="JVC57" s="468"/>
      <c r="JVD57" s="468"/>
      <c r="JVE57" s="468"/>
      <c r="JVF57" s="468"/>
      <c r="JVG57" s="468"/>
      <c r="JVH57" s="468"/>
      <c r="JVI57" s="468"/>
      <c r="JVJ57" s="468"/>
      <c r="JVK57" s="468"/>
      <c r="JVL57" s="468"/>
      <c r="JVM57" s="468"/>
      <c r="JVN57" s="468"/>
      <c r="JVO57" s="468"/>
      <c r="JVP57" s="468"/>
      <c r="JVQ57" s="468"/>
      <c r="JVR57" s="468"/>
      <c r="JVS57" s="468"/>
      <c r="JVT57" s="468"/>
      <c r="JVU57" s="468"/>
      <c r="JVV57" s="468"/>
      <c r="JVW57" s="468"/>
      <c r="JVX57" s="468"/>
      <c r="JVY57" s="468"/>
      <c r="JVZ57" s="468"/>
      <c r="JWA57" s="468"/>
      <c r="JWB57" s="468"/>
      <c r="JWC57" s="468"/>
      <c r="JWD57" s="468"/>
      <c r="JWE57" s="468"/>
      <c r="JWF57" s="468"/>
      <c r="JWG57" s="468"/>
      <c r="JWH57" s="468"/>
      <c r="JWI57" s="468"/>
      <c r="JWJ57" s="468"/>
      <c r="JWK57" s="468"/>
      <c r="JWL57" s="468"/>
      <c r="JWM57" s="468"/>
      <c r="JWN57" s="468"/>
      <c r="JWO57" s="468"/>
      <c r="JWP57" s="468"/>
      <c r="JWQ57" s="468"/>
      <c r="JWR57" s="468"/>
      <c r="JWS57" s="468"/>
      <c r="JWT57" s="468"/>
      <c r="JWU57" s="468"/>
      <c r="JWV57" s="468"/>
      <c r="JWW57" s="468"/>
      <c r="JWX57" s="468"/>
      <c r="JWY57" s="468"/>
      <c r="JWZ57" s="468"/>
      <c r="JXA57" s="468"/>
      <c r="JXB57" s="468"/>
      <c r="JXC57" s="468"/>
      <c r="JXD57" s="468"/>
      <c r="JXE57" s="468"/>
      <c r="JXF57" s="468"/>
      <c r="JXG57" s="468"/>
      <c r="JXH57" s="468"/>
      <c r="JXI57" s="468"/>
      <c r="JXJ57" s="468"/>
      <c r="JXK57" s="468"/>
      <c r="JXL57" s="468"/>
      <c r="JXM57" s="468"/>
      <c r="JXN57" s="468"/>
      <c r="JXO57" s="468"/>
      <c r="JXP57" s="468"/>
      <c r="JXQ57" s="468"/>
      <c r="JXR57" s="468"/>
      <c r="JXS57" s="468"/>
      <c r="JXT57" s="468"/>
      <c r="JXU57" s="468"/>
      <c r="JXV57" s="468"/>
      <c r="JXW57" s="468"/>
      <c r="JXX57" s="468"/>
      <c r="JXY57" s="468"/>
      <c r="JXZ57" s="468"/>
      <c r="JYA57" s="468"/>
      <c r="JYB57" s="468"/>
      <c r="JYC57" s="468"/>
      <c r="JYD57" s="468"/>
      <c r="JYE57" s="468"/>
      <c r="JYF57" s="468"/>
      <c r="JYG57" s="468"/>
      <c r="JYH57" s="468"/>
      <c r="JYI57" s="468"/>
      <c r="JYJ57" s="468"/>
      <c r="JYK57" s="468"/>
      <c r="JYL57" s="468"/>
      <c r="JYM57" s="468"/>
      <c r="JYN57" s="468"/>
      <c r="JYO57" s="468"/>
      <c r="JYP57" s="468"/>
      <c r="JYQ57" s="468"/>
      <c r="JYR57" s="468"/>
      <c r="JYS57" s="468"/>
      <c r="JYT57" s="468"/>
      <c r="JYU57" s="468"/>
      <c r="JYV57" s="468"/>
      <c r="JYW57" s="468"/>
      <c r="JYX57" s="468"/>
      <c r="JYY57" s="468"/>
      <c r="JYZ57" s="468"/>
      <c r="JZA57" s="468"/>
      <c r="JZB57" s="468"/>
      <c r="JZC57" s="468"/>
      <c r="JZD57" s="468"/>
      <c r="JZE57" s="468"/>
      <c r="JZF57" s="468"/>
      <c r="JZG57" s="468"/>
      <c r="JZH57" s="468"/>
      <c r="JZI57" s="468"/>
      <c r="JZJ57" s="468"/>
      <c r="JZK57" s="468"/>
      <c r="JZL57" s="468"/>
      <c r="JZM57" s="468"/>
      <c r="JZN57" s="468"/>
      <c r="JZO57" s="468"/>
      <c r="JZP57" s="468"/>
      <c r="JZQ57" s="468"/>
      <c r="JZR57" s="468"/>
      <c r="JZS57" s="468"/>
      <c r="JZT57" s="468"/>
      <c r="JZU57" s="468"/>
      <c r="JZV57" s="468"/>
      <c r="JZW57" s="468"/>
      <c r="JZX57" s="468"/>
      <c r="JZY57" s="468"/>
      <c r="JZZ57" s="468"/>
      <c r="KAA57" s="468"/>
      <c r="KAB57" s="468"/>
      <c r="KAC57" s="468"/>
      <c r="KAD57" s="468"/>
      <c r="KAE57" s="468"/>
      <c r="KAF57" s="468"/>
      <c r="KAG57" s="468"/>
      <c r="KAH57" s="468"/>
      <c r="KAI57" s="468"/>
      <c r="KAJ57" s="468"/>
      <c r="KAK57" s="468"/>
      <c r="KAL57" s="468"/>
      <c r="KAM57" s="468"/>
      <c r="KAN57" s="468"/>
      <c r="KAO57" s="468"/>
      <c r="KAP57" s="468"/>
      <c r="KAQ57" s="468"/>
      <c r="KAR57" s="468"/>
      <c r="KAS57" s="468"/>
      <c r="KAT57" s="468"/>
      <c r="KAU57" s="468"/>
      <c r="KAV57" s="468"/>
      <c r="KAW57" s="468"/>
      <c r="KAX57" s="468"/>
      <c r="KAY57" s="468"/>
      <c r="KAZ57" s="468"/>
      <c r="KBA57" s="468"/>
      <c r="KBB57" s="468"/>
      <c r="KBC57" s="468"/>
      <c r="KBD57" s="468"/>
      <c r="KBE57" s="468"/>
      <c r="KBF57" s="468"/>
      <c r="KBG57" s="468"/>
      <c r="KBH57" s="468"/>
      <c r="KBI57" s="468"/>
      <c r="KBJ57" s="468"/>
      <c r="KBK57" s="468"/>
      <c r="KBL57" s="468"/>
      <c r="KBM57" s="468"/>
      <c r="KBN57" s="468"/>
      <c r="KBO57" s="468"/>
      <c r="KBP57" s="468"/>
      <c r="KBQ57" s="468"/>
      <c r="KBR57" s="468"/>
      <c r="KBS57" s="468"/>
      <c r="KBT57" s="468"/>
      <c r="KBU57" s="468"/>
      <c r="KBV57" s="468"/>
      <c r="KBW57" s="468"/>
      <c r="KBX57" s="468"/>
      <c r="KBY57" s="468"/>
      <c r="KBZ57" s="468"/>
      <c r="KCA57" s="468"/>
      <c r="KCB57" s="468"/>
      <c r="KCC57" s="468"/>
      <c r="KCD57" s="468"/>
      <c r="KCE57" s="468"/>
      <c r="KCF57" s="468"/>
      <c r="KCG57" s="468"/>
      <c r="KCH57" s="468"/>
      <c r="KCI57" s="468"/>
      <c r="KCJ57" s="468"/>
      <c r="KCK57" s="468"/>
      <c r="KCL57" s="468"/>
      <c r="KCM57" s="468"/>
      <c r="KCN57" s="468"/>
      <c r="KCO57" s="468"/>
      <c r="KCP57" s="468"/>
      <c r="KCQ57" s="468"/>
      <c r="KCR57" s="468"/>
      <c r="KCS57" s="468"/>
      <c r="KCT57" s="468"/>
      <c r="KCU57" s="468"/>
      <c r="KCV57" s="468"/>
      <c r="KCW57" s="468"/>
      <c r="KCX57" s="468"/>
      <c r="KCY57" s="468"/>
      <c r="KCZ57" s="468"/>
      <c r="KDA57" s="468"/>
      <c r="KDB57" s="468"/>
      <c r="KDC57" s="468"/>
      <c r="KDD57" s="468"/>
      <c r="KDE57" s="468"/>
      <c r="KDF57" s="468"/>
      <c r="KDG57" s="468"/>
      <c r="KDH57" s="468"/>
      <c r="KDI57" s="468"/>
      <c r="KDJ57" s="468"/>
      <c r="KDK57" s="468"/>
      <c r="KDL57" s="468"/>
      <c r="KDM57" s="468"/>
      <c r="KDN57" s="468"/>
      <c r="KDO57" s="468"/>
      <c r="KDP57" s="468"/>
      <c r="KDQ57" s="468"/>
      <c r="KDR57" s="468"/>
      <c r="KDS57" s="468"/>
      <c r="KDT57" s="468"/>
      <c r="KDU57" s="468"/>
      <c r="KDV57" s="468"/>
      <c r="KDW57" s="468"/>
      <c r="KDX57" s="468"/>
      <c r="KDY57" s="468"/>
      <c r="KDZ57" s="468"/>
      <c r="KEA57" s="468"/>
      <c r="KEB57" s="468"/>
      <c r="KEC57" s="468"/>
      <c r="KED57" s="468"/>
      <c r="KEE57" s="468"/>
      <c r="KEF57" s="468"/>
      <c r="KEG57" s="468"/>
      <c r="KEH57" s="468"/>
      <c r="KEI57" s="468"/>
      <c r="KEJ57" s="468"/>
      <c r="KEK57" s="468"/>
      <c r="KEL57" s="468"/>
      <c r="KEM57" s="468"/>
      <c r="KEN57" s="468"/>
      <c r="KEO57" s="468"/>
      <c r="KEP57" s="468"/>
      <c r="KEQ57" s="468"/>
      <c r="KER57" s="468"/>
      <c r="KES57" s="468"/>
      <c r="KET57" s="468"/>
      <c r="KEU57" s="468"/>
      <c r="KEV57" s="468"/>
      <c r="KEW57" s="468"/>
      <c r="KEX57" s="468"/>
      <c r="KEY57" s="468"/>
      <c r="KEZ57" s="468"/>
      <c r="KFA57" s="468"/>
      <c r="KFB57" s="468"/>
      <c r="KFC57" s="468"/>
      <c r="KFD57" s="468"/>
      <c r="KFE57" s="468"/>
      <c r="KFF57" s="468"/>
      <c r="KFG57" s="468"/>
      <c r="KFH57" s="468"/>
      <c r="KFI57" s="468"/>
      <c r="KFJ57" s="468"/>
      <c r="KFK57" s="468"/>
      <c r="KFL57" s="468"/>
      <c r="KFM57" s="468"/>
      <c r="KFN57" s="468"/>
      <c r="KFO57" s="468"/>
      <c r="KFP57" s="468"/>
      <c r="KFQ57" s="468"/>
      <c r="KFR57" s="468"/>
      <c r="KFS57" s="468"/>
      <c r="KFT57" s="468"/>
      <c r="KFU57" s="468"/>
      <c r="KFV57" s="468"/>
      <c r="KFW57" s="468"/>
      <c r="KFX57" s="468"/>
      <c r="KFY57" s="468"/>
      <c r="KFZ57" s="468"/>
      <c r="KGA57" s="468"/>
      <c r="KGB57" s="468"/>
      <c r="KGC57" s="468"/>
      <c r="KGD57" s="468"/>
      <c r="KGE57" s="468"/>
      <c r="KGF57" s="468"/>
      <c r="KGG57" s="468"/>
      <c r="KGH57" s="468"/>
      <c r="KGI57" s="468"/>
      <c r="KGJ57" s="468"/>
      <c r="KGK57" s="468"/>
      <c r="KGL57" s="468"/>
      <c r="KGM57" s="468"/>
      <c r="KGN57" s="468"/>
      <c r="KGO57" s="468"/>
      <c r="KGP57" s="468"/>
      <c r="KGQ57" s="468"/>
      <c r="KGR57" s="468"/>
      <c r="KGS57" s="468"/>
      <c r="KGT57" s="468"/>
      <c r="KGU57" s="468"/>
      <c r="KGV57" s="468"/>
      <c r="KGW57" s="468"/>
      <c r="KGX57" s="468"/>
      <c r="KGY57" s="468"/>
      <c r="KGZ57" s="468"/>
      <c r="KHA57" s="468"/>
      <c r="KHB57" s="468"/>
      <c r="KHC57" s="468"/>
      <c r="KHD57" s="468"/>
      <c r="KHE57" s="468"/>
      <c r="KHF57" s="468"/>
      <c r="KHG57" s="468"/>
      <c r="KHH57" s="468"/>
      <c r="KHI57" s="468"/>
      <c r="KHJ57" s="468"/>
      <c r="KHK57" s="468"/>
      <c r="KHL57" s="468"/>
      <c r="KHM57" s="468"/>
      <c r="KHN57" s="468"/>
      <c r="KHO57" s="468"/>
      <c r="KHP57" s="468"/>
      <c r="KHQ57" s="468"/>
      <c r="KHR57" s="468"/>
      <c r="KHS57" s="468"/>
      <c r="KHT57" s="468"/>
      <c r="KHU57" s="468"/>
      <c r="KHV57" s="468"/>
      <c r="KHW57" s="468"/>
      <c r="KHX57" s="468"/>
      <c r="KHY57" s="468"/>
      <c r="KHZ57" s="468"/>
      <c r="KIA57" s="468"/>
      <c r="KIB57" s="468"/>
      <c r="KIC57" s="468"/>
      <c r="KID57" s="468"/>
      <c r="KIE57" s="468"/>
      <c r="KIF57" s="468"/>
      <c r="KIG57" s="468"/>
      <c r="KIH57" s="468"/>
      <c r="KII57" s="468"/>
      <c r="KIJ57" s="468"/>
      <c r="KIK57" s="468"/>
      <c r="KIL57" s="468"/>
      <c r="KIM57" s="468"/>
      <c r="KIN57" s="468"/>
      <c r="KIO57" s="468"/>
      <c r="KIP57" s="468"/>
      <c r="KIQ57" s="468"/>
      <c r="KIR57" s="468"/>
      <c r="KIS57" s="468"/>
      <c r="KIT57" s="468"/>
      <c r="KIU57" s="468"/>
      <c r="KIV57" s="468"/>
      <c r="KIW57" s="468"/>
      <c r="KIX57" s="468"/>
      <c r="KIY57" s="468"/>
      <c r="KIZ57" s="468"/>
      <c r="KJA57" s="468"/>
      <c r="KJB57" s="468"/>
      <c r="KJC57" s="468"/>
      <c r="KJD57" s="468"/>
      <c r="KJE57" s="468"/>
      <c r="KJF57" s="468"/>
      <c r="KJG57" s="468"/>
      <c r="KJH57" s="468"/>
      <c r="KJI57" s="468"/>
      <c r="KJJ57" s="468"/>
      <c r="KJK57" s="468"/>
      <c r="KJL57" s="468"/>
      <c r="KJM57" s="468"/>
      <c r="KJN57" s="468"/>
      <c r="KJO57" s="468"/>
      <c r="KJP57" s="468"/>
      <c r="KJQ57" s="468"/>
      <c r="KJR57" s="468"/>
      <c r="KJS57" s="468"/>
      <c r="KJT57" s="468"/>
      <c r="KJU57" s="468"/>
      <c r="KJV57" s="468"/>
      <c r="KJW57" s="468"/>
      <c r="KJX57" s="468"/>
      <c r="KJY57" s="468"/>
      <c r="KJZ57" s="468"/>
      <c r="KKA57" s="468"/>
      <c r="KKB57" s="468"/>
      <c r="KKC57" s="468"/>
      <c r="KKD57" s="468"/>
      <c r="KKE57" s="468"/>
      <c r="KKF57" s="468"/>
      <c r="KKG57" s="468"/>
      <c r="KKH57" s="468"/>
      <c r="KKI57" s="468"/>
      <c r="KKJ57" s="468"/>
      <c r="KKK57" s="468"/>
      <c r="KKL57" s="468"/>
      <c r="KKM57" s="468"/>
      <c r="KKN57" s="468"/>
      <c r="KKO57" s="468"/>
      <c r="KKP57" s="468"/>
      <c r="KKQ57" s="468"/>
      <c r="KKR57" s="468"/>
      <c r="KKS57" s="468"/>
      <c r="KKT57" s="468"/>
      <c r="KKU57" s="468"/>
      <c r="KKV57" s="468"/>
      <c r="KKW57" s="468"/>
      <c r="KKX57" s="468"/>
      <c r="KKY57" s="468"/>
      <c r="KKZ57" s="468"/>
      <c r="KLA57" s="468"/>
      <c r="KLB57" s="468"/>
      <c r="KLC57" s="468"/>
      <c r="KLD57" s="468"/>
      <c r="KLE57" s="468"/>
      <c r="KLF57" s="468"/>
      <c r="KLG57" s="468"/>
      <c r="KLH57" s="468"/>
      <c r="KLI57" s="468"/>
      <c r="KLJ57" s="468"/>
      <c r="KLK57" s="468"/>
      <c r="KLL57" s="468"/>
      <c r="KLM57" s="468"/>
      <c r="KLN57" s="468"/>
      <c r="KLO57" s="468"/>
      <c r="KLP57" s="468"/>
      <c r="KLQ57" s="468"/>
      <c r="KLR57" s="468"/>
      <c r="KLS57" s="468"/>
      <c r="KLT57" s="468"/>
      <c r="KLU57" s="468"/>
      <c r="KLV57" s="468"/>
      <c r="KLW57" s="468"/>
      <c r="KLX57" s="468"/>
      <c r="KLY57" s="468"/>
      <c r="KLZ57" s="468"/>
      <c r="KMA57" s="468"/>
      <c r="KMB57" s="468"/>
      <c r="KMC57" s="468"/>
      <c r="KMD57" s="468"/>
      <c r="KME57" s="468"/>
      <c r="KMF57" s="468"/>
      <c r="KMG57" s="468"/>
      <c r="KMH57" s="468"/>
      <c r="KMI57" s="468"/>
      <c r="KMJ57" s="468"/>
      <c r="KMK57" s="468"/>
      <c r="KML57" s="468"/>
      <c r="KMM57" s="468"/>
      <c r="KMN57" s="468"/>
      <c r="KMO57" s="468"/>
      <c r="KMP57" s="468"/>
      <c r="KMQ57" s="468"/>
      <c r="KMR57" s="468"/>
      <c r="KMS57" s="468"/>
      <c r="KMT57" s="468"/>
      <c r="KMU57" s="468"/>
      <c r="KMV57" s="468"/>
      <c r="KMW57" s="468"/>
      <c r="KMX57" s="468"/>
      <c r="KMY57" s="468"/>
      <c r="KMZ57" s="468"/>
      <c r="KNA57" s="468"/>
      <c r="KNB57" s="468"/>
      <c r="KNC57" s="468"/>
      <c r="KND57" s="468"/>
      <c r="KNE57" s="468"/>
      <c r="KNF57" s="468"/>
      <c r="KNG57" s="468"/>
      <c r="KNH57" s="468"/>
      <c r="KNI57" s="468"/>
      <c r="KNJ57" s="468"/>
      <c r="KNK57" s="468"/>
      <c r="KNL57" s="468"/>
      <c r="KNM57" s="468"/>
      <c r="KNN57" s="468"/>
      <c r="KNO57" s="468"/>
      <c r="KNP57" s="468"/>
      <c r="KNQ57" s="468"/>
      <c r="KNR57" s="468"/>
      <c r="KNS57" s="468"/>
      <c r="KNT57" s="468"/>
      <c r="KNU57" s="468"/>
      <c r="KNV57" s="468"/>
      <c r="KNW57" s="468"/>
      <c r="KNX57" s="468"/>
      <c r="KNY57" s="468"/>
      <c r="KNZ57" s="468"/>
      <c r="KOA57" s="468"/>
      <c r="KOB57" s="468"/>
      <c r="KOC57" s="468"/>
      <c r="KOD57" s="468"/>
      <c r="KOE57" s="468"/>
      <c r="KOF57" s="468"/>
      <c r="KOG57" s="468"/>
      <c r="KOH57" s="468"/>
      <c r="KOI57" s="468"/>
      <c r="KOJ57" s="468"/>
      <c r="KOK57" s="468"/>
      <c r="KOL57" s="468"/>
      <c r="KOM57" s="468"/>
      <c r="KON57" s="468"/>
      <c r="KOO57" s="468"/>
      <c r="KOP57" s="468"/>
      <c r="KOQ57" s="468"/>
      <c r="KOR57" s="468"/>
      <c r="KOS57" s="468"/>
      <c r="KOT57" s="468"/>
      <c r="KOU57" s="468"/>
      <c r="KOV57" s="468"/>
      <c r="KOW57" s="468"/>
      <c r="KOX57" s="468"/>
      <c r="KOY57" s="468"/>
      <c r="KOZ57" s="468"/>
      <c r="KPA57" s="468"/>
      <c r="KPB57" s="468"/>
      <c r="KPC57" s="468"/>
      <c r="KPD57" s="468"/>
      <c r="KPE57" s="468"/>
      <c r="KPF57" s="468"/>
      <c r="KPG57" s="468"/>
      <c r="KPH57" s="468"/>
      <c r="KPI57" s="468"/>
      <c r="KPJ57" s="468"/>
      <c r="KPK57" s="468"/>
      <c r="KPL57" s="468"/>
      <c r="KPM57" s="468"/>
      <c r="KPN57" s="468"/>
      <c r="KPO57" s="468"/>
      <c r="KPP57" s="468"/>
      <c r="KPQ57" s="468"/>
      <c r="KPR57" s="468"/>
      <c r="KPS57" s="468"/>
      <c r="KPT57" s="468"/>
      <c r="KPU57" s="468"/>
      <c r="KPV57" s="468"/>
      <c r="KPW57" s="468"/>
      <c r="KPX57" s="468"/>
      <c r="KPY57" s="468"/>
      <c r="KPZ57" s="468"/>
      <c r="KQA57" s="468"/>
      <c r="KQB57" s="468"/>
      <c r="KQC57" s="468"/>
      <c r="KQD57" s="468"/>
      <c r="KQE57" s="468"/>
      <c r="KQF57" s="468"/>
      <c r="KQG57" s="468"/>
      <c r="KQH57" s="468"/>
      <c r="KQI57" s="468"/>
      <c r="KQJ57" s="468"/>
      <c r="KQK57" s="468"/>
      <c r="KQL57" s="468"/>
      <c r="KQM57" s="468"/>
      <c r="KQN57" s="468"/>
      <c r="KQO57" s="468"/>
      <c r="KQP57" s="468"/>
      <c r="KQQ57" s="468"/>
      <c r="KQR57" s="468"/>
      <c r="KQS57" s="468"/>
      <c r="KQT57" s="468"/>
      <c r="KQU57" s="468"/>
      <c r="KQV57" s="468"/>
      <c r="KQW57" s="468"/>
      <c r="KQX57" s="468"/>
      <c r="KQY57" s="468"/>
      <c r="KQZ57" s="468"/>
      <c r="KRA57" s="468"/>
      <c r="KRB57" s="468"/>
      <c r="KRC57" s="468"/>
      <c r="KRD57" s="468"/>
      <c r="KRE57" s="468"/>
      <c r="KRF57" s="468"/>
      <c r="KRG57" s="468"/>
      <c r="KRH57" s="468"/>
      <c r="KRI57" s="468"/>
      <c r="KRJ57" s="468"/>
      <c r="KRK57" s="468"/>
      <c r="KRL57" s="468"/>
      <c r="KRM57" s="468"/>
      <c r="KRN57" s="468"/>
      <c r="KRO57" s="468"/>
      <c r="KRP57" s="468"/>
      <c r="KRQ57" s="468"/>
      <c r="KRR57" s="468"/>
      <c r="KRS57" s="468"/>
      <c r="KRT57" s="468"/>
      <c r="KRU57" s="468"/>
      <c r="KRV57" s="468"/>
      <c r="KRW57" s="468"/>
      <c r="KRX57" s="468"/>
      <c r="KRY57" s="468"/>
      <c r="KRZ57" s="468"/>
      <c r="KSA57" s="468"/>
      <c r="KSB57" s="468"/>
      <c r="KSC57" s="468"/>
      <c r="KSD57" s="468"/>
      <c r="KSE57" s="468"/>
      <c r="KSF57" s="468"/>
      <c r="KSG57" s="468"/>
      <c r="KSH57" s="468"/>
      <c r="KSI57" s="468"/>
      <c r="KSJ57" s="468"/>
      <c r="KSK57" s="468"/>
      <c r="KSL57" s="468"/>
      <c r="KSM57" s="468"/>
      <c r="KSN57" s="468"/>
      <c r="KSO57" s="468"/>
      <c r="KSP57" s="468"/>
      <c r="KSQ57" s="468"/>
      <c r="KSR57" s="468"/>
      <c r="KSS57" s="468"/>
      <c r="KST57" s="468"/>
      <c r="KSU57" s="468"/>
      <c r="KSV57" s="468"/>
      <c r="KSW57" s="468"/>
      <c r="KSX57" s="468"/>
      <c r="KSY57" s="468"/>
      <c r="KSZ57" s="468"/>
      <c r="KTA57" s="468"/>
      <c r="KTB57" s="468"/>
      <c r="KTC57" s="468"/>
      <c r="KTD57" s="468"/>
      <c r="KTE57" s="468"/>
      <c r="KTF57" s="468"/>
      <c r="KTG57" s="468"/>
      <c r="KTH57" s="468"/>
      <c r="KTI57" s="468"/>
      <c r="KTJ57" s="468"/>
      <c r="KTK57" s="468"/>
      <c r="KTL57" s="468"/>
      <c r="KTM57" s="468"/>
      <c r="KTN57" s="468"/>
      <c r="KTO57" s="468"/>
      <c r="KTP57" s="468"/>
      <c r="KTQ57" s="468"/>
      <c r="KTR57" s="468"/>
      <c r="KTS57" s="468"/>
      <c r="KTT57" s="468"/>
      <c r="KTU57" s="468"/>
      <c r="KTV57" s="468"/>
      <c r="KTW57" s="468"/>
      <c r="KTX57" s="468"/>
      <c r="KTY57" s="468"/>
      <c r="KTZ57" s="468"/>
      <c r="KUA57" s="468"/>
      <c r="KUB57" s="468"/>
      <c r="KUC57" s="468"/>
      <c r="KUD57" s="468"/>
      <c r="KUE57" s="468"/>
      <c r="KUF57" s="468"/>
      <c r="KUG57" s="468"/>
      <c r="KUH57" s="468"/>
      <c r="KUI57" s="468"/>
      <c r="KUJ57" s="468"/>
      <c r="KUK57" s="468"/>
      <c r="KUL57" s="468"/>
      <c r="KUM57" s="468"/>
      <c r="KUN57" s="468"/>
      <c r="KUO57" s="468"/>
      <c r="KUP57" s="468"/>
      <c r="KUQ57" s="468"/>
      <c r="KUR57" s="468"/>
      <c r="KUS57" s="468"/>
      <c r="KUT57" s="468"/>
      <c r="KUU57" s="468"/>
      <c r="KUV57" s="468"/>
      <c r="KUW57" s="468"/>
      <c r="KUX57" s="468"/>
      <c r="KUY57" s="468"/>
      <c r="KUZ57" s="468"/>
      <c r="KVA57" s="468"/>
      <c r="KVB57" s="468"/>
      <c r="KVC57" s="468"/>
      <c r="KVD57" s="468"/>
      <c r="KVE57" s="468"/>
      <c r="KVF57" s="468"/>
      <c r="KVG57" s="468"/>
      <c r="KVH57" s="468"/>
      <c r="KVI57" s="468"/>
      <c r="KVJ57" s="468"/>
      <c r="KVK57" s="468"/>
      <c r="KVL57" s="468"/>
      <c r="KVM57" s="468"/>
      <c r="KVN57" s="468"/>
      <c r="KVO57" s="468"/>
      <c r="KVP57" s="468"/>
      <c r="KVQ57" s="468"/>
      <c r="KVR57" s="468"/>
      <c r="KVS57" s="468"/>
      <c r="KVT57" s="468"/>
      <c r="KVU57" s="468"/>
      <c r="KVV57" s="468"/>
      <c r="KVW57" s="468"/>
      <c r="KVX57" s="468"/>
      <c r="KVY57" s="468"/>
      <c r="KVZ57" s="468"/>
      <c r="KWA57" s="468"/>
      <c r="KWB57" s="468"/>
      <c r="KWC57" s="468"/>
      <c r="KWD57" s="468"/>
      <c r="KWE57" s="468"/>
      <c r="KWF57" s="468"/>
      <c r="KWG57" s="468"/>
      <c r="KWH57" s="468"/>
      <c r="KWI57" s="468"/>
      <c r="KWJ57" s="468"/>
      <c r="KWK57" s="468"/>
      <c r="KWL57" s="468"/>
      <c r="KWM57" s="468"/>
      <c r="KWN57" s="468"/>
      <c r="KWO57" s="468"/>
      <c r="KWP57" s="468"/>
      <c r="KWQ57" s="468"/>
      <c r="KWR57" s="468"/>
      <c r="KWS57" s="468"/>
      <c r="KWT57" s="468"/>
      <c r="KWU57" s="468"/>
      <c r="KWV57" s="468"/>
      <c r="KWW57" s="468"/>
      <c r="KWX57" s="468"/>
      <c r="KWY57" s="468"/>
      <c r="KWZ57" s="468"/>
      <c r="KXA57" s="468"/>
      <c r="KXB57" s="468"/>
      <c r="KXC57" s="468"/>
      <c r="KXD57" s="468"/>
      <c r="KXE57" s="468"/>
      <c r="KXF57" s="468"/>
      <c r="KXG57" s="468"/>
      <c r="KXH57" s="468"/>
      <c r="KXI57" s="468"/>
      <c r="KXJ57" s="468"/>
      <c r="KXK57" s="468"/>
      <c r="KXL57" s="468"/>
      <c r="KXM57" s="468"/>
      <c r="KXN57" s="468"/>
      <c r="KXO57" s="468"/>
      <c r="KXP57" s="468"/>
      <c r="KXQ57" s="468"/>
      <c r="KXR57" s="468"/>
      <c r="KXS57" s="468"/>
      <c r="KXT57" s="468"/>
      <c r="KXU57" s="468"/>
      <c r="KXV57" s="468"/>
      <c r="KXW57" s="468"/>
      <c r="KXX57" s="468"/>
      <c r="KXY57" s="468"/>
      <c r="KXZ57" s="468"/>
      <c r="KYA57" s="468"/>
      <c r="KYB57" s="468"/>
      <c r="KYC57" s="468"/>
      <c r="KYD57" s="468"/>
      <c r="KYE57" s="468"/>
      <c r="KYF57" s="468"/>
      <c r="KYG57" s="468"/>
      <c r="KYH57" s="468"/>
      <c r="KYI57" s="468"/>
      <c r="KYJ57" s="468"/>
      <c r="KYK57" s="468"/>
      <c r="KYL57" s="468"/>
      <c r="KYM57" s="468"/>
      <c r="KYN57" s="468"/>
      <c r="KYO57" s="468"/>
      <c r="KYP57" s="468"/>
      <c r="KYQ57" s="468"/>
      <c r="KYR57" s="468"/>
      <c r="KYS57" s="468"/>
      <c r="KYT57" s="468"/>
      <c r="KYU57" s="468"/>
      <c r="KYV57" s="468"/>
      <c r="KYW57" s="468"/>
      <c r="KYX57" s="468"/>
      <c r="KYY57" s="468"/>
      <c r="KYZ57" s="468"/>
      <c r="KZA57" s="468"/>
      <c r="KZB57" s="468"/>
      <c r="KZC57" s="468"/>
      <c r="KZD57" s="468"/>
      <c r="KZE57" s="468"/>
      <c r="KZF57" s="468"/>
      <c r="KZG57" s="468"/>
      <c r="KZH57" s="468"/>
      <c r="KZI57" s="468"/>
      <c r="KZJ57" s="468"/>
      <c r="KZK57" s="468"/>
      <c r="KZL57" s="468"/>
      <c r="KZM57" s="468"/>
      <c r="KZN57" s="468"/>
      <c r="KZO57" s="468"/>
      <c r="KZP57" s="468"/>
      <c r="KZQ57" s="468"/>
      <c r="KZR57" s="468"/>
      <c r="KZS57" s="468"/>
      <c r="KZT57" s="468"/>
      <c r="KZU57" s="468"/>
      <c r="KZV57" s="468"/>
      <c r="KZW57" s="468"/>
      <c r="KZX57" s="468"/>
      <c r="KZY57" s="468"/>
      <c r="KZZ57" s="468"/>
      <c r="LAA57" s="468"/>
      <c r="LAB57" s="468"/>
      <c r="LAC57" s="468"/>
      <c r="LAD57" s="468"/>
      <c r="LAE57" s="468"/>
      <c r="LAF57" s="468"/>
      <c r="LAG57" s="468"/>
      <c r="LAH57" s="468"/>
      <c r="LAI57" s="468"/>
      <c r="LAJ57" s="468"/>
      <c r="LAK57" s="468"/>
      <c r="LAL57" s="468"/>
      <c r="LAM57" s="468"/>
      <c r="LAN57" s="468"/>
      <c r="LAO57" s="468"/>
      <c r="LAP57" s="468"/>
      <c r="LAQ57" s="468"/>
      <c r="LAR57" s="468"/>
      <c r="LAS57" s="468"/>
      <c r="LAT57" s="468"/>
      <c r="LAU57" s="468"/>
      <c r="LAV57" s="468"/>
      <c r="LAW57" s="468"/>
      <c r="LAX57" s="468"/>
      <c r="LAY57" s="468"/>
      <c r="LAZ57" s="468"/>
      <c r="LBA57" s="468"/>
      <c r="LBB57" s="468"/>
      <c r="LBC57" s="468"/>
      <c r="LBD57" s="468"/>
      <c r="LBE57" s="468"/>
      <c r="LBF57" s="468"/>
      <c r="LBG57" s="468"/>
      <c r="LBH57" s="468"/>
      <c r="LBI57" s="468"/>
      <c r="LBJ57" s="468"/>
      <c r="LBK57" s="468"/>
      <c r="LBL57" s="468"/>
      <c r="LBM57" s="468"/>
      <c r="LBN57" s="468"/>
      <c r="LBO57" s="468"/>
      <c r="LBP57" s="468"/>
      <c r="LBQ57" s="468"/>
      <c r="LBR57" s="468"/>
      <c r="LBS57" s="468"/>
      <c r="LBT57" s="468"/>
      <c r="LBU57" s="468"/>
      <c r="LBV57" s="468"/>
      <c r="LBW57" s="468"/>
      <c r="LBX57" s="468"/>
      <c r="LBY57" s="468"/>
      <c r="LBZ57" s="468"/>
      <c r="LCA57" s="468"/>
      <c r="LCB57" s="468"/>
      <c r="LCC57" s="468"/>
      <c r="LCD57" s="468"/>
      <c r="LCE57" s="468"/>
      <c r="LCF57" s="468"/>
      <c r="LCG57" s="468"/>
      <c r="LCH57" s="468"/>
      <c r="LCI57" s="468"/>
      <c r="LCJ57" s="468"/>
      <c r="LCK57" s="468"/>
      <c r="LCL57" s="468"/>
      <c r="LCM57" s="468"/>
      <c r="LCN57" s="468"/>
      <c r="LCO57" s="468"/>
      <c r="LCP57" s="468"/>
      <c r="LCQ57" s="468"/>
      <c r="LCR57" s="468"/>
      <c r="LCS57" s="468"/>
      <c r="LCT57" s="468"/>
      <c r="LCU57" s="468"/>
      <c r="LCV57" s="468"/>
      <c r="LCW57" s="468"/>
      <c r="LCX57" s="468"/>
      <c r="LCY57" s="468"/>
      <c r="LCZ57" s="468"/>
      <c r="LDA57" s="468"/>
      <c r="LDB57" s="468"/>
      <c r="LDC57" s="468"/>
      <c r="LDD57" s="468"/>
      <c r="LDE57" s="468"/>
      <c r="LDF57" s="468"/>
      <c r="LDG57" s="468"/>
      <c r="LDH57" s="468"/>
      <c r="LDI57" s="468"/>
      <c r="LDJ57" s="468"/>
      <c r="LDK57" s="468"/>
      <c r="LDL57" s="468"/>
      <c r="LDM57" s="468"/>
      <c r="LDN57" s="468"/>
      <c r="LDO57" s="468"/>
      <c r="LDP57" s="468"/>
      <c r="LDQ57" s="468"/>
      <c r="LDR57" s="468"/>
      <c r="LDS57" s="468"/>
      <c r="LDT57" s="468"/>
      <c r="LDU57" s="468"/>
      <c r="LDV57" s="468"/>
      <c r="LDW57" s="468"/>
      <c r="LDX57" s="468"/>
      <c r="LDY57" s="468"/>
      <c r="LDZ57" s="468"/>
      <c r="LEA57" s="468"/>
      <c r="LEB57" s="468"/>
      <c r="LEC57" s="468"/>
      <c r="LED57" s="468"/>
      <c r="LEE57" s="468"/>
      <c r="LEF57" s="468"/>
      <c r="LEG57" s="468"/>
      <c r="LEH57" s="468"/>
      <c r="LEI57" s="468"/>
      <c r="LEJ57" s="468"/>
      <c r="LEK57" s="468"/>
      <c r="LEL57" s="468"/>
      <c r="LEM57" s="468"/>
      <c r="LEN57" s="468"/>
      <c r="LEO57" s="468"/>
      <c r="LEP57" s="468"/>
      <c r="LEQ57" s="468"/>
      <c r="LER57" s="468"/>
      <c r="LES57" s="468"/>
      <c r="LET57" s="468"/>
      <c r="LEU57" s="468"/>
      <c r="LEV57" s="468"/>
      <c r="LEW57" s="468"/>
      <c r="LEX57" s="468"/>
      <c r="LEY57" s="468"/>
      <c r="LEZ57" s="468"/>
      <c r="LFA57" s="468"/>
      <c r="LFB57" s="468"/>
      <c r="LFC57" s="468"/>
      <c r="LFD57" s="468"/>
      <c r="LFE57" s="468"/>
      <c r="LFF57" s="468"/>
      <c r="LFG57" s="468"/>
      <c r="LFH57" s="468"/>
      <c r="LFI57" s="468"/>
      <c r="LFJ57" s="468"/>
      <c r="LFK57" s="468"/>
      <c r="LFL57" s="468"/>
      <c r="LFM57" s="468"/>
      <c r="LFN57" s="468"/>
      <c r="LFO57" s="468"/>
      <c r="LFP57" s="468"/>
      <c r="LFQ57" s="468"/>
      <c r="LFR57" s="468"/>
      <c r="LFS57" s="468"/>
      <c r="LFT57" s="468"/>
      <c r="LFU57" s="468"/>
      <c r="LFV57" s="468"/>
      <c r="LFW57" s="468"/>
      <c r="LFX57" s="468"/>
      <c r="LFY57" s="468"/>
      <c r="LFZ57" s="468"/>
      <c r="LGA57" s="468"/>
      <c r="LGB57" s="468"/>
      <c r="LGC57" s="468"/>
      <c r="LGD57" s="468"/>
      <c r="LGE57" s="468"/>
      <c r="LGF57" s="468"/>
      <c r="LGG57" s="468"/>
      <c r="LGH57" s="468"/>
      <c r="LGI57" s="468"/>
      <c r="LGJ57" s="468"/>
      <c r="LGK57" s="468"/>
      <c r="LGL57" s="468"/>
      <c r="LGM57" s="468"/>
      <c r="LGN57" s="468"/>
      <c r="LGO57" s="468"/>
      <c r="LGP57" s="468"/>
      <c r="LGQ57" s="468"/>
      <c r="LGR57" s="468"/>
      <c r="LGS57" s="468"/>
      <c r="LGT57" s="468"/>
      <c r="LGU57" s="468"/>
      <c r="LGV57" s="468"/>
      <c r="LGW57" s="468"/>
      <c r="LGX57" s="468"/>
      <c r="LGY57" s="468"/>
      <c r="LGZ57" s="468"/>
      <c r="LHA57" s="468"/>
      <c r="LHB57" s="468"/>
      <c r="LHC57" s="468"/>
      <c r="LHD57" s="468"/>
      <c r="LHE57" s="468"/>
      <c r="LHF57" s="468"/>
      <c r="LHG57" s="468"/>
      <c r="LHH57" s="468"/>
      <c r="LHI57" s="468"/>
      <c r="LHJ57" s="468"/>
      <c r="LHK57" s="468"/>
      <c r="LHL57" s="468"/>
      <c r="LHM57" s="468"/>
      <c r="LHN57" s="468"/>
      <c r="LHO57" s="468"/>
      <c r="LHP57" s="468"/>
      <c r="LHQ57" s="468"/>
      <c r="LHR57" s="468"/>
      <c r="LHS57" s="468"/>
      <c r="LHT57" s="468"/>
      <c r="LHU57" s="468"/>
      <c r="LHV57" s="468"/>
      <c r="LHW57" s="468"/>
      <c r="LHX57" s="468"/>
      <c r="LHY57" s="468"/>
      <c r="LHZ57" s="468"/>
      <c r="LIA57" s="468"/>
      <c r="LIB57" s="468"/>
      <c r="LIC57" s="468"/>
      <c r="LID57" s="468"/>
      <c r="LIE57" s="468"/>
      <c r="LIF57" s="468"/>
      <c r="LIG57" s="468"/>
      <c r="LIH57" s="468"/>
      <c r="LII57" s="468"/>
      <c r="LIJ57" s="468"/>
      <c r="LIK57" s="468"/>
      <c r="LIL57" s="468"/>
      <c r="LIM57" s="468"/>
      <c r="LIN57" s="468"/>
      <c r="LIO57" s="468"/>
      <c r="LIP57" s="468"/>
      <c r="LIQ57" s="468"/>
      <c r="LIR57" s="468"/>
      <c r="LIS57" s="468"/>
      <c r="LIT57" s="468"/>
      <c r="LIU57" s="468"/>
      <c r="LIV57" s="468"/>
      <c r="LIW57" s="468"/>
      <c r="LIX57" s="468"/>
      <c r="LIY57" s="468"/>
      <c r="LIZ57" s="468"/>
      <c r="LJA57" s="468"/>
      <c r="LJB57" s="468"/>
      <c r="LJC57" s="468"/>
      <c r="LJD57" s="468"/>
      <c r="LJE57" s="468"/>
      <c r="LJF57" s="468"/>
      <c r="LJG57" s="468"/>
      <c r="LJH57" s="468"/>
      <c r="LJI57" s="468"/>
      <c r="LJJ57" s="468"/>
      <c r="LJK57" s="468"/>
      <c r="LJL57" s="468"/>
      <c r="LJM57" s="468"/>
      <c r="LJN57" s="468"/>
      <c r="LJO57" s="468"/>
      <c r="LJP57" s="468"/>
      <c r="LJQ57" s="468"/>
      <c r="LJR57" s="468"/>
      <c r="LJS57" s="468"/>
      <c r="LJT57" s="468"/>
      <c r="LJU57" s="468"/>
      <c r="LJV57" s="468"/>
      <c r="LJW57" s="468"/>
      <c r="LJX57" s="468"/>
      <c r="LJY57" s="468"/>
      <c r="LJZ57" s="468"/>
      <c r="LKA57" s="468"/>
      <c r="LKB57" s="468"/>
      <c r="LKC57" s="468"/>
      <c r="LKD57" s="468"/>
      <c r="LKE57" s="468"/>
      <c r="LKF57" s="468"/>
      <c r="LKG57" s="468"/>
      <c r="LKH57" s="468"/>
      <c r="LKI57" s="468"/>
      <c r="LKJ57" s="468"/>
      <c r="LKK57" s="468"/>
      <c r="LKL57" s="468"/>
      <c r="LKM57" s="468"/>
      <c r="LKN57" s="468"/>
      <c r="LKO57" s="468"/>
      <c r="LKP57" s="468"/>
      <c r="LKQ57" s="468"/>
      <c r="LKR57" s="468"/>
      <c r="LKS57" s="468"/>
      <c r="LKT57" s="468"/>
      <c r="LKU57" s="468"/>
      <c r="LKV57" s="468"/>
      <c r="LKW57" s="468"/>
      <c r="LKX57" s="468"/>
      <c r="LKY57" s="468"/>
      <c r="LKZ57" s="468"/>
      <c r="LLA57" s="468"/>
      <c r="LLB57" s="468"/>
      <c r="LLC57" s="468"/>
      <c r="LLD57" s="468"/>
      <c r="LLE57" s="468"/>
      <c r="LLF57" s="468"/>
      <c r="LLG57" s="468"/>
      <c r="LLH57" s="468"/>
      <c r="LLI57" s="468"/>
      <c r="LLJ57" s="468"/>
      <c r="LLK57" s="468"/>
      <c r="LLL57" s="468"/>
      <c r="LLM57" s="468"/>
      <c r="LLN57" s="468"/>
      <c r="LLO57" s="468"/>
      <c r="LLP57" s="468"/>
      <c r="LLQ57" s="468"/>
      <c r="LLR57" s="468"/>
      <c r="LLS57" s="468"/>
      <c r="LLT57" s="468"/>
      <c r="LLU57" s="468"/>
      <c r="LLV57" s="468"/>
      <c r="LLW57" s="468"/>
      <c r="LLX57" s="468"/>
      <c r="LLY57" s="468"/>
      <c r="LLZ57" s="468"/>
      <c r="LMA57" s="468"/>
      <c r="LMB57" s="468"/>
      <c r="LMC57" s="468"/>
      <c r="LMD57" s="468"/>
      <c r="LME57" s="468"/>
      <c r="LMF57" s="468"/>
      <c r="LMG57" s="468"/>
      <c r="LMH57" s="468"/>
      <c r="LMI57" s="468"/>
      <c r="LMJ57" s="468"/>
      <c r="LMK57" s="468"/>
      <c r="LML57" s="468"/>
      <c r="LMM57" s="468"/>
      <c r="LMN57" s="468"/>
      <c r="LMO57" s="468"/>
      <c r="LMP57" s="468"/>
      <c r="LMQ57" s="468"/>
      <c r="LMR57" s="468"/>
      <c r="LMS57" s="468"/>
      <c r="LMT57" s="468"/>
      <c r="LMU57" s="468"/>
      <c r="LMV57" s="468"/>
      <c r="LMW57" s="468"/>
      <c r="LMX57" s="468"/>
      <c r="LMY57" s="468"/>
      <c r="LMZ57" s="468"/>
      <c r="LNA57" s="468"/>
      <c r="LNB57" s="468"/>
      <c r="LNC57" s="468"/>
      <c r="LND57" s="468"/>
      <c r="LNE57" s="468"/>
      <c r="LNF57" s="468"/>
      <c r="LNG57" s="468"/>
      <c r="LNH57" s="468"/>
      <c r="LNI57" s="468"/>
      <c r="LNJ57" s="468"/>
      <c r="LNK57" s="468"/>
      <c r="LNL57" s="468"/>
      <c r="LNM57" s="468"/>
      <c r="LNN57" s="468"/>
      <c r="LNO57" s="468"/>
      <c r="LNP57" s="468"/>
      <c r="LNQ57" s="468"/>
      <c r="LNR57" s="468"/>
      <c r="LNS57" s="468"/>
      <c r="LNT57" s="468"/>
      <c r="LNU57" s="468"/>
      <c r="LNV57" s="468"/>
      <c r="LNW57" s="468"/>
      <c r="LNX57" s="468"/>
      <c r="LNY57" s="468"/>
      <c r="LNZ57" s="468"/>
      <c r="LOA57" s="468"/>
      <c r="LOB57" s="468"/>
      <c r="LOC57" s="468"/>
      <c r="LOD57" s="468"/>
      <c r="LOE57" s="468"/>
      <c r="LOF57" s="468"/>
      <c r="LOG57" s="468"/>
      <c r="LOH57" s="468"/>
      <c r="LOI57" s="468"/>
      <c r="LOJ57" s="468"/>
      <c r="LOK57" s="468"/>
      <c r="LOL57" s="468"/>
      <c r="LOM57" s="468"/>
      <c r="LON57" s="468"/>
      <c r="LOO57" s="468"/>
      <c r="LOP57" s="468"/>
      <c r="LOQ57" s="468"/>
      <c r="LOR57" s="468"/>
      <c r="LOS57" s="468"/>
      <c r="LOT57" s="468"/>
      <c r="LOU57" s="468"/>
      <c r="LOV57" s="468"/>
      <c r="LOW57" s="468"/>
      <c r="LOX57" s="468"/>
      <c r="LOY57" s="468"/>
      <c r="LOZ57" s="468"/>
      <c r="LPA57" s="468"/>
      <c r="LPB57" s="468"/>
      <c r="LPC57" s="468"/>
      <c r="LPD57" s="468"/>
      <c r="LPE57" s="468"/>
      <c r="LPF57" s="468"/>
      <c r="LPG57" s="468"/>
      <c r="LPH57" s="468"/>
      <c r="LPI57" s="468"/>
      <c r="LPJ57" s="468"/>
      <c r="LPK57" s="468"/>
      <c r="LPL57" s="468"/>
      <c r="LPM57" s="468"/>
      <c r="LPN57" s="468"/>
      <c r="LPO57" s="468"/>
      <c r="LPP57" s="468"/>
      <c r="LPQ57" s="468"/>
      <c r="LPR57" s="468"/>
      <c r="LPS57" s="468"/>
      <c r="LPT57" s="468"/>
      <c r="LPU57" s="468"/>
      <c r="LPV57" s="468"/>
      <c r="LPW57" s="468"/>
      <c r="LPX57" s="468"/>
      <c r="LPY57" s="468"/>
      <c r="LPZ57" s="468"/>
      <c r="LQA57" s="468"/>
      <c r="LQB57" s="468"/>
      <c r="LQC57" s="468"/>
      <c r="LQD57" s="468"/>
      <c r="LQE57" s="468"/>
      <c r="LQF57" s="468"/>
      <c r="LQG57" s="468"/>
      <c r="LQH57" s="468"/>
      <c r="LQI57" s="468"/>
      <c r="LQJ57" s="468"/>
      <c r="LQK57" s="468"/>
      <c r="LQL57" s="468"/>
      <c r="LQM57" s="468"/>
      <c r="LQN57" s="468"/>
      <c r="LQO57" s="468"/>
      <c r="LQP57" s="468"/>
      <c r="LQQ57" s="468"/>
      <c r="LQR57" s="468"/>
      <c r="LQS57" s="468"/>
      <c r="LQT57" s="468"/>
      <c r="LQU57" s="468"/>
      <c r="LQV57" s="468"/>
      <c r="LQW57" s="468"/>
      <c r="LQX57" s="468"/>
      <c r="LQY57" s="468"/>
      <c r="LQZ57" s="468"/>
      <c r="LRA57" s="468"/>
      <c r="LRB57" s="468"/>
      <c r="LRC57" s="468"/>
      <c r="LRD57" s="468"/>
      <c r="LRE57" s="468"/>
      <c r="LRF57" s="468"/>
      <c r="LRG57" s="468"/>
      <c r="LRH57" s="468"/>
      <c r="LRI57" s="468"/>
      <c r="LRJ57" s="468"/>
      <c r="LRK57" s="468"/>
      <c r="LRL57" s="468"/>
      <c r="LRM57" s="468"/>
      <c r="LRN57" s="468"/>
      <c r="LRO57" s="468"/>
      <c r="LRP57" s="468"/>
      <c r="LRQ57" s="468"/>
      <c r="LRR57" s="468"/>
      <c r="LRS57" s="468"/>
      <c r="LRT57" s="468"/>
      <c r="LRU57" s="468"/>
      <c r="LRV57" s="468"/>
      <c r="LRW57" s="468"/>
      <c r="LRX57" s="468"/>
      <c r="LRY57" s="468"/>
      <c r="LRZ57" s="468"/>
      <c r="LSA57" s="468"/>
      <c r="LSB57" s="468"/>
      <c r="LSC57" s="468"/>
      <c r="LSD57" s="468"/>
      <c r="LSE57" s="468"/>
      <c r="LSF57" s="468"/>
      <c r="LSG57" s="468"/>
      <c r="LSH57" s="468"/>
      <c r="LSI57" s="468"/>
      <c r="LSJ57" s="468"/>
      <c r="LSK57" s="468"/>
      <c r="LSL57" s="468"/>
      <c r="LSM57" s="468"/>
      <c r="LSN57" s="468"/>
      <c r="LSO57" s="468"/>
      <c r="LSP57" s="468"/>
      <c r="LSQ57" s="468"/>
      <c r="LSR57" s="468"/>
      <c r="LSS57" s="468"/>
      <c r="LST57" s="468"/>
      <c r="LSU57" s="468"/>
      <c r="LSV57" s="468"/>
      <c r="LSW57" s="468"/>
      <c r="LSX57" s="468"/>
      <c r="LSY57" s="468"/>
      <c r="LSZ57" s="468"/>
      <c r="LTA57" s="468"/>
      <c r="LTB57" s="468"/>
      <c r="LTC57" s="468"/>
      <c r="LTD57" s="468"/>
      <c r="LTE57" s="468"/>
      <c r="LTF57" s="468"/>
      <c r="LTG57" s="468"/>
      <c r="LTH57" s="468"/>
      <c r="LTI57" s="468"/>
      <c r="LTJ57" s="468"/>
      <c r="LTK57" s="468"/>
      <c r="LTL57" s="468"/>
      <c r="LTM57" s="468"/>
      <c r="LTN57" s="468"/>
      <c r="LTO57" s="468"/>
      <c r="LTP57" s="468"/>
      <c r="LTQ57" s="468"/>
      <c r="LTR57" s="468"/>
      <c r="LTS57" s="468"/>
      <c r="LTT57" s="468"/>
      <c r="LTU57" s="468"/>
      <c r="LTV57" s="468"/>
      <c r="LTW57" s="468"/>
      <c r="LTX57" s="468"/>
      <c r="LTY57" s="468"/>
      <c r="LTZ57" s="468"/>
      <c r="LUA57" s="468"/>
      <c r="LUB57" s="468"/>
      <c r="LUC57" s="468"/>
      <c r="LUD57" s="468"/>
      <c r="LUE57" s="468"/>
      <c r="LUF57" s="468"/>
      <c r="LUG57" s="468"/>
      <c r="LUH57" s="468"/>
      <c r="LUI57" s="468"/>
      <c r="LUJ57" s="468"/>
      <c r="LUK57" s="468"/>
      <c r="LUL57" s="468"/>
      <c r="LUM57" s="468"/>
      <c r="LUN57" s="468"/>
      <c r="LUO57" s="468"/>
      <c r="LUP57" s="468"/>
      <c r="LUQ57" s="468"/>
      <c r="LUR57" s="468"/>
      <c r="LUS57" s="468"/>
      <c r="LUT57" s="468"/>
      <c r="LUU57" s="468"/>
      <c r="LUV57" s="468"/>
      <c r="LUW57" s="468"/>
      <c r="LUX57" s="468"/>
      <c r="LUY57" s="468"/>
      <c r="LUZ57" s="468"/>
      <c r="LVA57" s="468"/>
      <c r="LVB57" s="468"/>
      <c r="LVC57" s="468"/>
      <c r="LVD57" s="468"/>
      <c r="LVE57" s="468"/>
      <c r="LVF57" s="468"/>
      <c r="LVG57" s="468"/>
      <c r="LVH57" s="468"/>
      <c r="LVI57" s="468"/>
      <c r="LVJ57" s="468"/>
      <c r="LVK57" s="468"/>
      <c r="LVL57" s="468"/>
      <c r="LVM57" s="468"/>
      <c r="LVN57" s="468"/>
      <c r="LVO57" s="468"/>
      <c r="LVP57" s="468"/>
      <c r="LVQ57" s="468"/>
      <c r="LVR57" s="468"/>
      <c r="LVS57" s="468"/>
      <c r="LVT57" s="468"/>
      <c r="LVU57" s="468"/>
      <c r="LVV57" s="468"/>
      <c r="LVW57" s="468"/>
      <c r="LVX57" s="468"/>
      <c r="LVY57" s="468"/>
      <c r="LVZ57" s="468"/>
      <c r="LWA57" s="468"/>
      <c r="LWB57" s="468"/>
      <c r="LWC57" s="468"/>
      <c r="LWD57" s="468"/>
      <c r="LWE57" s="468"/>
      <c r="LWF57" s="468"/>
      <c r="LWG57" s="468"/>
      <c r="LWH57" s="468"/>
      <c r="LWI57" s="468"/>
      <c r="LWJ57" s="468"/>
      <c r="LWK57" s="468"/>
      <c r="LWL57" s="468"/>
      <c r="LWM57" s="468"/>
      <c r="LWN57" s="468"/>
      <c r="LWO57" s="468"/>
      <c r="LWP57" s="468"/>
      <c r="LWQ57" s="468"/>
      <c r="LWR57" s="468"/>
      <c r="LWS57" s="468"/>
      <c r="LWT57" s="468"/>
      <c r="LWU57" s="468"/>
      <c r="LWV57" s="468"/>
      <c r="LWW57" s="468"/>
      <c r="LWX57" s="468"/>
      <c r="LWY57" s="468"/>
      <c r="LWZ57" s="468"/>
      <c r="LXA57" s="468"/>
      <c r="LXB57" s="468"/>
      <c r="LXC57" s="468"/>
      <c r="LXD57" s="468"/>
      <c r="LXE57" s="468"/>
      <c r="LXF57" s="468"/>
      <c r="LXG57" s="468"/>
      <c r="LXH57" s="468"/>
      <c r="LXI57" s="468"/>
      <c r="LXJ57" s="468"/>
      <c r="LXK57" s="468"/>
      <c r="LXL57" s="468"/>
      <c r="LXM57" s="468"/>
      <c r="LXN57" s="468"/>
      <c r="LXO57" s="468"/>
      <c r="LXP57" s="468"/>
      <c r="LXQ57" s="468"/>
      <c r="LXR57" s="468"/>
      <c r="LXS57" s="468"/>
      <c r="LXT57" s="468"/>
      <c r="LXU57" s="468"/>
      <c r="LXV57" s="468"/>
      <c r="LXW57" s="468"/>
      <c r="LXX57" s="468"/>
      <c r="LXY57" s="468"/>
      <c r="LXZ57" s="468"/>
      <c r="LYA57" s="468"/>
      <c r="LYB57" s="468"/>
      <c r="LYC57" s="468"/>
      <c r="LYD57" s="468"/>
      <c r="LYE57" s="468"/>
      <c r="LYF57" s="468"/>
      <c r="LYG57" s="468"/>
      <c r="LYH57" s="468"/>
      <c r="LYI57" s="468"/>
      <c r="LYJ57" s="468"/>
      <c r="LYK57" s="468"/>
      <c r="LYL57" s="468"/>
      <c r="LYM57" s="468"/>
      <c r="LYN57" s="468"/>
      <c r="LYO57" s="468"/>
      <c r="LYP57" s="468"/>
      <c r="LYQ57" s="468"/>
      <c r="LYR57" s="468"/>
      <c r="LYS57" s="468"/>
      <c r="LYT57" s="468"/>
      <c r="LYU57" s="468"/>
      <c r="LYV57" s="468"/>
      <c r="LYW57" s="468"/>
      <c r="LYX57" s="468"/>
      <c r="LYY57" s="468"/>
      <c r="LYZ57" s="468"/>
      <c r="LZA57" s="468"/>
      <c r="LZB57" s="468"/>
      <c r="LZC57" s="468"/>
      <c r="LZD57" s="468"/>
      <c r="LZE57" s="468"/>
      <c r="LZF57" s="468"/>
      <c r="LZG57" s="468"/>
      <c r="LZH57" s="468"/>
      <c r="LZI57" s="468"/>
      <c r="LZJ57" s="468"/>
      <c r="LZK57" s="468"/>
      <c r="LZL57" s="468"/>
      <c r="LZM57" s="468"/>
      <c r="LZN57" s="468"/>
      <c r="LZO57" s="468"/>
      <c r="LZP57" s="468"/>
      <c r="LZQ57" s="468"/>
      <c r="LZR57" s="468"/>
      <c r="LZS57" s="468"/>
      <c r="LZT57" s="468"/>
      <c r="LZU57" s="468"/>
      <c r="LZV57" s="468"/>
      <c r="LZW57" s="468"/>
      <c r="LZX57" s="468"/>
      <c r="LZY57" s="468"/>
      <c r="LZZ57" s="468"/>
      <c r="MAA57" s="468"/>
      <c r="MAB57" s="468"/>
      <c r="MAC57" s="468"/>
      <c r="MAD57" s="468"/>
      <c r="MAE57" s="468"/>
      <c r="MAF57" s="468"/>
      <c r="MAG57" s="468"/>
      <c r="MAH57" s="468"/>
      <c r="MAI57" s="468"/>
      <c r="MAJ57" s="468"/>
      <c r="MAK57" s="468"/>
      <c r="MAL57" s="468"/>
      <c r="MAM57" s="468"/>
      <c r="MAN57" s="468"/>
      <c r="MAO57" s="468"/>
      <c r="MAP57" s="468"/>
      <c r="MAQ57" s="468"/>
      <c r="MAR57" s="468"/>
      <c r="MAS57" s="468"/>
      <c r="MAT57" s="468"/>
      <c r="MAU57" s="468"/>
      <c r="MAV57" s="468"/>
      <c r="MAW57" s="468"/>
      <c r="MAX57" s="468"/>
      <c r="MAY57" s="468"/>
      <c r="MAZ57" s="468"/>
      <c r="MBA57" s="468"/>
      <c r="MBB57" s="468"/>
      <c r="MBC57" s="468"/>
      <c r="MBD57" s="468"/>
      <c r="MBE57" s="468"/>
      <c r="MBF57" s="468"/>
      <c r="MBG57" s="468"/>
      <c r="MBH57" s="468"/>
      <c r="MBI57" s="468"/>
      <c r="MBJ57" s="468"/>
      <c r="MBK57" s="468"/>
      <c r="MBL57" s="468"/>
      <c r="MBM57" s="468"/>
      <c r="MBN57" s="468"/>
      <c r="MBO57" s="468"/>
      <c r="MBP57" s="468"/>
      <c r="MBQ57" s="468"/>
      <c r="MBR57" s="468"/>
      <c r="MBS57" s="468"/>
      <c r="MBT57" s="468"/>
      <c r="MBU57" s="468"/>
      <c r="MBV57" s="468"/>
      <c r="MBW57" s="468"/>
      <c r="MBX57" s="468"/>
      <c r="MBY57" s="468"/>
      <c r="MBZ57" s="468"/>
      <c r="MCA57" s="468"/>
      <c r="MCB57" s="468"/>
      <c r="MCC57" s="468"/>
      <c r="MCD57" s="468"/>
      <c r="MCE57" s="468"/>
      <c r="MCF57" s="468"/>
      <c r="MCG57" s="468"/>
      <c r="MCH57" s="468"/>
      <c r="MCI57" s="468"/>
      <c r="MCJ57" s="468"/>
      <c r="MCK57" s="468"/>
      <c r="MCL57" s="468"/>
      <c r="MCM57" s="468"/>
      <c r="MCN57" s="468"/>
      <c r="MCO57" s="468"/>
      <c r="MCP57" s="468"/>
      <c r="MCQ57" s="468"/>
      <c r="MCR57" s="468"/>
      <c r="MCS57" s="468"/>
      <c r="MCT57" s="468"/>
      <c r="MCU57" s="468"/>
      <c r="MCV57" s="468"/>
      <c r="MCW57" s="468"/>
      <c r="MCX57" s="468"/>
      <c r="MCY57" s="468"/>
      <c r="MCZ57" s="468"/>
      <c r="MDA57" s="468"/>
      <c r="MDB57" s="468"/>
      <c r="MDC57" s="468"/>
      <c r="MDD57" s="468"/>
      <c r="MDE57" s="468"/>
      <c r="MDF57" s="468"/>
      <c r="MDG57" s="468"/>
      <c r="MDH57" s="468"/>
      <c r="MDI57" s="468"/>
      <c r="MDJ57" s="468"/>
      <c r="MDK57" s="468"/>
      <c r="MDL57" s="468"/>
      <c r="MDM57" s="468"/>
      <c r="MDN57" s="468"/>
      <c r="MDO57" s="468"/>
      <c r="MDP57" s="468"/>
      <c r="MDQ57" s="468"/>
      <c r="MDR57" s="468"/>
      <c r="MDS57" s="468"/>
      <c r="MDT57" s="468"/>
      <c r="MDU57" s="468"/>
      <c r="MDV57" s="468"/>
      <c r="MDW57" s="468"/>
      <c r="MDX57" s="468"/>
      <c r="MDY57" s="468"/>
      <c r="MDZ57" s="468"/>
      <c r="MEA57" s="468"/>
      <c r="MEB57" s="468"/>
      <c r="MEC57" s="468"/>
      <c r="MED57" s="468"/>
      <c r="MEE57" s="468"/>
      <c r="MEF57" s="468"/>
      <c r="MEG57" s="468"/>
      <c r="MEH57" s="468"/>
      <c r="MEI57" s="468"/>
      <c r="MEJ57" s="468"/>
      <c r="MEK57" s="468"/>
      <c r="MEL57" s="468"/>
      <c r="MEM57" s="468"/>
      <c r="MEN57" s="468"/>
      <c r="MEO57" s="468"/>
      <c r="MEP57" s="468"/>
      <c r="MEQ57" s="468"/>
      <c r="MER57" s="468"/>
      <c r="MES57" s="468"/>
      <c r="MET57" s="468"/>
      <c r="MEU57" s="468"/>
      <c r="MEV57" s="468"/>
      <c r="MEW57" s="468"/>
      <c r="MEX57" s="468"/>
      <c r="MEY57" s="468"/>
      <c r="MEZ57" s="468"/>
      <c r="MFA57" s="468"/>
      <c r="MFB57" s="468"/>
      <c r="MFC57" s="468"/>
      <c r="MFD57" s="468"/>
      <c r="MFE57" s="468"/>
      <c r="MFF57" s="468"/>
      <c r="MFG57" s="468"/>
      <c r="MFH57" s="468"/>
      <c r="MFI57" s="468"/>
      <c r="MFJ57" s="468"/>
      <c r="MFK57" s="468"/>
      <c r="MFL57" s="468"/>
      <c r="MFM57" s="468"/>
      <c r="MFN57" s="468"/>
      <c r="MFO57" s="468"/>
      <c r="MFP57" s="468"/>
      <c r="MFQ57" s="468"/>
      <c r="MFR57" s="468"/>
      <c r="MFS57" s="468"/>
      <c r="MFT57" s="468"/>
      <c r="MFU57" s="468"/>
      <c r="MFV57" s="468"/>
      <c r="MFW57" s="468"/>
      <c r="MFX57" s="468"/>
      <c r="MFY57" s="468"/>
      <c r="MFZ57" s="468"/>
      <c r="MGA57" s="468"/>
      <c r="MGB57" s="468"/>
      <c r="MGC57" s="468"/>
      <c r="MGD57" s="468"/>
      <c r="MGE57" s="468"/>
      <c r="MGF57" s="468"/>
      <c r="MGG57" s="468"/>
      <c r="MGH57" s="468"/>
      <c r="MGI57" s="468"/>
      <c r="MGJ57" s="468"/>
      <c r="MGK57" s="468"/>
      <c r="MGL57" s="468"/>
      <c r="MGM57" s="468"/>
      <c r="MGN57" s="468"/>
      <c r="MGO57" s="468"/>
      <c r="MGP57" s="468"/>
      <c r="MGQ57" s="468"/>
      <c r="MGR57" s="468"/>
      <c r="MGS57" s="468"/>
      <c r="MGT57" s="468"/>
      <c r="MGU57" s="468"/>
      <c r="MGV57" s="468"/>
      <c r="MGW57" s="468"/>
      <c r="MGX57" s="468"/>
      <c r="MGY57" s="468"/>
      <c r="MGZ57" s="468"/>
      <c r="MHA57" s="468"/>
      <c r="MHB57" s="468"/>
      <c r="MHC57" s="468"/>
      <c r="MHD57" s="468"/>
      <c r="MHE57" s="468"/>
      <c r="MHF57" s="468"/>
      <c r="MHG57" s="468"/>
      <c r="MHH57" s="468"/>
      <c r="MHI57" s="468"/>
      <c r="MHJ57" s="468"/>
      <c r="MHK57" s="468"/>
      <c r="MHL57" s="468"/>
      <c r="MHM57" s="468"/>
      <c r="MHN57" s="468"/>
      <c r="MHO57" s="468"/>
      <c r="MHP57" s="468"/>
      <c r="MHQ57" s="468"/>
      <c r="MHR57" s="468"/>
      <c r="MHS57" s="468"/>
      <c r="MHT57" s="468"/>
      <c r="MHU57" s="468"/>
      <c r="MHV57" s="468"/>
      <c r="MHW57" s="468"/>
      <c r="MHX57" s="468"/>
      <c r="MHY57" s="468"/>
      <c r="MHZ57" s="468"/>
      <c r="MIA57" s="468"/>
      <c r="MIB57" s="468"/>
      <c r="MIC57" s="468"/>
      <c r="MID57" s="468"/>
      <c r="MIE57" s="468"/>
      <c r="MIF57" s="468"/>
      <c r="MIG57" s="468"/>
      <c r="MIH57" s="468"/>
      <c r="MII57" s="468"/>
      <c r="MIJ57" s="468"/>
      <c r="MIK57" s="468"/>
      <c r="MIL57" s="468"/>
      <c r="MIM57" s="468"/>
      <c r="MIN57" s="468"/>
      <c r="MIO57" s="468"/>
      <c r="MIP57" s="468"/>
      <c r="MIQ57" s="468"/>
      <c r="MIR57" s="468"/>
      <c r="MIS57" s="468"/>
      <c r="MIT57" s="468"/>
      <c r="MIU57" s="468"/>
      <c r="MIV57" s="468"/>
      <c r="MIW57" s="468"/>
      <c r="MIX57" s="468"/>
      <c r="MIY57" s="468"/>
      <c r="MIZ57" s="468"/>
      <c r="MJA57" s="468"/>
      <c r="MJB57" s="468"/>
      <c r="MJC57" s="468"/>
      <c r="MJD57" s="468"/>
      <c r="MJE57" s="468"/>
      <c r="MJF57" s="468"/>
      <c r="MJG57" s="468"/>
      <c r="MJH57" s="468"/>
      <c r="MJI57" s="468"/>
      <c r="MJJ57" s="468"/>
      <c r="MJK57" s="468"/>
      <c r="MJL57" s="468"/>
      <c r="MJM57" s="468"/>
      <c r="MJN57" s="468"/>
      <c r="MJO57" s="468"/>
      <c r="MJP57" s="468"/>
      <c r="MJQ57" s="468"/>
      <c r="MJR57" s="468"/>
      <c r="MJS57" s="468"/>
      <c r="MJT57" s="468"/>
      <c r="MJU57" s="468"/>
      <c r="MJV57" s="468"/>
      <c r="MJW57" s="468"/>
      <c r="MJX57" s="468"/>
      <c r="MJY57" s="468"/>
      <c r="MJZ57" s="468"/>
      <c r="MKA57" s="468"/>
      <c r="MKB57" s="468"/>
      <c r="MKC57" s="468"/>
      <c r="MKD57" s="468"/>
      <c r="MKE57" s="468"/>
      <c r="MKF57" s="468"/>
      <c r="MKG57" s="468"/>
      <c r="MKH57" s="468"/>
      <c r="MKI57" s="468"/>
      <c r="MKJ57" s="468"/>
      <c r="MKK57" s="468"/>
      <c r="MKL57" s="468"/>
      <c r="MKM57" s="468"/>
      <c r="MKN57" s="468"/>
      <c r="MKO57" s="468"/>
      <c r="MKP57" s="468"/>
      <c r="MKQ57" s="468"/>
      <c r="MKR57" s="468"/>
      <c r="MKS57" s="468"/>
      <c r="MKT57" s="468"/>
      <c r="MKU57" s="468"/>
      <c r="MKV57" s="468"/>
      <c r="MKW57" s="468"/>
      <c r="MKX57" s="468"/>
      <c r="MKY57" s="468"/>
      <c r="MKZ57" s="468"/>
      <c r="MLA57" s="468"/>
      <c r="MLB57" s="468"/>
      <c r="MLC57" s="468"/>
      <c r="MLD57" s="468"/>
      <c r="MLE57" s="468"/>
      <c r="MLF57" s="468"/>
      <c r="MLG57" s="468"/>
      <c r="MLH57" s="468"/>
      <c r="MLI57" s="468"/>
      <c r="MLJ57" s="468"/>
      <c r="MLK57" s="468"/>
      <c r="MLL57" s="468"/>
      <c r="MLM57" s="468"/>
      <c r="MLN57" s="468"/>
      <c r="MLO57" s="468"/>
      <c r="MLP57" s="468"/>
      <c r="MLQ57" s="468"/>
      <c r="MLR57" s="468"/>
      <c r="MLS57" s="468"/>
      <c r="MLT57" s="468"/>
      <c r="MLU57" s="468"/>
      <c r="MLV57" s="468"/>
      <c r="MLW57" s="468"/>
      <c r="MLX57" s="468"/>
      <c r="MLY57" s="468"/>
      <c r="MLZ57" s="468"/>
      <c r="MMA57" s="468"/>
      <c r="MMB57" s="468"/>
      <c r="MMC57" s="468"/>
      <c r="MMD57" s="468"/>
      <c r="MME57" s="468"/>
      <c r="MMF57" s="468"/>
      <c r="MMG57" s="468"/>
      <c r="MMH57" s="468"/>
      <c r="MMI57" s="468"/>
      <c r="MMJ57" s="468"/>
      <c r="MMK57" s="468"/>
      <c r="MML57" s="468"/>
      <c r="MMM57" s="468"/>
      <c r="MMN57" s="468"/>
      <c r="MMO57" s="468"/>
      <c r="MMP57" s="468"/>
      <c r="MMQ57" s="468"/>
      <c r="MMR57" s="468"/>
      <c r="MMS57" s="468"/>
      <c r="MMT57" s="468"/>
      <c r="MMU57" s="468"/>
      <c r="MMV57" s="468"/>
      <c r="MMW57" s="468"/>
      <c r="MMX57" s="468"/>
      <c r="MMY57" s="468"/>
      <c r="MMZ57" s="468"/>
      <c r="MNA57" s="468"/>
      <c r="MNB57" s="468"/>
      <c r="MNC57" s="468"/>
      <c r="MND57" s="468"/>
      <c r="MNE57" s="468"/>
      <c r="MNF57" s="468"/>
      <c r="MNG57" s="468"/>
      <c r="MNH57" s="468"/>
      <c r="MNI57" s="468"/>
      <c r="MNJ57" s="468"/>
      <c r="MNK57" s="468"/>
      <c r="MNL57" s="468"/>
      <c r="MNM57" s="468"/>
      <c r="MNN57" s="468"/>
      <c r="MNO57" s="468"/>
      <c r="MNP57" s="468"/>
      <c r="MNQ57" s="468"/>
      <c r="MNR57" s="468"/>
      <c r="MNS57" s="468"/>
      <c r="MNT57" s="468"/>
      <c r="MNU57" s="468"/>
      <c r="MNV57" s="468"/>
      <c r="MNW57" s="468"/>
      <c r="MNX57" s="468"/>
      <c r="MNY57" s="468"/>
      <c r="MNZ57" s="468"/>
      <c r="MOA57" s="468"/>
      <c r="MOB57" s="468"/>
      <c r="MOC57" s="468"/>
      <c r="MOD57" s="468"/>
      <c r="MOE57" s="468"/>
      <c r="MOF57" s="468"/>
      <c r="MOG57" s="468"/>
      <c r="MOH57" s="468"/>
      <c r="MOI57" s="468"/>
      <c r="MOJ57" s="468"/>
      <c r="MOK57" s="468"/>
      <c r="MOL57" s="468"/>
      <c r="MOM57" s="468"/>
      <c r="MON57" s="468"/>
      <c r="MOO57" s="468"/>
      <c r="MOP57" s="468"/>
      <c r="MOQ57" s="468"/>
      <c r="MOR57" s="468"/>
      <c r="MOS57" s="468"/>
      <c r="MOT57" s="468"/>
      <c r="MOU57" s="468"/>
      <c r="MOV57" s="468"/>
      <c r="MOW57" s="468"/>
      <c r="MOX57" s="468"/>
      <c r="MOY57" s="468"/>
      <c r="MOZ57" s="468"/>
      <c r="MPA57" s="468"/>
      <c r="MPB57" s="468"/>
      <c r="MPC57" s="468"/>
      <c r="MPD57" s="468"/>
      <c r="MPE57" s="468"/>
      <c r="MPF57" s="468"/>
      <c r="MPG57" s="468"/>
      <c r="MPH57" s="468"/>
      <c r="MPI57" s="468"/>
      <c r="MPJ57" s="468"/>
      <c r="MPK57" s="468"/>
      <c r="MPL57" s="468"/>
      <c r="MPM57" s="468"/>
      <c r="MPN57" s="468"/>
      <c r="MPO57" s="468"/>
      <c r="MPP57" s="468"/>
      <c r="MPQ57" s="468"/>
      <c r="MPR57" s="468"/>
      <c r="MPS57" s="468"/>
      <c r="MPT57" s="468"/>
      <c r="MPU57" s="468"/>
      <c r="MPV57" s="468"/>
      <c r="MPW57" s="468"/>
      <c r="MPX57" s="468"/>
      <c r="MPY57" s="468"/>
      <c r="MPZ57" s="468"/>
      <c r="MQA57" s="468"/>
      <c r="MQB57" s="468"/>
      <c r="MQC57" s="468"/>
      <c r="MQD57" s="468"/>
      <c r="MQE57" s="468"/>
      <c r="MQF57" s="468"/>
      <c r="MQG57" s="468"/>
      <c r="MQH57" s="468"/>
      <c r="MQI57" s="468"/>
      <c r="MQJ57" s="468"/>
      <c r="MQK57" s="468"/>
      <c r="MQL57" s="468"/>
      <c r="MQM57" s="468"/>
      <c r="MQN57" s="468"/>
      <c r="MQO57" s="468"/>
      <c r="MQP57" s="468"/>
      <c r="MQQ57" s="468"/>
      <c r="MQR57" s="468"/>
      <c r="MQS57" s="468"/>
      <c r="MQT57" s="468"/>
      <c r="MQU57" s="468"/>
      <c r="MQV57" s="468"/>
      <c r="MQW57" s="468"/>
      <c r="MQX57" s="468"/>
      <c r="MQY57" s="468"/>
      <c r="MQZ57" s="468"/>
      <c r="MRA57" s="468"/>
      <c r="MRB57" s="468"/>
      <c r="MRC57" s="468"/>
      <c r="MRD57" s="468"/>
      <c r="MRE57" s="468"/>
      <c r="MRF57" s="468"/>
      <c r="MRG57" s="468"/>
      <c r="MRH57" s="468"/>
      <c r="MRI57" s="468"/>
      <c r="MRJ57" s="468"/>
      <c r="MRK57" s="468"/>
      <c r="MRL57" s="468"/>
      <c r="MRM57" s="468"/>
      <c r="MRN57" s="468"/>
      <c r="MRO57" s="468"/>
      <c r="MRP57" s="468"/>
      <c r="MRQ57" s="468"/>
      <c r="MRR57" s="468"/>
      <c r="MRS57" s="468"/>
      <c r="MRT57" s="468"/>
      <c r="MRU57" s="468"/>
      <c r="MRV57" s="468"/>
      <c r="MRW57" s="468"/>
      <c r="MRX57" s="468"/>
      <c r="MRY57" s="468"/>
      <c r="MRZ57" s="468"/>
      <c r="MSA57" s="468"/>
      <c r="MSB57" s="468"/>
      <c r="MSC57" s="468"/>
      <c r="MSD57" s="468"/>
      <c r="MSE57" s="468"/>
      <c r="MSF57" s="468"/>
      <c r="MSG57" s="468"/>
      <c r="MSH57" s="468"/>
      <c r="MSI57" s="468"/>
      <c r="MSJ57" s="468"/>
      <c r="MSK57" s="468"/>
      <c r="MSL57" s="468"/>
      <c r="MSM57" s="468"/>
      <c r="MSN57" s="468"/>
      <c r="MSO57" s="468"/>
      <c r="MSP57" s="468"/>
      <c r="MSQ57" s="468"/>
      <c r="MSR57" s="468"/>
      <c r="MSS57" s="468"/>
      <c r="MST57" s="468"/>
      <c r="MSU57" s="468"/>
      <c r="MSV57" s="468"/>
      <c r="MSW57" s="468"/>
      <c r="MSX57" s="468"/>
      <c r="MSY57" s="468"/>
      <c r="MSZ57" s="468"/>
      <c r="MTA57" s="468"/>
      <c r="MTB57" s="468"/>
      <c r="MTC57" s="468"/>
      <c r="MTD57" s="468"/>
      <c r="MTE57" s="468"/>
      <c r="MTF57" s="468"/>
      <c r="MTG57" s="468"/>
      <c r="MTH57" s="468"/>
      <c r="MTI57" s="468"/>
      <c r="MTJ57" s="468"/>
      <c r="MTK57" s="468"/>
      <c r="MTL57" s="468"/>
      <c r="MTM57" s="468"/>
      <c r="MTN57" s="468"/>
      <c r="MTO57" s="468"/>
      <c r="MTP57" s="468"/>
      <c r="MTQ57" s="468"/>
      <c r="MTR57" s="468"/>
      <c r="MTS57" s="468"/>
      <c r="MTT57" s="468"/>
      <c r="MTU57" s="468"/>
      <c r="MTV57" s="468"/>
      <c r="MTW57" s="468"/>
      <c r="MTX57" s="468"/>
      <c r="MTY57" s="468"/>
      <c r="MTZ57" s="468"/>
      <c r="MUA57" s="468"/>
      <c r="MUB57" s="468"/>
      <c r="MUC57" s="468"/>
      <c r="MUD57" s="468"/>
      <c r="MUE57" s="468"/>
      <c r="MUF57" s="468"/>
      <c r="MUG57" s="468"/>
      <c r="MUH57" s="468"/>
      <c r="MUI57" s="468"/>
      <c r="MUJ57" s="468"/>
      <c r="MUK57" s="468"/>
      <c r="MUL57" s="468"/>
      <c r="MUM57" s="468"/>
      <c r="MUN57" s="468"/>
      <c r="MUO57" s="468"/>
      <c r="MUP57" s="468"/>
      <c r="MUQ57" s="468"/>
      <c r="MUR57" s="468"/>
      <c r="MUS57" s="468"/>
      <c r="MUT57" s="468"/>
      <c r="MUU57" s="468"/>
      <c r="MUV57" s="468"/>
      <c r="MUW57" s="468"/>
      <c r="MUX57" s="468"/>
      <c r="MUY57" s="468"/>
      <c r="MUZ57" s="468"/>
      <c r="MVA57" s="468"/>
      <c r="MVB57" s="468"/>
      <c r="MVC57" s="468"/>
      <c r="MVD57" s="468"/>
      <c r="MVE57" s="468"/>
      <c r="MVF57" s="468"/>
      <c r="MVG57" s="468"/>
      <c r="MVH57" s="468"/>
      <c r="MVI57" s="468"/>
      <c r="MVJ57" s="468"/>
      <c r="MVK57" s="468"/>
      <c r="MVL57" s="468"/>
      <c r="MVM57" s="468"/>
      <c r="MVN57" s="468"/>
      <c r="MVO57" s="468"/>
      <c r="MVP57" s="468"/>
      <c r="MVQ57" s="468"/>
      <c r="MVR57" s="468"/>
      <c r="MVS57" s="468"/>
      <c r="MVT57" s="468"/>
      <c r="MVU57" s="468"/>
      <c r="MVV57" s="468"/>
      <c r="MVW57" s="468"/>
      <c r="MVX57" s="468"/>
      <c r="MVY57" s="468"/>
      <c r="MVZ57" s="468"/>
      <c r="MWA57" s="468"/>
      <c r="MWB57" s="468"/>
      <c r="MWC57" s="468"/>
      <c r="MWD57" s="468"/>
      <c r="MWE57" s="468"/>
      <c r="MWF57" s="468"/>
      <c r="MWG57" s="468"/>
      <c r="MWH57" s="468"/>
      <c r="MWI57" s="468"/>
      <c r="MWJ57" s="468"/>
      <c r="MWK57" s="468"/>
      <c r="MWL57" s="468"/>
      <c r="MWM57" s="468"/>
      <c r="MWN57" s="468"/>
      <c r="MWO57" s="468"/>
      <c r="MWP57" s="468"/>
      <c r="MWQ57" s="468"/>
      <c r="MWR57" s="468"/>
      <c r="MWS57" s="468"/>
      <c r="MWT57" s="468"/>
      <c r="MWU57" s="468"/>
      <c r="MWV57" s="468"/>
      <c r="MWW57" s="468"/>
      <c r="MWX57" s="468"/>
      <c r="MWY57" s="468"/>
      <c r="MWZ57" s="468"/>
      <c r="MXA57" s="468"/>
      <c r="MXB57" s="468"/>
      <c r="MXC57" s="468"/>
      <c r="MXD57" s="468"/>
      <c r="MXE57" s="468"/>
      <c r="MXF57" s="468"/>
      <c r="MXG57" s="468"/>
      <c r="MXH57" s="468"/>
      <c r="MXI57" s="468"/>
      <c r="MXJ57" s="468"/>
      <c r="MXK57" s="468"/>
      <c r="MXL57" s="468"/>
      <c r="MXM57" s="468"/>
      <c r="MXN57" s="468"/>
      <c r="MXO57" s="468"/>
      <c r="MXP57" s="468"/>
      <c r="MXQ57" s="468"/>
      <c r="MXR57" s="468"/>
      <c r="MXS57" s="468"/>
      <c r="MXT57" s="468"/>
      <c r="MXU57" s="468"/>
      <c r="MXV57" s="468"/>
      <c r="MXW57" s="468"/>
      <c r="MXX57" s="468"/>
      <c r="MXY57" s="468"/>
      <c r="MXZ57" s="468"/>
      <c r="MYA57" s="468"/>
      <c r="MYB57" s="468"/>
      <c r="MYC57" s="468"/>
      <c r="MYD57" s="468"/>
      <c r="MYE57" s="468"/>
      <c r="MYF57" s="468"/>
      <c r="MYG57" s="468"/>
      <c r="MYH57" s="468"/>
      <c r="MYI57" s="468"/>
      <c r="MYJ57" s="468"/>
      <c r="MYK57" s="468"/>
      <c r="MYL57" s="468"/>
      <c r="MYM57" s="468"/>
      <c r="MYN57" s="468"/>
      <c r="MYO57" s="468"/>
      <c r="MYP57" s="468"/>
      <c r="MYQ57" s="468"/>
      <c r="MYR57" s="468"/>
      <c r="MYS57" s="468"/>
      <c r="MYT57" s="468"/>
      <c r="MYU57" s="468"/>
      <c r="MYV57" s="468"/>
      <c r="MYW57" s="468"/>
      <c r="MYX57" s="468"/>
      <c r="MYY57" s="468"/>
      <c r="MYZ57" s="468"/>
      <c r="MZA57" s="468"/>
      <c r="MZB57" s="468"/>
      <c r="MZC57" s="468"/>
      <c r="MZD57" s="468"/>
      <c r="MZE57" s="468"/>
      <c r="MZF57" s="468"/>
      <c r="MZG57" s="468"/>
      <c r="MZH57" s="468"/>
      <c r="MZI57" s="468"/>
      <c r="MZJ57" s="468"/>
      <c r="MZK57" s="468"/>
      <c r="MZL57" s="468"/>
      <c r="MZM57" s="468"/>
      <c r="MZN57" s="468"/>
      <c r="MZO57" s="468"/>
      <c r="MZP57" s="468"/>
      <c r="MZQ57" s="468"/>
      <c r="MZR57" s="468"/>
      <c r="MZS57" s="468"/>
      <c r="MZT57" s="468"/>
      <c r="MZU57" s="468"/>
      <c r="MZV57" s="468"/>
      <c r="MZW57" s="468"/>
      <c r="MZX57" s="468"/>
      <c r="MZY57" s="468"/>
      <c r="MZZ57" s="468"/>
      <c r="NAA57" s="468"/>
      <c r="NAB57" s="468"/>
      <c r="NAC57" s="468"/>
      <c r="NAD57" s="468"/>
      <c r="NAE57" s="468"/>
      <c r="NAF57" s="468"/>
      <c r="NAG57" s="468"/>
      <c r="NAH57" s="468"/>
      <c r="NAI57" s="468"/>
      <c r="NAJ57" s="468"/>
      <c r="NAK57" s="468"/>
      <c r="NAL57" s="468"/>
      <c r="NAM57" s="468"/>
      <c r="NAN57" s="468"/>
      <c r="NAO57" s="468"/>
      <c r="NAP57" s="468"/>
      <c r="NAQ57" s="468"/>
      <c r="NAR57" s="468"/>
      <c r="NAS57" s="468"/>
      <c r="NAT57" s="468"/>
      <c r="NAU57" s="468"/>
      <c r="NAV57" s="468"/>
      <c r="NAW57" s="468"/>
      <c r="NAX57" s="468"/>
      <c r="NAY57" s="468"/>
      <c r="NAZ57" s="468"/>
      <c r="NBA57" s="468"/>
      <c r="NBB57" s="468"/>
      <c r="NBC57" s="468"/>
      <c r="NBD57" s="468"/>
      <c r="NBE57" s="468"/>
      <c r="NBF57" s="468"/>
      <c r="NBG57" s="468"/>
      <c r="NBH57" s="468"/>
      <c r="NBI57" s="468"/>
      <c r="NBJ57" s="468"/>
      <c r="NBK57" s="468"/>
      <c r="NBL57" s="468"/>
      <c r="NBM57" s="468"/>
      <c r="NBN57" s="468"/>
      <c r="NBO57" s="468"/>
      <c r="NBP57" s="468"/>
      <c r="NBQ57" s="468"/>
      <c r="NBR57" s="468"/>
      <c r="NBS57" s="468"/>
      <c r="NBT57" s="468"/>
      <c r="NBU57" s="468"/>
      <c r="NBV57" s="468"/>
      <c r="NBW57" s="468"/>
      <c r="NBX57" s="468"/>
      <c r="NBY57" s="468"/>
      <c r="NBZ57" s="468"/>
      <c r="NCA57" s="468"/>
      <c r="NCB57" s="468"/>
      <c r="NCC57" s="468"/>
      <c r="NCD57" s="468"/>
      <c r="NCE57" s="468"/>
      <c r="NCF57" s="468"/>
      <c r="NCG57" s="468"/>
      <c r="NCH57" s="468"/>
      <c r="NCI57" s="468"/>
      <c r="NCJ57" s="468"/>
      <c r="NCK57" s="468"/>
      <c r="NCL57" s="468"/>
      <c r="NCM57" s="468"/>
      <c r="NCN57" s="468"/>
      <c r="NCO57" s="468"/>
      <c r="NCP57" s="468"/>
      <c r="NCQ57" s="468"/>
      <c r="NCR57" s="468"/>
      <c r="NCS57" s="468"/>
      <c r="NCT57" s="468"/>
      <c r="NCU57" s="468"/>
      <c r="NCV57" s="468"/>
      <c r="NCW57" s="468"/>
      <c r="NCX57" s="468"/>
      <c r="NCY57" s="468"/>
      <c r="NCZ57" s="468"/>
      <c r="NDA57" s="468"/>
      <c r="NDB57" s="468"/>
      <c r="NDC57" s="468"/>
      <c r="NDD57" s="468"/>
      <c r="NDE57" s="468"/>
      <c r="NDF57" s="468"/>
      <c r="NDG57" s="468"/>
      <c r="NDH57" s="468"/>
      <c r="NDI57" s="468"/>
      <c r="NDJ57" s="468"/>
      <c r="NDK57" s="468"/>
      <c r="NDL57" s="468"/>
      <c r="NDM57" s="468"/>
      <c r="NDN57" s="468"/>
      <c r="NDO57" s="468"/>
      <c r="NDP57" s="468"/>
      <c r="NDQ57" s="468"/>
      <c r="NDR57" s="468"/>
      <c r="NDS57" s="468"/>
      <c r="NDT57" s="468"/>
      <c r="NDU57" s="468"/>
      <c r="NDV57" s="468"/>
      <c r="NDW57" s="468"/>
      <c r="NDX57" s="468"/>
      <c r="NDY57" s="468"/>
      <c r="NDZ57" s="468"/>
      <c r="NEA57" s="468"/>
      <c r="NEB57" s="468"/>
      <c r="NEC57" s="468"/>
      <c r="NED57" s="468"/>
      <c r="NEE57" s="468"/>
      <c r="NEF57" s="468"/>
      <c r="NEG57" s="468"/>
      <c r="NEH57" s="468"/>
      <c r="NEI57" s="468"/>
      <c r="NEJ57" s="468"/>
      <c r="NEK57" s="468"/>
      <c r="NEL57" s="468"/>
      <c r="NEM57" s="468"/>
      <c r="NEN57" s="468"/>
      <c r="NEO57" s="468"/>
      <c r="NEP57" s="468"/>
      <c r="NEQ57" s="468"/>
      <c r="NER57" s="468"/>
      <c r="NES57" s="468"/>
      <c r="NET57" s="468"/>
      <c r="NEU57" s="468"/>
      <c r="NEV57" s="468"/>
      <c r="NEW57" s="468"/>
      <c r="NEX57" s="468"/>
      <c r="NEY57" s="468"/>
      <c r="NEZ57" s="468"/>
      <c r="NFA57" s="468"/>
      <c r="NFB57" s="468"/>
      <c r="NFC57" s="468"/>
      <c r="NFD57" s="468"/>
      <c r="NFE57" s="468"/>
      <c r="NFF57" s="468"/>
      <c r="NFG57" s="468"/>
      <c r="NFH57" s="468"/>
      <c r="NFI57" s="468"/>
      <c r="NFJ57" s="468"/>
      <c r="NFK57" s="468"/>
      <c r="NFL57" s="468"/>
      <c r="NFM57" s="468"/>
      <c r="NFN57" s="468"/>
      <c r="NFO57" s="468"/>
      <c r="NFP57" s="468"/>
      <c r="NFQ57" s="468"/>
      <c r="NFR57" s="468"/>
      <c r="NFS57" s="468"/>
      <c r="NFT57" s="468"/>
      <c r="NFU57" s="468"/>
      <c r="NFV57" s="468"/>
      <c r="NFW57" s="468"/>
      <c r="NFX57" s="468"/>
      <c r="NFY57" s="468"/>
      <c r="NFZ57" s="468"/>
      <c r="NGA57" s="468"/>
      <c r="NGB57" s="468"/>
      <c r="NGC57" s="468"/>
      <c r="NGD57" s="468"/>
      <c r="NGE57" s="468"/>
      <c r="NGF57" s="468"/>
      <c r="NGG57" s="468"/>
      <c r="NGH57" s="468"/>
      <c r="NGI57" s="468"/>
      <c r="NGJ57" s="468"/>
      <c r="NGK57" s="468"/>
      <c r="NGL57" s="468"/>
      <c r="NGM57" s="468"/>
      <c r="NGN57" s="468"/>
      <c r="NGO57" s="468"/>
      <c r="NGP57" s="468"/>
      <c r="NGQ57" s="468"/>
      <c r="NGR57" s="468"/>
      <c r="NGS57" s="468"/>
      <c r="NGT57" s="468"/>
      <c r="NGU57" s="468"/>
      <c r="NGV57" s="468"/>
      <c r="NGW57" s="468"/>
      <c r="NGX57" s="468"/>
      <c r="NGY57" s="468"/>
      <c r="NGZ57" s="468"/>
      <c r="NHA57" s="468"/>
      <c r="NHB57" s="468"/>
      <c r="NHC57" s="468"/>
      <c r="NHD57" s="468"/>
      <c r="NHE57" s="468"/>
      <c r="NHF57" s="468"/>
      <c r="NHG57" s="468"/>
      <c r="NHH57" s="468"/>
      <c r="NHI57" s="468"/>
      <c r="NHJ57" s="468"/>
      <c r="NHK57" s="468"/>
      <c r="NHL57" s="468"/>
      <c r="NHM57" s="468"/>
      <c r="NHN57" s="468"/>
      <c r="NHO57" s="468"/>
      <c r="NHP57" s="468"/>
      <c r="NHQ57" s="468"/>
      <c r="NHR57" s="468"/>
      <c r="NHS57" s="468"/>
      <c r="NHT57" s="468"/>
      <c r="NHU57" s="468"/>
      <c r="NHV57" s="468"/>
      <c r="NHW57" s="468"/>
      <c r="NHX57" s="468"/>
      <c r="NHY57" s="468"/>
      <c r="NHZ57" s="468"/>
      <c r="NIA57" s="468"/>
      <c r="NIB57" s="468"/>
      <c r="NIC57" s="468"/>
      <c r="NID57" s="468"/>
      <c r="NIE57" s="468"/>
      <c r="NIF57" s="468"/>
      <c r="NIG57" s="468"/>
      <c r="NIH57" s="468"/>
      <c r="NII57" s="468"/>
      <c r="NIJ57" s="468"/>
      <c r="NIK57" s="468"/>
      <c r="NIL57" s="468"/>
      <c r="NIM57" s="468"/>
      <c r="NIN57" s="468"/>
      <c r="NIO57" s="468"/>
      <c r="NIP57" s="468"/>
      <c r="NIQ57" s="468"/>
      <c r="NIR57" s="468"/>
      <c r="NIS57" s="468"/>
      <c r="NIT57" s="468"/>
      <c r="NIU57" s="468"/>
      <c r="NIV57" s="468"/>
      <c r="NIW57" s="468"/>
      <c r="NIX57" s="468"/>
      <c r="NIY57" s="468"/>
      <c r="NIZ57" s="468"/>
      <c r="NJA57" s="468"/>
      <c r="NJB57" s="468"/>
      <c r="NJC57" s="468"/>
      <c r="NJD57" s="468"/>
      <c r="NJE57" s="468"/>
      <c r="NJF57" s="468"/>
      <c r="NJG57" s="468"/>
      <c r="NJH57" s="468"/>
      <c r="NJI57" s="468"/>
      <c r="NJJ57" s="468"/>
      <c r="NJK57" s="468"/>
      <c r="NJL57" s="468"/>
      <c r="NJM57" s="468"/>
      <c r="NJN57" s="468"/>
      <c r="NJO57" s="468"/>
      <c r="NJP57" s="468"/>
      <c r="NJQ57" s="468"/>
      <c r="NJR57" s="468"/>
      <c r="NJS57" s="468"/>
      <c r="NJT57" s="468"/>
      <c r="NJU57" s="468"/>
      <c r="NJV57" s="468"/>
      <c r="NJW57" s="468"/>
      <c r="NJX57" s="468"/>
      <c r="NJY57" s="468"/>
      <c r="NJZ57" s="468"/>
      <c r="NKA57" s="468"/>
      <c r="NKB57" s="468"/>
      <c r="NKC57" s="468"/>
      <c r="NKD57" s="468"/>
      <c r="NKE57" s="468"/>
      <c r="NKF57" s="468"/>
      <c r="NKG57" s="468"/>
      <c r="NKH57" s="468"/>
      <c r="NKI57" s="468"/>
      <c r="NKJ57" s="468"/>
      <c r="NKK57" s="468"/>
      <c r="NKL57" s="468"/>
      <c r="NKM57" s="468"/>
      <c r="NKN57" s="468"/>
      <c r="NKO57" s="468"/>
      <c r="NKP57" s="468"/>
      <c r="NKQ57" s="468"/>
      <c r="NKR57" s="468"/>
      <c r="NKS57" s="468"/>
      <c r="NKT57" s="468"/>
      <c r="NKU57" s="468"/>
      <c r="NKV57" s="468"/>
      <c r="NKW57" s="468"/>
      <c r="NKX57" s="468"/>
      <c r="NKY57" s="468"/>
      <c r="NKZ57" s="468"/>
      <c r="NLA57" s="468"/>
      <c r="NLB57" s="468"/>
      <c r="NLC57" s="468"/>
      <c r="NLD57" s="468"/>
      <c r="NLE57" s="468"/>
      <c r="NLF57" s="468"/>
      <c r="NLG57" s="468"/>
      <c r="NLH57" s="468"/>
      <c r="NLI57" s="468"/>
      <c r="NLJ57" s="468"/>
      <c r="NLK57" s="468"/>
      <c r="NLL57" s="468"/>
      <c r="NLM57" s="468"/>
      <c r="NLN57" s="468"/>
      <c r="NLO57" s="468"/>
      <c r="NLP57" s="468"/>
      <c r="NLQ57" s="468"/>
      <c r="NLR57" s="468"/>
      <c r="NLS57" s="468"/>
      <c r="NLT57" s="468"/>
      <c r="NLU57" s="468"/>
      <c r="NLV57" s="468"/>
      <c r="NLW57" s="468"/>
      <c r="NLX57" s="468"/>
      <c r="NLY57" s="468"/>
      <c r="NLZ57" s="468"/>
      <c r="NMA57" s="468"/>
      <c r="NMB57" s="468"/>
      <c r="NMC57" s="468"/>
      <c r="NMD57" s="468"/>
      <c r="NME57" s="468"/>
      <c r="NMF57" s="468"/>
      <c r="NMG57" s="468"/>
      <c r="NMH57" s="468"/>
      <c r="NMI57" s="468"/>
      <c r="NMJ57" s="468"/>
      <c r="NMK57" s="468"/>
      <c r="NML57" s="468"/>
      <c r="NMM57" s="468"/>
      <c r="NMN57" s="468"/>
      <c r="NMO57" s="468"/>
      <c r="NMP57" s="468"/>
      <c r="NMQ57" s="468"/>
      <c r="NMR57" s="468"/>
      <c r="NMS57" s="468"/>
      <c r="NMT57" s="468"/>
      <c r="NMU57" s="468"/>
      <c r="NMV57" s="468"/>
      <c r="NMW57" s="468"/>
      <c r="NMX57" s="468"/>
      <c r="NMY57" s="468"/>
      <c r="NMZ57" s="468"/>
      <c r="NNA57" s="468"/>
      <c r="NNB57" s="468"/>
      <c r="NNC57" s="468"/>
      <c r="NND57" s="468"/>
      <c r="NNE57" s="468"/>
      <c r="NNF57" s="468"/>
      <c r="NNG57" s="468"/>
      <c r="NNH57" s="468"/>
      <c r="NNI57" s="468"/>
      <c r="NNJ57" s="468"/>
      <c r="NNK57" s="468"/>
      <c r="NNL57" s="468"/>
      <c r="NNM57" s="468"/>
      <c r="NNN57" s="468"/>
      <c r="NNO57" s="468"/>
      <c r="NNP57" s="468"/>
      <c r="NNQ57" s="468"/>
      <c r="NNR57" s="468"/>
      <c r="NNS57" s="468"/>
      <c r="NNT57" s="468"/>
      <c r="NNU57" s="468"/>
      <c r="NNV57" s="468"/>
      <c r="NNW57" s="468"/>
      <c r="NNX57" s="468"/>
      <c r="NNY57" s="468"/>
      <c r="NNZ57" s="468"/>
      <c r="NOA57" s="468"/>
      <c r="NOB57" s="468"/>
      <c r="NOC57" s="468"/>
      <c r="NOD57" s="468"/>
      <c r="NOE57" s="468"/>
      <c r="NOF57" s="468"/>
      <c r="NOG57" s="468"/>
      <c r="NOH57" s="468"/>
      <c r="NOI57" s="468"/>
      <c r="NOJ57" s="468"/>
      <c r="NOK57" s="468"/>
      <c r="NOL57" s="468"/>
      <c r="NOM57" s="468"/>
      <c r="NON57" s="468"/>
      <c r="NOO57" s="468"/>
      <c r="NOP57" s="468"/>
      <c r="NOQ57" s="468"/>
      <c r="NOR57" s="468"/>
      <c r="NOS57" s="468"/>
      <c r="NOT57" s="468"/>
      <c r="NOU57" s="468"/>
      <c r="NOV57" s="468"/>
      <c r="NOW57" s="468"/>
      <c r="NOX57" s="468"/>
      <c r="NOY57" s="468"/>
      <c r="NOZ57" s="468"/>
      <c r="NPA57" s="468"/>
      <c r="NPB57" s="468"/>
      <c r="NPC57" s="468"/>
      <c r="NPD57" s="468"/>
      <c r="NPE57" s="468"/>
      <c r="NPF57" s="468"/>
      <c r="NPG57" s="468"/>
      <c r="NPH57" s="468"/>
      <c r="NPI57" s="468"/>
      <c r="NPJ57" s="468"/>
      <c r="NPK57" s="468"/>
      <c r="NPL57" s="468"/>
      <c r="NPM57" s="468"/>
      <c r="NPN57" s="468"/>
      <c r="NPO57" s="468"/>
      <c r="NPP57" s="468"/>
      <c r="NPQ57" s="468"/>
      <c r="NPR57" s="468"/>
      <c r="NPS57" s="468"/>
      <c r="NPT57" s="468"/>
      <c r="NPU57" s="468"/>
      <c r="NPV57" s="468"/>
      <c r="NPW57" s="468"/>
      <c r="NPX57" s="468"/>
      <c r="NPY57" s="468"/>
      <c r="NPZ57" s="468"/>
      <c r="NQA57" s="468"/>
      <c r="NQB57" s="468"/>
      <c r="NQC57" s="468"/>
      <c r="NQD57" s="468"/>
      <c r="NQE57" s="468"/>
      <c r="NQF57" s="468"/>
      <c r="NQG57" s="468"/>
      <c r="NQH57" s="468"/>
      <c r="NQI57" s="468"/>
      <c r="NQJ57" s="468"/>
      <c r="NQK57" s="468"/>
      <c r="NQL57" s="468"/>
      <c r="NQM57" s="468"/>
      <c r="NQN57" s="468"/>
      <c r="NQO57" s="468"/>
      <c r="NQP57" s="468"/>
      <c r="NQQ57" s="468"/>
      <c r="NQR57" s="468"/>
      <c r="NQS57" s="468"/>
      <c r="NQT57" s="468"/>
      <c r="NQU57" s="468"/>
      <c r="NQV57" s="468"/>
      <c r="NQW57" s="468"/>
      <c r="NQX57" s="468"/>
      <c r="NQY57" s="468"/>
      <c r="NQZ57" s="468"/>
      <c r="NRA57" s="468"/>
      <c r="NRB57" s="468"/>
      <c r="NRC57" s="468"/>
      <c r="NRD57" s="468"/>
      <c r="NRE57" s="468"/>
      <c r="NRF57" s="468"/>
      <c r="NRG57" s="468"/>
      <c r="NRH57" s="468"/>
      <c r="NRI57" s="468"/>
      <c r="NRJ57" s="468"/>
      <c r="NRK57" s="468"/>
      <c r="NRL57" s="468"/>
      <c r="NRM57" s="468"/>
      <c r="NRN57" s="468"/>
      <c r="NRO57" s="468"/>
      <c r="NRP57" s="468"/>
      <c r="NRQ57" s="468"/>
      <c r="NRR57" s="468"/>
      <c r="NRS57" s="468"/>
      <c r="NRT57" s="468"/>
      <c r="NRU57" s="468"/>
      <c r="NRV57" s="468"/>
      <c r="NRW57" s="468"/>
      <c r="NRX57" s="468"/>
      <c r="NRY57" s="468"/>
      <c r="NRZ57" s="468"/>
      <c r="NSA57" s="468"/>
      <c r="NSB57" s="468"/>
      <c r="NSC57" s="468"/>
      <c r="NSD57" s="468"/>
      <c r="NSE57" s="468"/>
      <c r="NSF57" s="468"/>
      <c r="NSG57" s="468"/>
      <c r="NSH57" s="468"/>
      <c r="NSI57" s="468"/>
      <c r="NSJ57" s="468"/>
      <c r="NSK57" s="468"/>
      <c r="NSL57" s="468"/>
      <c r="NSM57" s="468"/>
      <c r="NSN57" s="468"/>
      <c r="NSO57" s="468"/>
      <c r="NSP57" s="468"/>
      <c r="NSQ57" s="468"/>
      <c r="NSR57" s="468"/>
      <c r="NSS57" s="468"/>
      <c r="NST57" s="468"/>
      <c r="NSU57" s="468"/>
      <c r="NSV57" s="468"/>
      <c r="NSW57" s="468"/>
      <c r="NSX57" s="468"/>
      <c r="NSY57" s="468"/>
      <c r="NSZ57" s="468"/>
      <c r="NTA57" s="468"/>
      <c r="NTB57" s="468"/>
      <c r="NTC57" s="468"/>
      <c r="NTD57" s="468"/>
      <c r="NTE57" s="468"/>
      <c r="NTF57" s="468"/>
      <c r="NTG57" s="468"/>
      <c r="NTH57" s="468"/>
      <c r="NTI57" s="468"/>
      <c r="NTJ57" s="468"/>
      <c r="NTK57" s="468"/>
      <c r="NTL57" s="468"/>
      <c r="NTM57" s="468"/>
      <c r="NTN57" s="468"/>
      <c r="NTO57" s="468"/>
      <c r="NTP57" s="468"/>
      <c r="NTQ57" s="468"/>
      <c r="NTR57" s="468"/>
      <c r="NTS57" s="468"/>
      <c r="NTT57" s="468"/>
      <c r="NTU57" s="468"/>
      <c r="NTV57" s="468"/>
      <c r="NTW57" s="468"/>
      <c r="NTX57" s="468"/>
      <c r="NTY57" s="468"/>
      <c r="NTZ57" s="468"/>
      <c r="NUA57" s="468"/>
      <c r="NUB57" s="468"/>
      <c r="NUC57" s="468"/>
      <c r="NUD57" s="468"/>
      <c r="NUE57" s="468"/>
      <c r="NUF57" s="468"/>
      <c r="NUG57" s="468"/>
      <c r="NUH57" s="468"/>
      <c r="NUI57" s="468"/>
      <c r="NUJ57" s="468"/>
      <c r="NUK57" s="468"/>
      <c r="NUL57" s="468"/>
      <c r="NUM57" s="468"/>
      <c r="NUN57" s="468"/>
      <c r="NUO57" s="468"/>
      <c r="NUP57" s="468"/>
      <c r="NUQ57" s="468"/>
      <c r="NUR57" s="468"/>
      <c r="NUS57" s="468"/>
      <c r="NUT57" s="468"/>
      <c r="NUU57" s="468"/>
      <c r="NUV57" s="468"/>
      <c r="NUW57" s="468"/>
      <c r="NUX57" s="468"/>
      <c r="NUY57" s="468"/>
      <c r="NUZ57" s="468"/>
      <c r="NVA57" s="468"/>
      <c r="NVB57" s="468"/>
      <c r="NVC57" s="468"/>
      <c r="NVD57" s="468"/>
      <c r="NVE57" s="468"/>
      <c r="NVF57" s="468"/>
      <c r="NVG57" s="468"/>
      <c r="NVH57" s="468"/>
      <c r="NVI57" s="468"/>
      <c r="NVJ57" s="468"/>
      <c r="NVK57" s="468"/>
      <c r="NVL57" s="468"/>
      <c r="NVM57" s="468"/>
      <c r="NVN57" s="468"/>
      <c r="NVO57" s="468"/>
      <c r="NVP57" s="468"/>
      <c r="NVQ57" s="468"/>
      <c r="NVR57" s="468"/>
      <c r="NVS57" s="468"/>
      <c r="NVT57" s="468"/>
      <c r="NVU57" s="468"/>
      <c r="NVV57" s="468"/>
      <c r="NVW57" s="468"/>
      <c r="NVX57" s="468"/>
      <c r="NVY57" s="468"/>
      <c r="NVZ57" s="468"/>
      <c r="NWA57" s="468"/>
      <c r="NWB57" s="468"/>
      <c r="NWC57" s="468"/>
      <c r="NWD57" s="468"/>
      <c r="NWE57" s="468"/>
      <c r="NWF57" s="468"/>
      <c r="NWG57" s="468"/>
      <c r="NWH57" s="468"/>
      <c r="NWI57" s="468"/>
      <c r="NWJ57" s="468"/>
      <c r="NWK57" s="468"/>
      <c r="NWL57" s="468"/>
      <c r="NWM57" s="468"/>
      <c r="NWN57" s="468"/>
      <c r="NWO57" s="468"/>
      <c r="NWP57" s="468"/>
      <c r="NWQ57" s="468"/>
      <c r="NWR57" s="468"/>
      <c r="NWS57" s="468"/>
      <c r="NWT57" s="468"/>
      <c r="NWU57" s="468"/>
      <c r="NWV57" s="468"/>
      <c r="NWW57" s="468"/>
      <c r="NWX57" s="468"/>
      <c r="NWY57" s="468"/>
      <c r="NWZ57" s="468"/>
      <c r="NXA57" s="468"/>
      <c r="NXB57" s="468"/>
      <c r="NXC57" s="468"/>
      <c r="NXD57" s="468"/>
      <c r="NXE57" s="468"/>
      <c r="NXF57" s="468"/>
      <c r="NXG57" s="468"/>
      <c r="NXH57" s="468"/>
      <c r="NXI57" s="468"/>
      <c r="NXJ57" s="468"/>
      <c r="NXK57" s="468"/>
      <c r="NXL57" s="468"/>
      <c r="NXM57" s="468"/>
      <c r="NXN57" s="468"/>
      <c r="NXO57" s="468"/>
      <c r="NXP57" s="468"/>
      <c r="NXQ57" s="468"/>
      <c r="NXR57" s="468"/>
      <c r="NXS57" s="468"/>
      <c r="NXT57" s="468"/>
      <c r="NXU57" s="468"/>
      <c r="NXV57" s="468"/>
      <c r="NXW57" s="468"/>
      <c r="NXX57" s="468"/>
      <c r="NXY57" s="468"/>
      <c r="NXZ57" s="468"/>
      <c r="NYA57" s="468"/>
      <c r="NYB57" s="468"/>
      <c r="NYC57" s="468"/>
      <c r="NYD57" s="468"/>
      <c r="NYE57" s="468"/>
      <c r="NYF57" s="468"/>
      <c r="NYG57" s="468"/>
      <c r="NYH57" s="468"/>
      <c r="NYI57" s="468"/>
      <c r="NYJ57" s="468"/>
      <c r="NYK57" s="468"/>
      <c r="NYL57" s="468"/>
      <c r="NYM57" s="468"/>
      <c r="NYN57" s="468"/>
      <c r="NYO57" s="468"/>
      <c r="NYP57" s="468"/>
      <c r="NYQ57" s="468"/>
      <c r="NYR57" s="468"/>
      <c r="NYS57" s="468"/>
      <c r="NYT57" s="468"/>
      <c r="NYU57" s="468"/>
      <c r="NYV57" s="468"/>
      <c r="NYW57" s="468"/>
      <c r="NYX57" s="468"/>
      <c r="NYY57" s="468"/>
      <c r="NYZ57" s="468"/>
      <c r="NZA57" s="468"/>
      <c r="NZB57" s="468"/>
      <c r="NZC57" s="468"/>
      <c r="NZD57" s="468"/>
      <c r="NZE57" s="468"/>
      <c r="NZF57" s="468"/>
      <c r="NZG57" s="468"/>
      <c r="NZH57" s="468"/>
      <c r="NZI57" s="468"/>
      <c r="NZJ57" s="468"/>
      <c r="NZK57" s="468"/>
      <c r="NZL57" s="468"/>
      <c r="NZM57" s="468"/>
      <c r="NZN57" s="468"/>
      <c r="NZO57" s="468"/>
      <c r="NZP57" s="468"/>
      <c r="NZQ57" s="468"/>
      <c r="NZR57" s="468"/>
      <c r="NZS57" s="468"/>
      <c r="NZT57" s="468"/>
      <c r="NZU57" s="468"/>
      <c r="NZV57" s="468"/>
      <c r="NZW57" s="468"/>
      <c r="NZX57" s="468"/>
      <c r="NZY57" s="468"/>
      <c r="NZZ57" s="468"/>
      <c r="OAA57" s="468"/>
      <c r="OAB57" s="468"/>
      <c r="OAC57" s="468"/>
      <c r="OAD57" s="468"/>
      <c r="OAE57" s="468"/>
      <c r="OAF57" s="468"/>
      <c r="OAG57" s="468"/>
      <c r="OAH57" s="468"/>
      <c r="OAI57" s="468"/>
      <c r="OAJ57" s="468"/>
      <c r="OAK57" s="468"/>
      <c r="OAL57" s="468"/>
      <c r="OAM57" s="468"/>
      <c r="OAN57" s="468"/>
      <c r="OAO57" s="468"/>
      <c r="OAP57" s="468"/>
      <c r="OAQ57" s="468"/>
      <c r="OAR57" s="468"/>
      <c r="OAS57" s="468"/>
      <c r="OAT57" s="468"/>
      <c r="OAU57" s="468"/>
      <c r="OAV57" s="468"/>
      <c r="OAW57" s="468"/>
      <c r="OAX57" s="468"/>
      <c r="OAY57" s="468"/>
      <c r="OAZ57" s="468"/>
      <c r="OBA57" s="468"/>
      <c r="OBB57" s="468"/>
      <c r="OBC57" s="468"/>
      <c r="OBD57" s="468"/>
      <c r="OBE57" s="468"/>
      <c r="OBF57" s="468"/>
      <c r="OBG57" s="468"/>
      <c r="OBH57" s="468"/>
      <c r="OBI57" s="468"/>
      <c r="OBJ57" s="468"/>
      <c r="OBK57" s="468"/>
      <c r="OBL57" s="468"/>
      <c r="OBM57" s="468"/>
      <c r="OBN57" s="468"/>
      <c r="OBO57" s="468"/>
      <c r="OBP57" s="468"/>
      <c r="OBQ57" s="468"/>
      <c r="OBR57" s="468"/>
      <c r="OBS57" s="468"/>
      <c r="OBT57" s="468"/>
      <c r="OBU57" s="468"/>
      <c r="OBV57" s="468"/>
      <c r="OBW57" s="468"/>
      <c r="OBX57" s="468"/>
      <c r="OBY57" s="468"/>
      <c r="OBZ57" s="468"/>
      <c r="OCA57" s="468"/>
      <c r="OCB57" s="468"/>
      <c r="OCC57" s="468"/>
      <c r="OCD57" s="468"/>
      <c r="OCE57" s="468"/>
      <c r="OCF57" s="468"/>
      <c r="OCG57" s="468"/>
      <c r="OCH57" s="468"/>
      <c r="OCI57" s="468"/>
      <c r="OCJ57" s="468"/>
      <c r="OCK57" s="468"/>
      <c r="OCL57" s="468"/>
      <c r="OCM57" s="468"/>
      <c r="OCN57" s="468"/>
      <c r="OCO57" s="468"/>
      <c r="OCP57" s="468"/>
      <c r="OCQ57" s="468"/>
      <c r="OCR57" s="468"/>
      <c r="OCS57" s="468"/>
      <c r="OCT57" s="468"/>
      <c r="OCU57" s="468"/>
      <c r="OCV57" s="468"/>
      <c r="OCW57" s="468"/>
      <c r="OCX57" s="468"/>
      <c r="OCY57" s="468"/>
      <c r="OCZ57" s="468"/>
      <c r="ODA57" s="468"/>
      <c r="ODB57" s="468"/>
      <c r="ODC57" s="468"/>
      <c r="ODD57" s="468"/>
      <c r="ODE57" s="468"/>
      <c r="ODF57" s="468"/>
      <c r="ODG57" s="468"/>
      <c r="ODH57" s="468"/>
      <c r="ODI57" s="468"/>
      <c r="ODJ57" s="468"/>
      <c r="ODK57" s="468"/>
      <c r="ODL57" s="468"/>
      <c r="ODM57" s="468"/>
      <c r="ODN57" s="468"/>
      <c r="ODO57" s="468"/>
      <c r="ODP57" s="468"/>
      <c r="ODQ57" s="468"/>
      <c r="ODR57" s="468"/>
      <c r="ODS57" s="468"/>
      <c r="ODT57" s="468"/>
      <c r="ODU57" s="468"/>
      <c r="ODV57" s="468"/>
      <c r="ODW57" s="468"/>
      <c r="ODX57" s="468"/>
      <c r="ODY57" s="468"/>
      <c r="ODZ57" s="468"/>
      <c r="OEA57" s="468"/>
      <c r="OEB57" s="468"/>
      <c r="OEC57" s="468"/>
      <c r="OED57" s="468"/>
      <c r="OEE57" s="468"/>
      <c r="OEF57" s="468"/>
      <c r="OEG57" s="468"/>
      <c r="OEH57" s="468"/>
      <c r="OEI57" s="468"/>
      <c r="OEJ57" s="468"/>
      <c r="OEK57" s="468"/>
      <c r="OEL57" s="468"/>
      <c r="OEM57" s="468"/>
      <c r="OEN57" s="468"/>
      <c r="OEO57" s="468"/>
      <c r="OEP57" s="468"/>
      <c r="OEQ57" s="468"/>
      <c r="OER57" s="468"/>
      <c r="OES57" s="468"/>
      <c r="OET57" s="468"/>
      <c r="OEU57" s="468"/>
      <c r="OEV57" s="468"/>
      <c r="OEW57" s="468"/>
      <c r="OEX57" s="468"/>
      <c r="OEY57" s="468"/>
      <c r="OEZ57" s="468"/>
      <c r="OFA57" s="468"/>
      <c r="OFB57" s="468"/>
      <c r="OFC57" s="468"/>
      <c r="OFD57" s="468"/>
      <c r="OFE57" s="468"/>
      <c r="OFF57" s="468"/>
      <c r="OFG57" s="468"/>
      <c r="OFH57" s="468"/>
      <c r="OFI57" s="468"/>
      <c r="OFJ57" s="468"/>
      <c r="OFK57" s="468"/>
      <c r="OFL57" s="468"/>
      <c r="OFM57" s="468"/>
      <c r="OFN57" s="468"/>
      <c r="OFO57" s="468"/>
      <c r="OFP57" s="468"/>
      <c r="OFQ57" s="468"/>
      <c r="OFR57" s="468"/>
      <c r="OFS57" s="468"/>
      <c r="OFT57" s="468"/>
      <c r="OFU57" s="468"/>
      <c r="OFV57" s="468"/>
      <c r="OFW57" s="468"/>
      <c r="OFX57" s="468"/>
      <c r="OFY57" s="468"/>
      <c r="OFZ57" s="468"/>
      <c r="OGA57" s="468"/>
      <c r="OGB57" s="468"/>
      <c r="OGC57" s="468"/>
      <c r="OGD57" s="468"/>
      <c r="OGE57" s="468"/>
      <c r="OGF57" s="468"/>
      <c r="OGG57" s="468"/>
      <c r="OGH57" s="468"/>
      <c r="OGI57" s="468"/>
      <c r="OGJ57" s="468"/>
      <c r="OGK57" s="468"/>
      <c r="OGL57" s="468"/>
      <c r="OGM57" s="468"/>
      <c r="OGN57" s="468"/>
      <c r="OGO57" s="468"/>
      <c r="OGP57" s="468"/>
      <c r="OGQ57" s="468"/>
      <c r="OGR57" s="468"/>
      <c r="OGS57" s="468"/>
      <c r="OGT57" s="468"/>
      <c r="OGU57" s="468"/>
      <c r="OGV57" s="468"/>
      <c r="OGW57" s="468"/>
      <c r="OGX57" s="468"/>
      <c r="OGY57" s="468"/>
      <c r="OGZ57" s="468"/>
      <c r="OHA57" s="468"/>
      <c r="OHB57" s="468"/>
      <c r="OHC57" s="468"/>
      <c r="OHD57" s="468"/>
      <c r="OHE57" s="468"/>
      <c r="OHF57" s="468"/>
      <c r="OHG57" s="468"/>
      <c r="OHH57" s="468"/>
      <c r="OHI57" s="468"/>
      <c r="OHJ57" s="468"/>
      <c r="OHK57" s="468"/>
      <c r="OHL57" s="468"/>
      <c r="OHM57" s="468"/>
      <c r="OHN57" s="468"/>
      <c r="OHO57" s="468"/>
      <c r="OHP57" s="468"/>
      <c r="OHQ57" s="468"/>
      <c r="OHR57" s="468"/>
      <c r="OHS57" s="468"/>
      <c r="OHT57" s="468"/>
      <c r="OHU57" s="468"/>
      <c r="OHV57" s="468"/>
      <c r="OHW57" s="468"/>
      <c r="OHX57" s="468"/>
      <c r="OHY57" s="468"/>
      <c r="OHZ57" s="468"/>
      <c r="OIA57" s="468"/>
      <c r="OIB57" s="468"/>
      <c r="OIC57" s="468"/>
      <c r="OID57" s="468"/>
      <c r="OIE57" s="468"/>
      <c r="OIF57" s="468"/>
      <c r="OIG57" s="468"/>
      <c r="OIH57" s="468"/>
      <c r="OII57" s="468"/>
      <c r="OIJ57" s="468"/>
      <c r="OIK57" s="468"/>
      <c r="OIL57" s="468"/>
      <c r="OIM57" s="468"/>
      <c r="OIN57" s="468"/>
      <c r="OIO57" s="468"/>
      <c r="OIP57" s="468"/>
      <c r="OIQ57" s="468"/>
      <c r="OIR57" s="468"/>
      <c r="OIS57" s="468"/>
      <c r="OIT57" s="468"/>
      <c r="OIU57" s="468"/>
      <c r="OIV57" s="468"/>
      <c r="OIW57" s="468"/>
      <c r="OIX57" s="468"/>
      <c r="OIY57" s="468"/>
      <c r="OIZ57" s="468"/>
      <c r="OJA57" s="468"/>
      <c r="OJB57" s="468"/>
      <c r="OJC57" s="468"/>
      <c r="OJD57" s="468"/>
      <c r="OJE57" s="468"/>
      <c r="OJF57" s="468"/>
      <c r="OJG57" s="468"/>
      <c r="OJH57" s="468"/>
      <c r="OJI57" s="468"/>
      <c r="OJJ57" s="468"/>
      <c r="OJK57" s="468"/>
      <c r="OJL57" s="468"/>
      <c r="OJM57" s="468"/>
      <c r="OJN57" s="468"/>
      <c r="OJO57" s="468"/>
      <c r="OJP57" s="468"/>
      <c r="OJQ57" s="468"/>
      <c r="OJR57" s="468"/>
      <c r="OJS57" s="468"/>
      <c r="OJT57" s="468"/>
      <c r="OJU57" s="468"/>
      <c r="OJV57" s="468"/>
      <c r="OJW57" s="468"/>
      <c r="OJX57" s="468"/>
      <c r="OJY57" s="468"/>
      <c r="OJZ57" s="468"/>
      <c r="OKA57" s="468"/>
      <c r="OKB57" s="468"/>
      <c r="OKC57" s="468"/>
      <c r="OKD57" s="468"/>
      <c r="OKE57" s="468"/>
      <c r="OKF57" s="468"/>
      <c r="OKG57" s="468"/>
      <c r="OKH57" s="468"/>
      <c r="OKI57" s="468"/>
      <c r="OKJ57" s="468"/>
      <c r="OKK57" s="468"/>
      <c r="OKL57" s="468"/>
      <c r="OKM57" s="468"/>
      <c r="OKN57" s="468"/>
      <c r="OKO57" s="468"/>
      <c r="OKP57" s="468"/>
      <c r="OKQ57" s="468"/>
      <c r="OKR57" s="468"/>
      <c r="OKS57" s="468"/>
      <c r="OKT57" s="468"/>
      <c r="OKU57" s="468"/>
      <c r="OKV57" s="468"/>
      <c r="OKW57" s="468"/>
      <c r="OKX57" s="468"/>
      <c r="OKY57" s="468"/>
      <c r="OKZ57" s="468"/>
      <c r="OLA57" s="468"/>
      <c r="OLB57" s="468"/>
      <c r="OLC57" s="468"/>
      <c r="OLD57" s="468"/>
      <c r="OLE57" s="468"/>
      <c r="OLF57" s="468"/>
      <c r="OLG57" s="468"/>
      <c r="OLH57" s="468"/>
      <c r="OLI57" s="468"/>
      <c r="OLJ57" s="468"/>
      <c r="OLK57" s="468"/>
      <c r="OLL57" s="468"/>
      <c r="OLM57" s="468"/>
      <c r="OLN57" s="468"/>
      <c r="OLO57" s="468"/>
      <c r="OLP57" s="468"/>
      <c r="OLQ57" s="468"/>
      <c r="OLR57" s="468"/>
      <c r="OLS57" s="468"/>
      <c r="OLT57" s="468"/>
      <c r="OLU57" s="468"/>
      <c r="OLV57" s="468"/>
      <c r="OLW57" s="468"/>
      <c r="OLX57" s="468"/>
      <c r="OLY57" s="468"/>
      <c r="OLZ57" s="468"/>
      <c r="OMA57" s="468"/>
      <c r="OMB57" s="468"/>
      <c r="OMC57" s="468"/>
      <c r="OMD57" s="468"/>
      <c r="OME57" s="468"/>
      <c r="OMF57" s="468"/>
      <c r="OMG57" s="468"/>
      <c r="OMH57" s="468"/>
      <c r="OMI57" s="468"/>
      <c r="OMJ57" s="468"/>
      <c r="OMK57" s="468"/>
      <c r="OML57" s="468"/>
      <c r="OMM57" s="468"/>
      <c r="OMN57" s="468"/>
      <c r="OMO57" s="468"/>
      <c r="OMP57" s="468"/>
      <c r="OMQ57" s="468"/>
      <c r="OMR57" s="468"/>
      <c r="OMS57" s="468"/>
      <c r="OMT57" s="468"/>
      <c r="OMU57" s="468"/>
      <c r="OMV57" s="468"/>
      <c r="OMW57" s="468"/>
      <c r="OMX57" s="468"/>
      <c r="OMY57" s="468"/>
      <c r="OMZ57" s="468"/>
      <c r="ONA57" s="468"/>
      <c r="ONB57" s="468"/>
      <c r="ONC57" s="468"/>
      <c r="OND57" s="468"/>
      <c r="ONE57" s="468"/>
      <c r="ONF57" s="468"/>
      <c r="ONG57" s="468"/>
      <c r="ONH57" s="468"/>
      <c r="ONI57" s="468"/>
      <c r="ONJ57" s="468"/>
      <c r="ONK57" s="468"/>
      <c r="ONL57" s="468"/>
      <c r="ONM57" s="468"/>
      <c r="ONN57" s="468"/>
      <c r="ONO57" s="468"/>
      <c r="ONP57" s="468"/>
      <c r="ONQ57" s="468"/>
      <c r="ONR57" s="468"/>
      <c r="ONS57" s="468"/>
      <c r="ONT57" s="468"/>
      <c r="ONU57" s="468"/>
      <c r="ONV57" s="468"/>
      <c r="ONW57" s="468"/>
      <c r="ONX57" s="468"/>
      <c r="ONY57" s="468"/>
      <c r="ONZ57" s="468"/>
      <c r="OOA57" s="468"/>
      <c r="OOB57" s="468"/>
      <c r="OOC57" s="468"/>
      <c r="OOD57" s="468"/>
      <c r="OOE57" s="468"/>
      <c r="OOF57" s="468"/>
      <c r="OOG57" s="468"/>
      <c r="OOH57" s="468"/>
      <c r="OOI57" s="468"/>
      <c r="OOJ57" s="468"/>
      <c r="OOK57" s="468"/>
      <c r="OOL57" s="468"/>
      <c r="OOM57" s="468"/>
      <c r="OON57" s="468"/>
      <c r="OOO57" s="468"/>
      <c r="OOP57" s="468"/>
      <c r="OOQ57" s="468"/>
      <c r="OOR57" s="468"/>
      <c r="OOS57" s="468"/>
      <c r="OOT57" s="468"/>
      <c r="OOU57" s="468"/>
      <c r="OOV57" s="468"/>
      <c r="OOW57" s="468"/>
      <c r="OOX57" s="468"/>
      <c r="OOY57" s="468"/>
      <c r="OOZ57" s="468"/>
      <c r="OPA57" s="468"/>
      <c r="OPB57" s="468"/>
      <c r="OPC57" s="468"/>
      <c r="OPD57" s="468"/>
      <c r="OPE57" s="468"/>
      <c r="OPF57" s="468"/>
      <c r="OPG57" s="468"/>
      <c r="OPH57" s="468"/>
      <c r="OPI57" s="468"/>
      <c r="OPJ57" s="468"/>
      <c r="OPK57" s="468"/>
      <c r="OPL57" s="468"/>
      <c r="OPM57" s="468"/>
      <c r="OPN57" s="468"/>
      <c r="OPO57" s="468"/>
      <c r="OPP57" s="468"/>
      <c r="OPQ57" s="468"/>
      <c r="OPR57" s="468"/>
      <c r="OPS57" s="468"/>
      <c r="OPT57" s="468"/>
      <c r="OPU57" s="468"/>
      <c r="OPV57" s="468"/>
      <c r="OPW57" s="468"/>
      <c r="OPX57" s="468"/>
      <c r="OPY57" s="468"/>
      <c r="OPZ57" s="468"/>
      <c r="OQA57" s="468"/>
      <c r="OQB57" s="468"/>
      <c r="OQC57" s="468"/>
      <c r="OQD57" s="468"/>
      <c r="OQE57" s="468"/>
      <c r="OQF57" s="468"/>
      <c r="OQG57" s="468"/>
      <c r="OQH57" s="468"/>
      <c r="OQI57" s="468"/>
      <c r="OQJ57" s="468"/>
      <c r="OQK57" s="468"/>
      <c r="OQL57" s="468"/>
      <c r="OQM57" s="468"/>
      <c r="OQN57" s="468"/>
      <c r="OQO57" s="468"/>
      <c r="OQP57" s="468"/>
      <c r="OQQ57" s="468"/>
      <c r="OQR57" s="468"/>
      <c r="OQS57" s="468"/>
      <c r="OQT57" s="468"/>
      <c r="OQU57" s="468"/>
      <c r="OQV57" s="468"/>
      <c r="OQW57" s="468"/>
      <c r="OQX57" s="468"/>
      <c r="OQY57" s="468"/>
      <c r="OQZ57" s="468"/>
      <c r="ORA57" s="468"/>
      <c r="ORB57" s="468"/>
      <c r="ORC57" s="468"/>
      <c r="ORD57" s="468"/>
      <c r="ORE57" s="468"/>
      <c r="ORF57" s="468"/>
      <c r="ORG57" s="468"/>
      <c r="ORH57" s="468"/>
      <c r="ORI57" s="468"/>
      <c r="ORJ57" s="468"/>
      <c r="ORK57" s="468"/>
      <c r="ORL57" s="468"/>
      <c r="ORM57" s="468"/>
      <c r="ORN57" s="468"/>
      <c r="ORO57" s="468"/>
      <c r="ORP57" s="468"/>
      <c r="ORQ57" s="468"/>
      <c r="ORR57" s="468"/>
      <c r="ORS57" s="468"/>
      <c r="ORT57" s="468"/>
      <c r="ORU57" s="468"/>
      <c r="ORV57" s="468"/>
      <c r="ORW57" s="468"/>
      <c r="ORX57" s="468"/>
      <c r="ORY57" s="468"/>
      <c r="ORZ57" s="468"/>
      <c r="OSA57" s="468"/>
      <c r="OSB57" s="468"/>
      <c r="OSC57" s="468"/>
      <c r="OSD57" s="468"/>
      <c r="OSE57" s="468"/>
      <c r="OSF57" s="468"/>
      <c r="OSG57" s="468"/>
      <c r="OSH57" s="468"/>
      <c r="OSI57" s="468"/>
      <c r="OSJ57" s="468"/>
      <c r="OSK57" s="468"/>
      <c r="OSL57" s="468"/>
      <c r="OSM57" s="468"/>
      <c r="OSN57" s="468"/>
      <c r="OSO57" s="468"/>
      <c r="OSP57" s="468"/>
      <c r="OSQ57" s="468"/>
      <c r="OSR57" s="468"/>
      <c r="OSS57" s="468"/>
      <c r="OST57" s="468"/>
      <c r="OSU57" s="468"/>
      <c r="OSV57" s="468"/>
      <c r="OSW57" s="468"/>
      <c r="OSX57" s="468"/>
      <c r="OSY57" s="468"/>
      <c r="OSZ57" s="468"/>
      <c r="OTA57" s="468"/>
      <c r="OTB57" s="468"/>
      <c r="OTC57" s="468"/>
      <c r="OTD57" s="468"/>
      <c r="OTE57" s="468"/>
      <c r="OTF57" s="468"/>
      <c r="OTG57" s="468"/>
      <c r="OTH57" s="468"/>
      <c r="OTI57" s="468"/>
      <c r="OTJ57" s="468"/>
      <c r="OTK57" s="468"/>
      <c r="OTL57" s="468"/>
      <c r="OTM57" s="468"/>
      <c r="OTN57" s="468"/>
      <c r="OTO57" s="468"/>
      <c r="OTP57" s="468"/>
      <c r="OTQ57" s="468"/>
      <c r="OTR57" s="468"/>
      <c r="OTS57" s="468"/>
      <c r="OTT57" s="468"/>
      <c r="OTU57" s="468"/>
      <c r="OTV57" s="468"/>
      <c r="OTW57" s="468"/>
      <c r="OTX57" s="468"/>
      <c r="OTY57" s="468"/>
      <c r="OTZ57" s="468"/>
      <c r="OUA57" s="468"/>
      <c r="OUB57" s="468"/>
      <c r="OUC57" s="468"/>
      <c r="OUD57" s="468"/>
      <c r="OUE57" s="468"/>
      <c r="OUF57" s="468"/>
      <c r="OUG57" s="468"/>
      <c r="OUH57" s="468"/>
      <c r="OUI57" s="468"/>
      <c r="OUJ57" s="468"/>
      <c r="OUK57" s="468"/>
      <c r="OUL57" s="468"/>
      <c r="OUM57" s="468"/>
      <c r="OUN57" s="468"/>
      <c r="OUO57" s="468"/>
      <c r="OUP57" s="468"/>
      <c r="OUQ57" s="468"/>
      <c r="OUR57" s="468"/>
      <c r="OUS57" s="468"/>
      <c r="OUT57" s="468"/>
      <c r="OUU57" s="468"/>
      <c r="OUV57" s="468"/>
      <c r="OUW57" s="468"/>
      <c r="OUX57" s="468"/>
      <c r="OUY57" s="468"/>
      <c r="OUZ57" s="468"/>
      <c r="OVA57" s="468"/>
      <c r="OVB57" s="468"/>
      <c r="OVC57" s="468"/>
      <c r="OVD57" s="468"/>
      <c r="OVE57" s="468"/>
      <c r="OVF57" s="468"/>
      <c r="OVG57" s="468"/>
      <c r="OVH57" s="468"/>
      <c r="OVI57" s="468"/>
      <c r="OVJ57" s="468"/>
      <c r="OVK57" s="468"/>
      <c r="OVL57" s="468"/>
      <c r="OVM57" s="468"/>
      <c r="OVN57" s="468"/>
      <c r="OVO57" s="468"/>
      <c r="OVP57" s="468"/>
      <c r="OVQ57" s="468"/>
      <c r="OVR57" s="468"/>
      <c r="OVS57" s="468"/>
      <c r="OVT57" s="468"/>
      <c r="OVU57" s="468"/>
      <c r="OVV57" s="468"/>
      <c r="OVW57" s="468"/>
      <c r="OVX57" s="468"/>
      <c r="OVY57" s="468"/>
      <c r="OVZ57" s="468"/>
      <c r="OWA57" s="468"/>
      <c r="OWB57" s="468"/>
      <c r="OWC57" s="468"/>
      <c r="OWD57" s="468"/>
      <c r="OWE57" s="468"/>
      <c r="OWF57" s="468"/>
      <c r="OWG57" s="468"/>
      <c r="OWH57" s="468"/>
      <c r="OWI57" s="468"/>
      <c r="OWJ57" s="468"/>
      <c r="OWK57" s="468"/>
      <c r="OWL57" s="468"/>
      <c r="OWM57" s="468"/>
      <c r="OWN57" s="468"/>
      <c r="OWO57" s="468"/>
      <c r="OWP57" s="468"/>
      <c r="OWQ57" s="468"/>
      <c r="OWR57" s="468"/>
      <c r="OWS57" s="468"/>
      <c r="OWT57" s="468"/>
      <c r="OWU57" s="468"/>
      <c r="OWV57" s="468"/>
      <c r="OWW57" s="468"/>
      <c r="OWX57" s="468"/>
      <c r="OWY57" s="468"/>
      <c r="OWZ57" s="468"/>
      <c r="OXA57" s="468"/>
      <c r="OXB57" s="468"/>
      <c r="OXC57" s="468"/>
      <c r="OXD57" s="468"/>
      <c r="OXE57" s="468"/>
      <c r="OXF57" s="468"/>
      <c r="OXG57" s="468"/>
      <c r="OXH57" s="468"/>
      <c r="OXI57" s="468"/>
      <c r="OXJ57" s="468"/>
      <c r="OXK57" s="468"/>
      <c r="OXL57" s="468"/>
      <c r="OXM57" s="468"/>
      <c r="OXN57" s="468"/>
      <c r="OXO57" s="468"/>
      <c r="OXP57" s="468"/>
      <c r="OXQ57" s="468"/>
      <c r="OXR57" s="468"/>
      <c r="OXS57" s="468"/>
      <c r="OXT57" s="468"/>
      <c r="OXU57" s="468"/>
      <c r="OXV57" s="468"/>
      <c r="OXW57" s="468"/>
      <c r="OXX57" s="468"/>
      <c r="OXY57" s="468"/>
      <c r="OXZ57" s="468"/>
      <c r="OYA57" s="468"/>
      <c r="OYB57" s="468"/>
      <c r="OYC57" s="468"/>
      <c r="OYD57" s="468"/>
      <c r="OYE57" s="468"/>
      <c r="OYF57" s="468"/>
      <c r="OYG57" s="468"/>
      <c r="OYH57" s="468"/>
      <c r="OYI57" s="468"/>
      <c r="OYJ57" s="468"/>
      <c r="OYK57" s="468"/>
      <c r="OYL57" s="468"/>
      <c r="OYM57" s="468"/>
      <c r="OYN57" s="468"/>
      <c r="OYO57" s="468"/>
      <c r="OYP57" s="468"/>
      <c r="OYQ57" s="468"/>
      <c r="OYR57" s="468"/>
      <c r="OYS57" s="468"/>
      <c r="OYT57" s="468"/>
      <c r="OYU57" s="468"/>
      <c r="OYV57" s="468"/>
      <c r="OYW57" s="468"/>
      <c r="OYX57" s="468"/>
      <c r="OYY57" s="468"/>
      <c r="OYZ57" s="468"/>
      <c r="OZA57" s="468"/>
      <c r="OZB57" s="468"/>
      <c r="OZC57" s="468"/>
      <c r="OZD57" s="468"/>
      <c r="OZE57" s="468"/>
      <c r="OZF57" s="468"/>
      <c r="OZG57" s="468"/>
      <c r="OZH57" s="468"/>
      <c r="OZI57" s="468"/>
      <c r="OZJ57" s="468"/>
      <c r="OZK57" s="468"/>
      <c r="OZL57" s="468"/>
      <c r="OZM57" s="468"/>
      <c r="OZN57" s="468"/>
      <c r="OZO57" s="468"/>
      <c r="OZP57" s="468"/>
      <c r="OZQ57" s="468"/>
      <c r="OZR57" s="468"/>
      <c r="OZS57" s="468"/>
      <c r="OZT57" s="468"/>
      <c r="OZU57" s="468"/>
      <c r="OZV57" s="468"/>
      <c r="OZW57" s="468"/>
      <c r="OZX57" s="468"/>
      <c r="OZY57" s="468"/>
      <c r="OZZ57" s="468"/>
      <c r="PAA57" s="468"/>
      <c r="PAB57" s="468"/>
      <c r="PAC57" s="468"/>
      <c r="PAD57" s="468"/>
      <c r="PAE57" s="468"/>
      <c r="PAF57" s="468"/>
      <c r="PAG57" s="468"/>
      <c r="PAH57" s="468"/>
      <c r="PAI57" s="468"/>
      <c r="PAJ57" s="468"/>
      <c r="PAK57" s="468"/>
      <c r="PAL57" s="468"/>
      <c r="PAM57" s="468"/>
      <c r="PAN57" s="468"/>
      <c r="PAO57" s="468"/>
      <c r="PAP57" s="468"/>
      <c r="PAQ57" s="468"/>
      <c r="PAR57" s="468"/>
      <c r="PAS57" s="468"/>
      <c r="PAT57" s="468"/>
      <c r="PAU57" s="468"/>
      <c r="PAV57" s="468"/>
      <c r="PAW57" s="468"/>
      <c r="PAX57" s="468"/>
      <c r="PAY57" s="468"/>
      <c r="PAZ57" s="468"/>
      <c r="PBA57" s="468"/>
      <c r="PBB57" s="468"/>
      <c r="PBC57" s="468"/>
      <c r="PBD57" s="468"/>
      <c r="PBE57" s="468"/>
      <c r="PBF57" s="468"/>
      <c r="PBG57" s="468"/>
      <c r="PBH57" s="468"/>
      <c r="PBI57" s="468"/>
      <c r="PBJ57" s="468"/>
      <c r="PBK57" s="468"/>
      <c r="PBL57" s="468"/>
      <c r="PBM57" s="468"/>
      <c r="PBN57" s="468"/>
      <c r="PBO57" s="468"/>
      <c r="PBP57" s="468"/>
      <c r="PBQ57" s="468"/>
      <c r="PBR57" s="468"/>
      <c r="PBS57" s="468"/>
      <c r="PBT57" s="468"/>
      <c r="PBU57" s="468"/>
      <c r="PBV57" s="468"/>
      <c r="PBW57" s="468"/>
      <c r="PBX57" s="468"/>
      <c r="PBY57" s="468"/>
      <c r="PBZ57" s="468"/>
      <c r="PCA57" s="468"/>
      <c r="PCB57" s="468"/>
      <c r="PCC57" s="468"/>
      <c r="PCD57" s="468"/>
      <c r="PCE57" s="468"/>
      <c r="PCF57" s="468"/>
      <c r="PCG57" s="468"/>
      <c r="PCH57" s="468"/>
      <c r="PCI57" s="468"/>
      <c r="PCJ57" s="468"/>
      <c r="PCK57" s="468"/>
      <c r="PCL57" s="468"/>
      <c r="PCM57" s="468"/>
      <c r="PCN57" s="468"/>
      <c r="PCO57" s="468"/>
      <c r="PCP57" s="468"/>
      <c r="PCQ57" s="468"/>
      <c r="PCR57" s="468"/>
      <c r="PCS57" s="468"/>
      <c r="PCT57" s="468"/>
      <c r="PCU57" s="468"/>
      <c r="PCV57" s="468"/>
      <c r="PCW57" s="468"/>
      <c r="PCX57" s="468"/>
      <c r="PCY57" s="468"/>
      <c r="PCZ57" s="468"/>
      <c r="PDA57" s="468"/>
      <c r="PDB57" s="468"/>
      <c r="PDC57" s="468"/>
      <c r="PDD57" s="468"/>
      <c r="PDE57" s="468"/>
      <c r="PDF57" s="468"/>
      <c r="PDG57" s="468"/>
      <c r="PDH57" s="468"/>
      <c r="PDI57" s="468"/>
      <c r="PDJ57" s="468"/>
      <c r="PDK57" s="468"/>
      <c r="PDL57" s="468"/>
      <c r="PDM57" s="468"/>
      <c r="PDN57" s="468"/>
      <c r="PDO57" s="468"/>
      <c r="PDP57" s="468"/>
      <c r="PDQ57" s="468"/>
      <c r="PDR57" s="468"/>
      <c r="PDS57" s="468"/>
      <c r="PDT57" s="468"/>
      <c r="PDU57" s="468"/>
      <c r="PDV57" s="468"/>
      <c r="PDW57" s="468"/>
      <c r="PDX57" s="468"/>
      <c r="PDY57" s="468"/>
      <c r="PDZ57" s="468"/>
      <c r="PEA57" s="468"/>
      <c r="PEB57" s="468"/>
      <c r="PEC57" s="468"/>
      <c r="PED57" s="468"/>
      <c r="PEE57" s="468"/>
      <c r="PEF57" s="468"/>
      <c r="PEG57" s="468"/>
      <c r="PEH57" s="468"/>
      <c r="PEI57" s="468"/>
      <c r="PEJ57" s="468"/>
      <c r="PEK57" s="468"/>
      <c r="PEL57" s="468"/>
      <c r="PEM57" s="468"/>
      <c r="PEN57" s="468"/>
      <c r="PEO57" s="468"/>
      <c r="PEP57" s="468"/>
      <c r="PEQ57" s="468"/>
      <c r="PER57" s="468"/>
      <c r="PES57" s="468"/>
      <c r="PET57" s="468"/>
      <c r="PEU57" s="468"/>
      <c r="PEV57" s="468"/>
      <c r="PEW57" s="468"/>
      <c r="PEX57" s="468"/>
      <c r="PEY57" s="468"/>
      <c r="PEZ57" s="468"/>
      <c r="PFA57" s="468"/>
      <c r="PFB57" s="468"/>
      <c r="PFC57" s="468"/>
      <c r="PFD57" s="468"/>
      <c r="PFE57" s="468"/>
      <c r="PFF57" s="468"/>
      <c r="PFG57" s="468"/>
      <c r="PFH57" s="468"/>
      <c r="PFI57" s="468"/>
      <c r="PFJ57" s="468"/>
      <c r="PFK57" s="468"/>
      <c r="PFL57" s="468"/>
      <c r="PFM57" s="468"/>
      <c r="PFN57" s="468"/>
      <c r="PFO57" s="468"/>
      <c r="PFP57" s="468"/>
      <c r="PFQ57" s="468"/>
      <c r="PFR57" s="468"/>
      <c r="PFS57" s="468"/>
      <c r="PFT57" s="468"/>
      <c r="PFU57" s="468"/>
      <c r="PFV57" s="468"/>
      <c r="PFW57" s="468"/>
      <c r="PFX57" s="468"/>
      <c r="PFY57" s="468"/>
      <c r="PFZ57" s="468"/>
      <c r="PGA57" s="468"/>
      <c r="PGB57" s="468"/>
      <c r="PGC57" s="468"/>
      <c r="PGD57" s="468"/>
      <c r="PGE57" s="468"/>
      <c r="PGF57" s="468"/>
      <c r="PGG57" s="468"/>
      <c r="PGH57" s="468"/>
      <c r="PGI57" s="468"/>
      <c r="PGJ57" s="468"/>
      <c r="PGK57" s="468"/>
      <c r="PGL57" s="468"/>
      <c r="PGM57" s="468"/>
      <c r="PGN57" s="468"/>
      <c r="PGO57" s="468"/>
      <c r="PGP57" s="468"/>
      <c r="PGQ57" s="468"/>
      <c r="PGR57" s="468"/>
      <c r="PGS57" s="468"/>
      <c r="PGT57" s="468"/>
      <c r="PGU57" s="468"/>
      <c r="PGV57" s="468"/>
      <c r="PGW57" s="468"/>
      <c r="PGX57" s="468"/>
      <c r="PGY57" s="468"/>
      <c r="PGZ57" s="468"/>
      <c r="PHA57" s="468"/>
      <c r="PHB57" s="468"/>
      <c r="PHC57" s="468"/>
      <c r="PHD57" s="468"/>
      <c r="PHE57" s="468"/>
      <c r="PHF57" s="468"/>
      <c r="PHG57" s="468"/>
      <c r="PHH57" s="468"/>
      <c r="PHI57" s="468"/>
      <c r="PHJ57" s="468"/>
      <c r="PHK57" s="468"/>
      <c r="PHL57" s="468"/>
      <c r="PHM57" s="468"/>
      <c r="PHN57" s="468"/>
      <c r="PHO57" s="468"/>
      <c r="PHP57" s="468"/>
      <c r="PHQ57" s="468"/>
      <c r="PHR57" s="468"/>
      <c r="PHS57" s="468"/>
      <c r="PHT57" s="468"/>
      <c r="PHU57" s="468"/>
      <c r="PHV57" s="468"/>
      <c r="PHW57" s="468"/>
      <c r="PHX57" s="468"/>
      <c r="PHY57" s="468"/>
      <c r="PHZ57" s="468"/>
      <c r="PIA57" s="468"/>
      <c r="PIB57" s="468"/>
      <c r="PIC57" s="468"/>
      <c r="PID57" s="468"/>
      <c r="PIE57" s="468"/>
      <c r="PIF57" s="468"/>
      <c r="PIG57" s="468"/>
      <c r="PIH57" s="468"/>
      <c r="PII57" s="468"/>
      <c r="PIJ57" s="468"/>
      <c r="PIK57" s="468"/>
      <c r="PIL57" s="468"/>
      <c r="PIM57" s="468"/>
      <c r="PIN57" s="468"/>
      <c r="PIO57" s="468"/>
      <c r="PIP57" s="468"/>
      <c r="PIQ57" s="468"/>
      <c r="PIR57" s="468"/>
      <c r="PIS57" s="468"/>
      <c r="PIT57" s="468"/>
      <c r="PIU57" s="468"/>
      <c r="PIV57" s="468"/>
      <c r="PIW57" s="468"/>
      <c r="PIX57" s="468"/>
      <c r="PIY57" s="468"/>
      <c r="PIZ57" s="468"/>
      <c r="PJA57" s="468"/>
      <c r="PJB57" s="468"/>
      <c r="PJC57" s="468"/>
      <c r="PJD57" s="468"/>
      <c r="PJE57" s="468"/>
      <c r="PJF57" s="468"/>
      <c r="PJG57" s="468"/>
      <c r="PJH57" s="468"/>
      <c r="PJI57" s="468"/>
      <c r="PJJ57" s="468"/>
      <c r="PJK57" s="468"/>
      <c r="PJL57" s="468"/>
      <c r="PJM57" s="468"/>
      <c r="PJN57" s="468"/>
      <c r="PJO57" s="468"/>
      <c r="PJP57" s="468"/>
      <c r="PJQ57" s="468"/>
      <c r="PJR57" s="468"/>
      <c r="PJS57" s="468"/>
      <c r="PJT57" s="468"/>
      <c r="PJU57" s="468"/>
      <c r="PJV57" s="468"/>
      <c r="PJW57" s="468"/>
      <c r="PJX57" s="468"/>
      <c r="PJY57" s="468"/>
      <c r="PJZ57" s="468"/>
      <c r="PKA57" s="468"/>
      <c r="PKB57" s="468"/>
      <c r="PKC57" s="468"/>
      <c r="PKD57" s="468"/>
      <c r="PKE57" s="468"/>
      <c r="PKF57" s="468"/>
      <c r="PKG57" s="468"/>
      <c r="PKH57" s="468"/>
      <c r="PKI57" s="468"/>
      <c r="PKJ57" s="468"/>
      <c r="PKK57" s="468"/>
      <c r="PKL57" s="468"/>
      <c r="PKM57" s="468"/>
      <c r="PKN57" s="468"/>
      <c r="PKO57" s="468"/>
      <c r="PKP57" s="468"/>
      <c r="PKQ57" s="468"/>
      <c r="PKR57" s="468"/>
      <c r="PKS57" s="468"/>
      <c r="PKT57" s="468"/>
      <c r="PKU57" s="468"/>
      <c r="PKV57" s="468"/>
      <c r="PKW57" s="468"/>
      <c r="PKX57" s="468"/>
      <c r="PKY57" s="468"/>
      <c r="PKZ57" s="468"/>
      <c r="PLA57" s="468"/>
      <c r="PLB57" s="468"/>
      <c r="PLC57" s="468"/>
      <c r="PLD57" s="468"/>
      <c r="PLE57" s="468"/>
      <c r="PLF57" s="468"/>
      <c r="PLG57" s="468"/>
      <c r="PLH57" s="468"/>
      <c r="PLI57" s="468"/>
      <c r="PLJ57" s="468"/>
      <c r="PLK57" s="468"/>
      <c r="PLL57" s="468"/>
      <c r="PLM57" s="468"/>
      <c r="PLN57" s="468"/>
      <c r="PLO57" s="468"/>
      <c r="PLP57" s="468"/>
      <c r="PLQ57" s="468"/>
      <c r="PLR57" s="468"/>
      <c r="PLS57" s="468"/>
      <c r="PLT57" s="468"/>
      <c r="PLU57" s="468"/>
      <c r="PLV57" s="468"/>
      <c r="PLW57" s="468"/>
      <c r="PLX57" s="468"/>
      <c r="PLY57" s="468"/>
      <c r="PLZ57" s="468"/>
      <c r="PMA57" s="468"/>
      <c r="PMB57" s="468"/>
      <c r="PMC57" s="468"/>
      <c r="PMD57" s="468"/>
      <c r="PME57" s="468"/>
      <c r="PMF57" s="468"/>
      <c r="PMG57" s="468"/>
      <c r="PMH57" s="468"/>
      <c r="PMI57" s="468"/>
      <c r="PMJ57" s="468"/>
      <c r="PMK57" s="468"/>
      <c r="PML57" s="468"/>
      <c r="PMM57" s="468"/>
      <c r="PMN57" s="468"/>
      <c r="PMO57" s="468"/>
      <c r="PMP57" s="468"/>
      <c r="PMQ57" s="468"/>
      <c r="PMR57" s="468"/>
      <c r="PMS57" s="468"/>
      <c r="PMT57" s="468"/>
      <c r="PMU57" s="468"/>
      <c r="PMV57" s="468"/>
      <c r="PMW57" s="468"/>
      <c r="PMX57" s="468"/>
      <c r="PMY57" s="468"/>
      <c r="PMZ57" s="468"/>
      <c r="PNA57" s="468"/>
      <c r="PNB57" s="468"/>
      <c r="PNC57" s="468"/>
      <c r="PND57" s="468"/>
      <c r="PNE57" s="468"/>
      <c r="PNF57" s="468"/>
      <c r="PNG57" s="468"/>
      <c r="PNH57" s="468"/>
      <c r="PNI57" s="468"/>
      <c r="PNJ57" s="468"/>
      <c r="PNK57" s="468"/>
      <c r="PNL57" s="468"/>
      <c r="PNM57" s="468"/>
      <c r="PNN57" s="468"/>
      <c r="PNO57" s="468"/>
      <c r="PNP57" s="468"/>
      <c r="PNQ57" s="468"/>
      <c r="PNR57" s="468"/>
      <c r="PNS57" s="468"/>
      <c r="PNT57" s="468"/>
      <c r="PNU57" s="468"/>
      <c r="PNV57" s="468"/>
      <c r="PNW57" s="468"/>
      <c r="PNX57" s="468"/>
      <c r="PNY57" s="468"/>
      <c r="PNZ57" s="468"/>
      <c r="POA57" s="468"/>
      <c r="POB57" s="468"/>
      <c r="POC57" s="468"/>
      <c r="POD57" s="468"/>
      <c r="POE57" s="468"/>
      <c r="POF57" s="468"/>
      <c r="POG57" s="468"/>
      <c r="POH57" s="468"/>
      <c r="POI57" s="468"/>
      <c r="POJ57" s="468"/>
      <c r="POK57" s="468"/>
      <c r="POL57" s="468"/>
      <c r="POM57" s="468"/>
      <c r="PON57" s="468"/>
      <c r="POO57" s="468"/>
      <c r="POP57" s="468"/>
      <c r="POQ57" s="468"/>
      <c r="POR57" s="468"/>
      <c r="POS57" s="468"/>
      <c r="POT57" s="468"/>
      <c r="POU57" s="468"/>
      <c r="POV57" s="468"/>
      <c r="POW57" s="468"/>
      <c r="POX57" s="468"/>
      <c r="POY57" s="468"/>
      <c r="POZ57" s="468"/>
      <c r="PPA57" s="468"/>
      <c r="PPB57" s="468"/>
      <c r="PPC57" s="468"/>
      <c r="PPD57" s="468"/>
      <c r="PPE57" s="468"/>
      <c r="PPF57" s="468"/>
      <c r="PPG57" s="468"/>
      <c r="PPH57" s="468"/>
      <c r="PPI57" s="468"/>
      <c r="PPJ57" s="468"/>
      <c r="PPK57" s="468"/>
      <c r="PPL57" s="468"/>
      <c r="PPM57" s="468"/>
      <c r="PPN57" s="468"/>
      <c r="PPO57" s="468"/>
      <c r="PPP57" s="468"/>
      <c r="PPQ57" s="468"/>
      <c r="PPR57" s="468"/>
      <c r="PPS57" s="468"/>
      <c r="PPT57" s="468"/>
      <c r="PPU57" s="468"/>
      <c r="PPV57" s="468"/>
      <c r="PPW57" s="468"/>
      <c r="PPX57" s="468"/>
      <c r="PPY57" s="468"/>
      <c r="PPZ57" s="468"/>
      <c r="PQA57" s="468"/>
      <c r="PQB57" s="468"/>
      <c r="PQC57" s="468"/>
      <c r="PQD57" s="468"/>
      <c r="PQE57" s="468"/>
      <c r="PQF57" s="468"/>
      <c r="PQG57" s="468"/>
      <c r="PQH57" s="468"/>
      <c r="PQI57" s="468"/>
      <c r="PQJ57" s="468"/>
      <c r="PQK57" s="468"/>
      <c r="PQL57" s="468"/>
      <c r="PQM57" s="468"/>
      <c r="PQN57" s="468"/>
      <c r="PQO57" s="468"/>
      <c r="PQP57" s="468"/>
      <c r="PQQ57" s="468"/>
      <c r="PQR57" s="468"/>
      <c r="PQS57" s="468"/>
      <c r="PQT57" s="468"/>
      <c r="PQU57" s="468"/>
      <c r="PQV57" s="468"/>
      <c r="PQW57" s="468"/>
      <c r="PQX57" s="468"/>
      <c r="PQY57" s="468"/>
      <c r="PQZ57" s="468"/>
      <c r="PRA57" s="468"/>
      <c r="PRB57" s="468"/>
      <c r="PRC57" s="468"/>
      <c r="PRD57" s="468"/>
      <c r="PRE57" s="468"/>
      <c r="PRF57" s="468"/>
      <c r="PRG57" s="468"/>
      <c r="PRH57" s="468"/>
      <c r="PRI57" s="468"/>
      <c r="PRJ57" s="468"/>
      <c r="PRK57" s="468"/>
      <c r="PRL57" s="468"/>
      <c r="PRM57" s="468"/>
      <c r="PRN57" s="468"/>
      <c r="PRO57" s="468"/>
      <c r="PRP57" s="468"/>
      <c r="PRQ57" s="468"/>
      <c r="PRR57" s="468"/>
      <c r="PRS57" s="468"/>
      <c r="PRT57" s="468"/>
      <c r="PRU57" s="468"/>
      <c r="PRV57" s="468"/>
      <c r="PRW57" s="468"/>
      <c r="PRX57" s="468"/>
      <c r="PRY57" s="468"/>
      <c r="PRZ57" s="468"/>
      <c r="PSA57" s="468"/>
      <c r="PSB57" s="468"/>
      <c r="PSC57" s="468"/>
      <c r="PSD57" s="468"/>
      <c r="PSE57" s="468"/>
      <c r="PSF57" s="468"/>
      <c r="PSG57" s="468"/>
      <c r="PSH57" s="468"/>
      <c r="PSI57" s="468"/>
      <c r="PSJ57" s="468"/>
      <c r="PSK57" s="468"/>
      <c r="PSL57" s="468"/>
      <c r="PSM57" s="468"/>
      <c r="PSN57" s="468"/>
      <c r="PSO57" s="468"/>
      <c r="PSP57" s="468"/>
      <c r="PSQ57" s="468"/>
      <c r="PSR57" s="468"/>
      <c r="PSS57" s="468"/>
      <c r="PST57" s="468"/>
      <c r="PSU57" s="468"/>
      <c r="PSV57" s="468"/>
      <c r="PSW57" s="468"/>
      <c r="PSX57" s="468"/>
      <c r="PSY57" s="468"/>
      <c r="PSZ57" s="468"/>
      <c r="PTA57" s="468"/>
      <c r="PTB57" s="468"/>
      <c r="PTC57" s="468"/>
      <c r="PTD57" s="468"/>
      <c r="PTE57" s="468"/>
      <c r="PTF57" s="468"/>
      <c r="PTG57" s="468"/>
      <c r="PTH57" s="468"/>
      <c r="PTI57" s="468"/>
      <c r="PTJ57" s="468"/>
      <c r="PTK57" s="468"/>
      <c r="PTL57" s="468"/>
      <c r="PTM57" s="468"/>
      <c r="PTN57" s="468"/>
      <c r="PTO57" s="468"/>
      <c r="PTP57" s="468"/>
      <c r="PTQ57" s="468"/>
      <c r="PTR57" s="468"/>
      <c r="PTS57" s="468"/>
      <c r="PTT57" s="468"/>
      <c r="PTU57" s="468"/>
      <c r="PTV57" s="468"/>
      <c r="PTW57" s="468"/>
      <c r="PTX57" s="468"/>
      <c r="PTY57" s="468"/>
      <c r="PTZ57" s="468"/>
      <c r="PUA57" s="468"/>
      <c r="PUB57" s="468"/>
      <c r="PUC57" s="468"/>
      <c r="PUD57" s="468"/>
      <c r="PUE57" s="468"/>
      <c r="PUF57" s="468"/>
      <c r="PUG57" s="468"/>
      <c r="PUH57" s="468"/>
      <c r="PUI57" s="468"/>
      <c r="PUJ57" s="468"/>
      <c r="PUK57" s="468"/>
      <c r="PUL57" s="468"/>
      <c r="PUM57" s="468"/>
      <c r="PUN57" s="468"/>
      <c r="PUO57" s="468"/>
      <c r="PUP57" s="468"/>
      <c r="PUQ57" s="468"/>
      <c r="PUR57" s="468"/>
      <c r="PUS57" s="468"/>
      <c r="PUT57" s="468"/>
      <c r="PUU57" s="468"/>
      <c r="PUV57" s="468"/>
      <c r="PUW57" s="468"/>
      <c r="PUX57" s="468"/>
      <c r="PUY57" s="468"/>
      <c r="PUZ57" s="468"/>
      <c r="PVA57" s="468"/>
      <c r="PVB57" s="468"/>
      <c r="PVC57" s="468"/>
      <c r="PVD57" s="468"/>
      <c r="PVE57" s="468"/>
      <c r="PVF57" s="468"/>
      <c r="PVG57" s="468"/>
      <c r="PVH57" s="468"/>
      <c r="PVI57" s="468"/>
      <c r="PVJ57" s="468"/>
      <c r="PVK57" s="468"/>
      <c r="PVL57" s="468"/>
      <c r="PVM57" s="468"/>
      <c r="PVN57" s="468"/>
      <c r="PVO57" s="468"/>
      <c r="PVP57" s="468"/>
      <c r="PVQ57" s="468"/>
      <c r="PVR57" s="468"/>
      <c r="PVS57" s="468"/>
      <c r="PVT57" s="468"/>
      <c r="PVU57" s="468"/>
      <c r="PVV57" s="468"/>
      <c r="PVW57" s="468"/>
      <c r="PVX57" s="468"/>
      <c r="PVY57" s="468"/>
      <c r="PVZ57" s="468"/>
      <c r="PWA57" s="468"/>
      <c r="PWB57" s="468"/>
      <c r="PWC57" s="468"/>
      <c r="PWD57" s="468"/>
      <c r="PWE57" s="468"/>
      <c r="PWF57" s="468"/>
      <c r="PWG57" s="468"/>
      <c r="PWH57" s="468"/>
      <c r="PWI57" s="468"/>
      <c r="PWJ57" s="468"/>
      <c r="PWK57" s="468"/>
      <c r="PWL57" s="468"/>
      <c r="PWM57" s="468"/>
      <c r="PWN57" s="468"/>
      <c r="PWO57" s="468"/>
      <c r="PWP57" s="468"/>
      <c r="PWQ57" s="468"/>
      <c r="PWR57" s="468"/>
      <c r="PWS57" s="468"/>
      <c r="PWT57" s="468"/>
      <c r="PWU57" s="468"/>
      <c r="PWV57" s="468"/>
      <c r="PWW57" s="468"/>
      <c r="PWX57" s="468"/>
      <c r="PWY57" s="468"/>
      <c r="PWZ57" s="468"/>
      <c r="PXA57" s="468"/>
      <c r="PXB57" s="468"/>
      <c r="PXC57" s="468"/>
      <c r="PXD57" s="468"/>
      <c r="PXE57" s="468"/>
      <c r="PXF57" s="468"/>
      <c r="PXG57" s="468"/>
      <c r="PXH57" s="468"/>
      <c r="PXI57" s="468"/>
      <c r="PXJ57" s="468"/>
      <c r="PXK57" s="468"/>
      <c r="PXL57" s="468"/>
      <c r="PXM57" s="468"/>
      <c r="PXN57" s="468"/>
      <c r="PXO57" s="468"/>
      <c r="PXP57" s="468"/>
      <c r="PXQ57" s="468"/>
      <c r="PXR57" s="468"/>
      <c r="PXS57" s="468"/>
      <c r="PXT57" s="468"/>
      <c r="PXU57" s="468"/>
      <c r="PXV57" s="468"/>
      <c r="PXW57" s="468"/>
      <c r="PXX57" s="468"/>
      <c r="PXY57" s="468"/>
      <c r="PXZ57" s="468"/>
      <c r="PYA57" s="468"/>
      <c r="PYB57" s="468"/>
      <c r="PYC57" s="468"/>
      <c r="PYD57" s="468"/>
      <c r="PYE57" s="468"/>
      <c r="PYF57" s="468"/>
      <c r="PYG57" s="468"/>
      <c r="PYH57" s="468"/>
      <c r="PYI57" s="468"/>
      <c r="PYJ57" s="468"/>
      <c r="PYK57" s="468"/>
      <c r="PYL57" s="468"/>
      <c r="PYM57" s="468"/>
      <c r="PYN57" s="468"/>
      <c r="PYO57" s="468"/>
      <c r="PYP57" s="468"/>
      <c r="PYQ57" s="468"/>
      <c r="PYR57" s="468"/>
      <c r="PYS57" s="468"/>
      <c r="PYT57" s="468"/>
      <c r="PYU57" s="468"/>
      <c r="PYV57" s="468"/>
      <c r="PYW57" s="468"/>
      <c r="PYX57" s="468"/>
      <c r="PYY57" s="468"/>
      <c r="PYZ57" s="468"/>
      <c r="PZA57" s="468"/>
      <c r="PZB57" s="468"/>
      <c r="PZC57" s="468"/>
      <c r="PZD57" s="468"/>
      <c r="PZE57" s="468"/>
      <c r="PZF57" s="468"/>
      <c r="PZG57" s="468"/>
      <c r="PZH57" s="468"/>
      <c r="PZI57" s="468"/>
      <c r="PZJ57" s="468"/>
      <c r="PZK57" s="468"/>
      <c r="PZL57" s="468"/>
      <c r="PZM57" s="468"/>
      <c r="PZN57" s="468"/>
      <c r="PZO57" s="468"/>
      <c r="PZP57" s="468"/>
      <c r="PZQ57" s="468"/>
      <c r="PZR57" s="468"/>
      <c r="PZS57" s="468"/>
      <c r="PZT57" s="468"/>
      <c r="PZU57" s="468"/>
      <c r="PZV57" s="468"/>
      <c r="PZW57" s="468"/>
      <c r="PZX57" s="468"/>
      <c r="PZY57" s="468"/>
      <c r="PZZ57" s="468"/>
      <c r="QAA57" s="468"/>
      <c r="QAB57" s="468"/>
      <c r="QAC57" s="468"/>
      <c r="QAD57" s="468"/>
      <c r="QAE57" s="468"/>
      <c r="QAF57" s="468"/>
      <c r="QAG57" s="468"/>
      <c r="QAH57" s="468"/>
      <c r="QAI57" s="468"/>
      <c r="QAJ57" s="468"/>
      <c r="QAK57" s="468"/>
      <c r="QAL57" s="468"/>
      <c r="QAM57" s="468"/>
      <c r="QAN57" s="468"/>
      <c r="QAO57" s="468"/>
      <c r="QAP57" s="468"/>
      <c r="QAQ57" s="468"/>
      <c r="QAR57" s="468"/>
      <c r="QAS57" s="468"/>
      <c r="QAT57" s="468"/>
      <c r="QAU57" s="468"/>
      <c r="QAV57" s="468"/>
      <c r="QAW57" s="468"/>
      <c r="QAX57" s="468"/>
      <c r="QAY57" s="468"/>
      <c r="QAZ57" s="468"/>
      <c r="QBA57" s="468"/>
      <c r="QBB57" s="468"/>
      <c r="QBC57" s="468"/>
      <c r="QBD57" s="468"/>
      <c r="QBE57" s="468"/>
      <c r="QBF57" s="468"/>
      <c r="QBG57" s="468"/>
      <c r="QBH57" s="468"/>
      <c r="QBI57" s="468"/>
      <c r="QBJ57" s="468"/>
      <c r="QBK57" s="468"/>
      <c r="QBL57" s="468"/>
      <c r="QBM57" s="468"/>
      <c r="QBN57" s="468"/>
      <c r="QBO57" s="468"/>
      <c r="QBP57" s="468"/>
      <c r="QBQ57" s="468"/>
      <c r="QBR57" s="468"/>
      <c r="QBS57" s="468"/>
      <c r="QBT57" s="468"/>
      <c r="QBU57" s="468"/>
      <c r="QBV57" s="468"/>
      <c r="QBW57" s="468"/>
      <c r="QBX57" s="468"/>
      <c r="QBY57" s="468"/>
      <c r="QBZ57" s="468"/>
      <c r="QCA57" s="468"/>
      <c r="QCB57" s="468"/>
      <c r="QCC57" s="468"/>
      <c r="QCD57" s="468"/>
      <c r="QCE57" s="468"/>
      <c r="QCF57" s="468"/>
      <c r="QCG57" s="468"/>
      <c r="QCH57" s="468"/>
      <c r="QCI57" s="468"/>
      <c r="QCJ57" s="468"/>
      <c r="QCK57" s="468"/>
      <c r="QCL57" s="468"/>
      <c r="QCM57" s="468"/>
      <c r="QCN57" s="468"/>
      <c r="QCO57" s="468"/>
      <c r="QCP57" s="468"/>
      <c r="QCQ57" s="468"/>
      <c r="QCR57" s="468"/>
      <c r="QCS57" s="468"/>
      <c r="QCT57" s="468"/>
      <c r="QCU57" s="468"/>
      <c r="QCV57" s="468"/>
      <c r="QCW57" s="468"/>
      <c r="QCX57" s="468"/>
      <c r="QCY57" s="468"/>
      <c r="QCZ57" s="468"/>
      <c r="QDA57" s="468"/>
      <c r="QDB57" s="468"/>
      <c r="QDC57" s="468"/>
      <c r="QDD57" s="468"/>
      <c r="QDE57" s="468"/>
      <c r="QDF57" s="468"/>
      <c r="QDG57" s="468"/>
      <c r="QDH57" s="468"/>
      <c r="QDI57" s="468"/>
      <c r="QDJ57" s="468"/>
      <c r="QDK57" s="468"/>
      <c r="QDL57" s="468"/>
      <c r="QDM57" s="468"/>
      <c r="QDN57" s="468"/>
      <c r="QDO57" s="468"/>
      <c r="QDP57" s="468"/>
      <c r="QDQ57" s="468"/>
      <c r="QDR57" s="468"/>
      <c r="QDS57" s="468"/>
      <c r="QDT57" s="468"/>
      <c r="QDU57" s="468"/>
      <c r="QDV57" s="468"/>
      <c r="QDW57" s="468"/>
      <c r="QDX57" s="468"/>
      <c r="QDY57" s="468"/>
      <c r="QDZ57" s="468"/>
      <c r="QEA57" s="468"/>
      <c r="QEB57" s="468"/>
      <c r="QEC57" s="468"/>
      <c r="QED57" s="468"/>
      <c r="QEE57" s="468"/>
      <c r="QEF57" s="468"/>
      <c r="QEG57" s="468"/>
      <c r="QEH57" s="468"/>
      <c r="QEI57" s="468"/>
      <c r="QEJ57" s="468"/>
      <c r="QEK57" s="468"/>
      <c r="QEL57" s="468"/>
      <c r="QEM57" s="468"/>
      <c r="QEN57" s="468"/>
      <c r="QEO57" s="468"/>
      <c r="QEP57" s="468"/>
      <c r="QEQ57" s="468"/>
      <c r="QER57" s="468"/>
      <c r="QES57" s="468"/>
      <c r="QET57" s="468"/>
      <c r="QEU57" s="468"/>
      <c r="QEV57" s="468"/>
      <c r="QEW57" s="468"/>
      <c r="QEX57" s="468"/>
      <c r="QEY57" s="468"/>
      <c r="QEZ57" s="468"/>
      <c r="QFA57" s="468"/>
      <c r="QFB57" s="468"/>
      <c r="QFC57" s="468"/>
      <c r="QFD57" s="468"/>
      <c r="QFE57" s="468"/>
      <c r="QFF57" s="468"/>
      <c r="QFG57" s="468"/>
      <c r="QFH57" s="468"/>
      <c r="QFI57" s="468"/>
      <c r="QFJ57" s="468"/>
      <c r="QFK57" s="468"/>
      <c r="QFL57" s="468"/>
      <c r="QFM57" s="468"/>
      <c r="QFN57" s="468"/>
      <c r="QFO57" s="468"/>
      <c r="QFP57" s="468"/>
      <c r="QFQ57" s="468"/>
      <c r="QFR57" s="468"/>
      <c r="QFS57" s="468"/>
      <c r="QFT57" s="468"/>
      <c r="QFU57" s="468"/>
      <c r="QFV57" s="468"/>
      <c r="QFW57" s="468"/>
      <c r="QFX57" s="468"/>
      <c r="QFY57" s="468"/>
      <c r="QFZ57" s="468"/>
      <c r="QGA57" s="468"/>
      <c r="QGB57" s="468"/>
      <c r="QGC57" s="468"/>
      <c r="QGD57" s="468"/>
      <c r="QGE57" s="468"/>
      <c r="QGF57" s="468"/>
      <c r="QGG57" s="468"/>
      <c r="QGH57" s="468"/>
      <c r="QGI57" s="468"/>
      <c r="QGJ57" s="468"/>
      <c r="QGK57" s="468"/>
      <c r="QGL57" s="468"/>
      <c r="QGM57" s="468"/>
      <c r="QGN57" s="468"/>
      <c r="QGO57" s="468"/>
      <c r="QGP57" s="468"/>
      <c r="QGQ57" s="468"/>
      <c r="QGR57" s="468"/>
      <c r="QGS57" s="468"/>
      <c r="QGT57" s="468"/>
      <c r="QGU57" s="468"/>
      <c r="QGV57" s="468"/>
      <c r="QGW57" s="468"/>
      <c r="QGX57" s="468"/>
      <c r="QGY57" s="468"/>
      <c r="QGZ57" s="468"/>
      <c r="QHA57" s="468"/>
      <c r="QHB57" s="468"/>
      <c r="QHC57" s="468"/>
      <c r="QHD57" s="468"/>
      <c r="QHE57" s="468"/>
      <c r="QHF57" s="468"/>
      <c r="QHG57" s="468"/>
      <c r="QHH57" s="468"/>
      <c r="QHI57" s="468"/>
      <c r="QHJ57" s="468"/>
      <c r="QHK57" s="468"/>
      <c r="QHL57" s="468"/>
      <c r="QHM57" s="468"/>
      <c r="QHN57" s="468"/>
      <c r="QHO57" s="468"/>
      <c r="QHP57" s="468"/>
      <c r="QHQ57" s="468"/>
      <c r="QHR57" s="468"/>
      <c r="QHS57" s="468"/>
      <c r="QHT57" s="468"/>
      <c r="QHU57" s="468"/>
      <c r="QHV57" s="468"/>
      <c r="QHW57" s="468"/>
      <c r="QHX57" s="468"/>
      <c r="QHY57" s="468"/>
      <c r="QHZ57" s="468"/>
      <c r="QIA57" s="468"/>
      <c r="QIB57" s="468"/>
      <c r="QIC57" s="468"/>
      <c r="QID57" s="468"/>
      <c r="QIE57" s="468"/>
      <c r="QIF57" s="468"/>
      <c r="QIG57" s="468"/>
      <c r="QIH57" s="468"/>
      <c r="QII57" s="468"/>
      <c r="QIJ57" s="468"/>
      <c r="QIK57" s="468"/>
      <c r="QIL57" s="468"/>
      <c r="QIM57" s="468"/>
      <c r="QIN57" s="468"/>
      <c r="QIO57" s="468"/>
      <c r="QIP57" s="468"/>
      <c r="QIQ57" s="468"/>
      <c r="QIR57" s="468"/>
      <c r="QIS57" s="468"/>
      <c r="QIT57" s="468"/>
      <c r="QIU57" s="468"/>
      <c r="QIV57" s="468"/>
      <c r="QIW57" s="468"/>
      <c r="QIX57" s="468"/>
      <c r="QIY57" s="468"/>
      <c r="QIZ57" s="468"/>
      <c r="QJA57" s="468"/>
      <c r="QJB57" s="468"/>
      <c r="QJC57" s="468"/>
      <c r="QJD57" s="468"/>
      <c r="QJE57" s="468"/>
      <c r="QJF57" s="468"/>
      <c r="QJG57" s="468"/>
      <c r="QJH57" s="468"/>
      <c r="QJI57" s="468"/>
      <c r="QJJ57" s="468"/>
      <c r="QJK57" s="468"/>
      <c r="QJL57" s="468"/>
      <c r="QJM57" s="468"/>
      <c r="QJN57" s="468"/>
      <c r="QJO57" s="468"/>
      <c r="QJP57" s="468"/>
      <c r="QJQ57" s="468"/>
      <c r="QJR57" s="468"/>
      <c r="QJS57" s="468"/>
      <c r="QJT57" s="468"/>
      <c r="QJU57" s="468"/>
      <c r="QJV57" s="468"/>
      <c r="QJW57" s="468"/>
      <c r="QJX57" s="468"/>
      <c r="QJY57" s="468"/>
      <c r="QJZ57" s="468"/>
      <c r="QKA57" s="468"/>
      <c r="QKB57" s="468"/>
      <c r="QKC57" s="468"/>
      <c r="QKD57" s="468"/>
      <c r="QKE57" s="468"/>
      <c r="QKF57" s="468"/>
      <c r="QKG57" s="468"/>
      <c r="QKH57" s="468"/>
      <c r="QKI57" s="468"/>
      <c r="QKJ57" s="468"/>
      <c r="QKK57" s="468"/>
      <c r="QKL57" s="468"/>
      <c r="QKM57" s="468"/>
      <c r="QKN57" s="468"/>
      <c r="QKO57" s="468"/>
      <c r="QKP57" s="468"/>
      <c r="QKQ57" s="468"/>
      <c r="QKR57" s="468"/>
      <c r="QKS57" s="468"/>
      <c r="QKT57" s="468"/>
      <c r="QKU57" s="468"/>
      <c r="QKV57" s="468"/>
      <c r="QKW57" s="468"/>
      <c r="QKX57" s="468"/>
      <c r="QKY57" s="468"/>
      <c r="QKZ57" s="468"/>
      <c r="QLA57" s="468"/>
      <c r="QLB57" s="468"/>
      <c r="QLC57" s="468"/>
      <c r="QLD57" s="468"/>
      <c r="QLE57" s="468"/>
      <c r="QLF57" s="468"/>
      <c r="QLG57" s="468"/>
      <c r="QLH57" s="468"/>
      <c r="QLI57" s="468"/>
      <c r="QLJ57" s="468"/>
      <c r="QLK57" s="468"/>
      <c r="QLL57" s="468"/>
      <c r="QLM57" s="468"/>
      <c r="QLN57" s="468"/>
      <c r="QLO57" s="468"/>
      <c r="QLP57" s="468"/>
      <c r="QLQ57" s="468"/>
      <c r="QLR57" s="468"/>
      <c r="QLS57" s="468"/>
      <c r="QLT57" s="468"/>
      <c r="QLU57" s="468"/>
      <c r="QLV57" s="468"/>
      <c r="QLW57" s="468"/>
      <c r="QLX57" s="468"/>
      <c r="QLY57" s="468"/>
      <c r="QLZ57" s="468"/>
      <c r="QMA57" s="468"/>
      <c r="QMB57" s="468"/>
      <c r="QMC57" s="468"/>
      <c r="QMD57" s="468"/>
      <c r="QME57" s="468"/>
      <c r="QMF57" s="468"/>
      <c r="QMG57" s="468"/>
      <c r="QMH57" s="468"/>
      <c r="QMI57" s="468"/>
      <c r="QMJ57" s="468"/>
      <c r="QMK57" s="468"/>
      <c r="QML57" s="468"/>
      <c r="QMM57" s="468"/>
      <c r="QMN57" s="468"/>
      <c r="QMO57" s="468"/>
      <c r="QMP57" s="468"/>
      <c r="QMQ57" s="468"/>
      <c r="QMR57" s="468"/>
      <c r="QMS57" s="468"/>
      <c r="QMT57" s="468"/>
      <c r="QMU57" s="468"/>
      <c r="QMV57" s="468"/>
      <c r="QMW57" s="468"/>
      <c r="QMX57" s="468"/>
      <c r="QMY57" s="468"/>
      <c r="QMZ57" s="468"/>
      <c r="QNA57" s="468"/>
      <c r="QNB57" s="468"/>
      <c r="QNC57" s="468"/>
      <c r="QND57" s="468"/>
      <c r="QNE57" s="468"/>
      <c r="QNF57" s="468"/>
      <c r="QNG57" s="468"/>
      <c r="QNH57" s="468"/>
      <c r="QNI57" s="468"/>
      <c r="QNJ57" s="468"/>
      <c r="QNK57" s="468"/>
      <c r="QNL57" s="468"/>
      <c r="QNM57" s="468"/>
      <c r="QNN57" s="468"/>
      <c r="QNO57" s="468"/>
      <c r="QNP57" s="468"/>
      <c r="QNQ57" s="468"/>
      <c r="QNR57" s="468"/>
      <c r="QNS57" s="468"/>
      <c r="QNT57" s="468"/>
      <c r="QNU57" s="468"/>
      <c r="QNV57" s="468"/>
      <c r="QNW57" s="468"/>
      <c r="QNX57" s="468"/>
      <c r="QNY57" s="468"/>
      <c r="QNZ57" s="468"/>
      <c r="QOA57" s="468"/>
      <c r="QOB57" s="468"/>
      <c r="QOC57" s="468"/>
      <c r="QOD57" s="468"/>
      <c r="QOE57" s="468"/>
      <c r="QOF57" s="468"/>
      <c r="QOG57" s="468"/>
      <c r="QOH57" s="468"/>
      <c r="QOI57" s="468"/>
      <c r="QOJ57" s="468"/>
      <c r="QOK57" s="468"/>
      <c r="QOL57" s="468"/>
      <c r="QOM57" s="468"/>
      <c r="QON57" s="468"/>
      <c r="QOO57" s="468"/>
      <c r="QOP57" s="468"/>
      <c r="QOQ57" s="468"/>
      <c r="QOR57" s="468"/>
      <c r="QOS57" s="468"/>
      <c r="QOT57" s="468"/>
      <c r="QOU57" s="468"/>
      <c r="QOV57" s="468"/>
      <c r="QOW57" s="468"/>
      <c r="QOX57" s="468"/>
      <c r="QOY57" s="468"/>
      <c r="QOZ57" s="468"/>
      <c r="QPA57" s="468"/>
      <c r="QPB57" s="468"/>
      <c r="QPC57" s="468"/>
      <c r="QPD57" s="468"/>
      <c r="QPE57" s="468"/>
      <c r="QPF57" s="468"/>
      <c r="QPG57" s="468"/>
      <c r="QPH57" s="468"/>
      <c r="QPI57" s="468"/>
      <c r="QPJ57" s="468"/>
      <c r="QPK57" s="468"/>
      <c r="QPL57" s="468"/>
      <c r="QPM57" s="468"/>
      <c r="QPN57" s="468"/>
      <c r="QPO57" s="468"/>
      <c r="QPP57" s="468"/>
      <c r="QPQ57" s="468"/>
      <c r="QPR57" s="468"/>
      <c r="QPS57" s="468"/>
      <c r="QPT57" s="468"/>
      <c r="QPU57" s="468"/>
      <c r="QPV57" s="468"/>
      <c r="QPW57" s="468"/>
      <c r="QPX57" s="468"/>
      <c r="QPY57" s="468"/>
      <c r="QPZ57" s="468"/>
      <c r="QQA57" s="468"/>
      <c r="QQB57" s="468"/>
      <c r="QQC57" s="468"/>
      <c r="QQD57" s="468"/>
      <c r="QQE57" s="468"/>
      <c r="QQF57" s="468"/>
      <c r="QQG57" s="468"/>
      <c r="QQH57" s="468"/>
      <c r="QQI57" s="468"/>
      <c r="QQJ57" s="468"/>
      <c r="QQK57" s="468"/>
      <c r="QQL57" s="468"/>
      <c r="QQM57" s="468"/>
      <c r="QQN57" s="468"/>
      <c r="QQO57" s="468"/>
      <c r="QQP57" s="468"/>
      <c r="QQQ57" s="468"/>
      <c r="QQR57" s="468"/>
      <c r="QQS57" s="468"/>
      <c r="QQT57" s="468"/>
      <c r="QQU57" s="468"/>
      <c r="QQV57" s="468"/>
      <c r="QQW57" s="468"/>
      <c r="QQX57" s="468"/>
      <c r="QQY57" s="468"/>
      <c r="QQZ57" s="468"/>
      <c r="QRA57" s="468"/>
      <c r="QRB57" s="468"/>
      <c r="QRC57" s="468"/>
      <c r="QRD57" s="468"/>
      <c r="QRE57" s="468"/>
      <c r="QRF57" s="468"/>
      <c r="QRG57" s="468"/>
      <c r="QRH57" s="468"/>
      <c r="QRI57" s="468"/>
      <c r="QRJ57" s="468"/>
      <c r="QRK57" s="468"/>
      <c r="QRL57" s="468"/>
      <c r="QRM57" s="468"/>
      <c r="QRN57" s="468"/>
      <c r="QRO57" s="468"/>
      <c r="QRP57" s="468"/>
      <c r="QRQ57" s="468"/>
      <c r="QRR57" s="468"/>
      <c r="QRS57" s="468"/>
      <c r="QRT57" s="468"/>
      <c r="QRU57" s="468"/>
      <c r="QRV57" s="468"/>
      <c r="QRW57" s="468"/>
      <c r="QRX57" s="468"/>
      <c r="QRY57" s="468"/>
      <c r="QRZ57" s="468"/>
      <c r="QSA57" s="468"/>
      <c r="QSB57" s="468"/>
      <c r="QSC57" s="468"/>
      <c r="QSD57" s="468"/>
      <c r="QSE57" s="468"/>
      <c r="QSF57" s="468"/>
      <c r="QSG57" s="468"/>
      <c r="QSH57" s="468"/>
      <c r="QSI57" s="468"/>
      <c r="QSJ57" s="468"/>
      <c r="QSK57" s="468"/>
      <c r="QSL57" s="468"/>
      <c r="QSM57" s="468"/>
      <c r="QSN57" s="468"/>
      <c r="QSO57" s="468"/>
      <c r="QSP57" s="468"/>
      <c r="QSQ57" s="468"/>
      <c r="QSR57" s="468"/>
      <c r="QSS57" s="468"/>
      <c r="QST57" s="468"/>
      <c r="QSU57" s="468"/>
      <c r="QSV57" s="468"/>
      <c r="QSW57" s="468"/>
      <c r="QSX57" s="468"/>
      <c r="QSY57" s="468"/>
      <c r="QSZ57" s="468"/>
      <c r="QTA57" s="468"/>
      <c r="QTB57" s="468"/>
      <c r="QTC57" s="468"/>
      <c r="QTD57" s="468"/>
      <c r="QTE57" s="468"/>
      <c r="QTF57" s="468"/>
      <c r="QTG57" s="468"/>
      <c r="QTH57" s="468"/>
      <c r="QTI57" s="468"/>
      <c r="QTJ57" s="468"/>
      <c r="QTK57" s="468"/>
      <c r="QTL57" s="468"/>
      <c r="QTM57" s="468"/>
      <c r="QTN57" s="468"/>
      <c r="QTO57" s="468"/>
      <c r="QTP57" s="468"/>
      <c r="QTQ57" s="468"/>
      <c r="QTR57" s="468"/>
      <c r="QTS57" s="468"/>
      <c r="QTT57" s="468"/>
      <c r="QTU57" s="468"/>
      <c r="QTV57" s="468"/>
      <c r="QTW57" s="468"/>
      <c r="QTX57" s="468"/>
      <c r="QTY57" s="468"/>
      <c r="QTZ57" s="468"/>
      <c r="QUA57" s="468"/>
      <c r="QUB57" s="468"/>
      <c r="QUC57" s="468"/>
      <c r="QUD57" s="468"/>
      <c r="QUE57" s="468"/>
      <c r="QUF57" s="468"/>
      <c r="QUG57" s="468"/>
      <c r="QUH57" s="468"/>
      <c r="QUI57" s="468"/>
      <c r="QUJ57" s="468"/>
      <c r="QUK57" s="468"/>
      <c r="QUL57" s="468"/>
      <c r="QUM57" s="468"/>
      <c r="QUN57" s="468"/>
      <c r="QUO57" s="468"/>
      <c r="QUP57" s="468"/>
      <c r="QUQ57" s="468"/>
      <c r="QUR57" s="468"/>
      <c r="QUS57" s="468"/>
      <c r="QUT57" s="468"/>
      <c r="QUU57" s="468"/>
      <c r="QUV57" s="468"/>
      <c r="QUW57" s="468"/>
      <c r="QUX57" s="468"/>
      <c r="QUY57" s="468"/>
      <c r="QUZ57" s="468"/>
      <c r="QVA57" s="468"/>
      <c r="QVB57" s="468"/>
      <c r="QVC57" s="468"/>
      <c r="QVD57" s="468"/>
      <c r="QVE57" s="468"/>
      <c r="QVF57" s="468"/>
      <c r="QVG57" s="468"/>
      <c r="QVH57" s="468"/>
      <c r="QVI57" s="468"/>
      <c r="QVJ57" s="468"/>
      <c r="QVK57" s="468"/>
      <c r="QVL57" s="468"/>
      <c r="QVM57" s="468"/>
      <c r="QVN57" s="468"/>
      <c r="QVO57" s="468"/>
      <c r="QVP57" s="468"/>
      <c r="QVQ57" s="468"/>
      <c r="QVR57" s="468"/>
      <c r="QVS57" s="468"/>
      <c r="QVT57" s="468"/>
      <c r="QVU57" s="468"/>
      <c r="QVV57" s="468"/>
      <c r="QVW57" s="468"/>
      <c r="QVX57" s="468"/>
      <c r="QVY57" s="468"/>
      <c r="QVZ57" s="468"/>
      <c r="QWA57" s="468"/>
      <c r="QWB57" s="468"/>
      <c r="QWC57" s="468"/>
      <c r="QWD57" s="468"/>
      <c r="QWE57" s="468"/>
      <c r="QWF57" s="468"/>
      <c r="QWG57" s="468"/>
      <c r="QWH57" s="468"/>
      <c r="QWI57" s="468"/>
      <c r="QWJ57" s="468"/>
      <c r="QWK57" s="468"/>
      <c r="QWL57" s="468"/>
      <c r="QWM57" s="468"/>
      <c r="QWN57" s="468"/>
      <c r="QWO57" s="468"/>
      <c r="QWP57" s="468"/>
      <c r="QWQ57" s="468"/>
      <c r="QWR57" s="468"/>
      <c r="QWS57" s="468"/>
      <c r="QWT57" s="468"/>
      <c r="QWU57" s="468"/>
      <c r="QWV57" s="468"/>
      <c r="QWW57" s="468"/>
      <c r="QWX57" s="468"/>
      <c r="QWY57" s="468"/>
      <c r="QWZ57" s="468"/>
      <c r="QXA57" s="468"/>
      <c r="QXB57" s="468"/>
      <c r="QXC57" s="468"/>
      <c r="QXD57" s="468"/>
      <c r="QXE57" s="468"/>
      <c r="QXF57" s="468"/>
      <c r="QXG57" s="468"/>
      <c r="QXH57" s="468"/>
      <c r="QXI57" s="468"/>
      <c r="QXJ57" s="468"/>
      <c r="QXK57" s="468"/>
      <c r="QXL57" s="468"/>
      <c r="QXM57" s="468"/>
      <c r="QXN57" s="468"/>
      <c r="QXO57" s="468"/>
      <c r="QXP57" s="468"/>
      <c r="QXQ57" s="468"/>
      <c r="QXR57" s="468"/>
      <c r="QXS57" s="468"/>
      <c r="QXT57" s="468"/>
      <c r="QXU57" s="468"/>
      <c r="QXV57" s="468"/>
      <c r="QXW57" s="468"/>
      <c r="QXX57" s="468"/>
      <c r="QXY57" s="468"/>
      <c r="QXZ57" s="468"/>
      <c r="QYA57" s="468"/>
      <c r="QYB57" s="468"/>
      <c r="QYC57" s="468"/>
      <c r="QYD57" s="468"/>
      <c r="QYE57" s="468"/>
      <c r="QYF57" s="468"/>
      <c r="QYG57" s="468"/>
      <c r="QYH57" s="468"/>
      <c r="QYI57" s="468"/>
      <c r="QYJ57" s="468"/>
      <c r="QYK57" s="468"/>
      <c r="QYL57" s="468"/>
      <c r="QYM57" s="468"/>
      <c r="QYN57" s="468"/>
      <c r="QYO57" s="468"/>
      <c r="QYP57" s="468"/>
      <c r="QYQ57" s="468"/>
      <c r="QYR57" s="468"/>
      <c r="QYS57" s="468"/>
      <c r="QYT57" s="468"/>
      <c r="QYU57" s="468"/>
      <c r="QYV57" s="468"/>
      <c r="QYW57" s="468"/>
      <c r="QYX57" s="468"/>
      <c r="QYY57" s="468"/>
      <c r="QYZ57" s="468"/>
      <c r="QZA57" s="468"/>
      <c r="QZB57" s="468"/>
      <c r="QZC57" s="468"/>
      <c r="QZD57" s="468"/>
      <c r="QZE57" s="468"/>
      <c r="QZF57" s="468"/>
      <c r="QZG57" s="468"/>
      <c r="QZH57" s="468"/>
      <c r="QZI57" s="468"/>
      <c r="QZJ57" s="468"/>
      <c r="QZK57" s="468"/>
      <c r="QZL57" s="468"/>
      <c r="QZM57" s="468"/>
      <c r="QZN57" s="468"/>
      <c r="QZO57" s="468"/>
      <c r="QZP57" s="468"/>
      <c r="QZQ57" s="468"/>
      <c r="QZR57" s="468"/>
      <c r="QZS57" s="468"/>
      <c r="QZT57" s="468"/>
      <c r="QZU57" s="468"/>
      <c r="QZV57" s="468"/>
      <c r="QZW57" s="468"/>
      <c r="QZX57" s="468"/>
      <c r="QZY57" s="468"/>
      <c r="QZZ57" s="468"/>
      <c r="RAA57" s="468"/>
      <c r="RAB57" s="468"/>
      <c r="RAC57" s="468"/>
      <c r="RAD57" s="468"/>
      <c r="RAE57" s="468"/>
      <c r="RAF57" s="468"/>
      <c r="RAG57" s="468"/>
      <c r="RAH57" s="468"/>
      <c r="RAI57" s="468"/>
      <c r="RAJ57" s="468"/>
      <c r="RAK57" s="468"/>
      <c r="RAL57" s="468"/>
      <c r="RAM57" s="468"/>
      <c r="RAN57" s="468"/>
      <c r="RAO57" s="468"/>
      <c r="RAP57" s="468"/>
      <c r="RAQ57" s="468"/>
      <c r="RAR57" s="468"/>
      <c r="RAS57" s="468"/>
      <c r="RAT57" s="468"/>
      <c r="RAU57" s="468"/>
      <c r="RAV57" s="468"/>
      <c r="RAW57" s="468"/>
      <c r="RAX57" s="468"/>
      <c r="RAY57" s="468"/>
      <c r="RAZ57" s="468"/>
      <c r="RBA57" s="468"/>
      <c r="RBB57" s="468"/>
      <c r="RBC57" s="468"/>
      <c r="RBD57" s="468"/>
      <c r="RBE57" s="468"/>
      <c r="RBF57" s="468"/>
      <c r="RBG57" s="468"/>
      <c r="RBH57" s="468"/>
      <c r="RBI57" s="468"/>
      <c r="RBJ57" s="468"/>
      <c r="RBK57" s="468"/>
      <c r="RBL57" s="468"/>
      <c r="RBM57" s="468"/>
      <c r="RBN57" s="468"/>
      <c r="RBO57" s="468"/>
      <c r="RBP57" s="468"/>
      <c r="RBQ57" s="468"/>
      <c r="RBR57" s="468"/>
      <c r="RBS57" s="468"/>
      <c r="RBT57" s="468"/>
      <c r="RBU57" s="468"/>
      <c r="RBV57" s="468"/>
      <c r="RBW57" s="468"/>
      <c r="RBX57" s="468"/>
      <c r="RBY57" s="468"/>
      <c r="RBZ57" s="468"/>
      <c r="RCA57" s="468"/>
      <c r="RCB57" s="468"/>
      <c r="RCC57" s="468"/>
      <c r="RCD57" s="468"/>
      <c r="RCE57" s="468"/>
      <c r="RCF57" s="468"/>
      <c r="RCG57" s="468"/>
      <c r="RCH57" s="468"/>
      <c r="RCI57" s="468"/>
      <c r="RCJ57" s="468"/>
      <c r="RCK57" s="468"/>
      <c r="RCL57" s="468"/>
      <c r="RCM57" s="468"/>
      <c r="RCN57" s="468"/>
      <c r="RCO57" s="468"/>
      <c r="RCP57" s="468"/>
      <c r="RCQ57" s="468"/>
      <c r="RCR57" s="468"/>
      <c r="RCS57" s="468"/>
      <c r="RCT57" s="468"/>
      <c r="RCU57" s="468"/>
      <c r="RCV57" s="468"/>
      <c r="RCW57" s="468"/>
      <c r="RCX57" s="468"/>
      <c r="RCY57" s="468"/>
      <c r="RCZ57" s="468"/>
      <c r="RDA57" s="468"/>
      <c r="RDB57" s="468"/>
      <c r="RDC57" s="468"/>
      <c r="RDD57" s="468"/>
      <c r="RDE57" s="468"/>
      <c r="RDF57" s="468"/>
      <c r="RDG57" s="468"/>
      <c r="RDH57" s="468"/>
      <c r="RDI57" s="468"/>
      <c r="RDJ57" s="468"/>
      <c r="RDK57" s="468"/>
      <c r="RDL57" s="468"/>
      <c r="RDM57" s="468"/>
      <c r="RDN57" s="468"/>
      <c r="RDO57" s="468"/>
      <c r="RDP57" s="468"/>
      <c r="RDQ57" s="468"/>
      <c r="RDR57" s="468"/>
      <c r="RDS57" s="468"/>
      <c r="RDT57" s="468"/>
      <c r="RDU57" s="468"/>
      <c r="RDV57" s="468"/>
      <c r="RDW57" s="468"/>
      <c r="RDX57" s="468"/>
      <c r="RDY57" s="468"/>
      <c r="RDZ57" s="468"/>
      <c r="REA57" s="468"/>
      <c r="REB57" s="468"/>
      <c r="REC57" s="468"/>
      <c r="RED57" s="468"/>
      <c r="REE57" s="468"/>
      <c r="REF57" s="468"/>
      <c r="REG57" s="468"/>
      <c r="REH57" s="468"/>
      <c r="REI57" s="468"/>
      <c r="REJ57" s="468"/>
      <c r="REK57" s="468"/>
      <c r="REL57" s="468"/>
      <c r="REM57" s="468"/>
      <c r="REN57" s="468"/>
      <c r="REO57" s="468"/>
      <c r="REP57" s="468"/>
      <c r="REQ57" s="468"/>
      <c r="RER57" s="468"/>
      <c r="RES57" s="468"/>
      <c r="RET57" s="468"/>
      <c r="REU57" s="468"/>
      <c r="REV57" s="468"/>
      <c r="REW57" s="468"/>
      <c r="REX57" s="468"/>
      <c r="REY57" s="468"/>
      <c r="REZ57" s="468"/>
      <c r="RFA57" s="468"/>
      <c r="RFB57" s="468"/>
      <c r="RFC57" s="468"/>
      <c r="RFD57" s="468"/>
      <c r="RFE57" s="468"/>
      <c r="RFF57" s="468"/>
      <c r="RFG57" s="468"/>
      <c r="RFH57" s="468"/>
      <c r="RFI57" s="468"/>
      <c r="RFJ57" s="468"/>
      <c r="RFK57" s="468"/>
      <c r="RFL57" s="468"/>
      <c r="RFM57" s="468"/>
      <c r="RFN57" s="468"/>
      <c r="RFO57" s="468"/>
      <c r="RFP57" s="468"/>
      <c r="RFQ57" s="468"/>
      <c r="RFR57" s="468"/>
      <c r="RFS57" s="468"/>
      <c r="RFT57" s="468"/>
      <c r="RFU57" s="468"/>
      <c r="RFV57" s="468"/>
      <c r="RFW57" s="468"/>
      <c r="RFX57" s="468"/>
      <c r="RFY57" s="468"/>
      <c r="RFZ57" s="468"/>
      <c r="RGA57" s="468"/>
      <c r="RGB57" s="468"/>
      <c r="RGC57" s="468"/>
      <c r="RGD57" s="468"/>
      <c r="RGE57" s="468"/>
      <c r="RGF57" s="468"/>
      <c r="RGG57" s="468"/>
      <c r="RGH57" s="468"/>
      <c r="RGI57" s="468"/>
      <c r="RGJ57" s="468"/>
      <c r="RGK57" s="468"/>
      <c r="RGL57" s="468"/>
      <c r="RGM57" s="468"/>
      <c r="RGN57" s="468"/>
      <c r="RGO57" s="468"/>
      <c r="RGP57" s="468"/>
      <c r="RGQ57" s="468"/>
      <c r="RGR57" s="468"/>
      <c r="RGS57" s="468"/>
      <c r="RGT57" s="468"/>
      <c r="RGU57" s="468"/>
      <c r="RGV57" s="468"/>
      <c r="RGW57" s="468"/>
      <c r="RGX57" s="468"/>
      <c r="RGY57" s="468"/>
      <c r="RGZ57" s="468"/>
      <c r="RHA57" s="468"/>
      <c r="RHB57" s="468"/>
      <c r="RHC57" s="468"/>
      <c r="RHD57" s="468"/>
      <c r="RHE57" s="468"/>
      <c r="RHF57" s="468"/>
      <c r="RHG57" s="468"/>
      <c r="RHH57" s="468"/>
      <c r="RHI57" s="468"/>
      <c r="RHJ57" s="468"/>
      <c r="RHK57" s="468"/>
      <c r="RHL57" s="468"/>
      <c r="RHM57" s="468"/>
      <c r="RHN57" s="468"/>
      <c r="RHO57" s="468"/>
      <c r="RHP57" s="468"/>
      <c r="RHQ57" s="468"/>
      <c r="RHR57" s="468"/>
      <c r="RHS57" s="468"/>
      <c r="RHT57" s="468"/>
      <c r="RHU57" s="468"/>
      <c r="RHV57" s="468"/>
      <c r="RHW57" s="468"/>
      <c r="RHX57" s="468"/>
      <c r="RHY57" s="468"/>
      <c r="RHZ57" s="468"/>
      <c r="RIA57" s="468"/>
      <c r="RIB57" s="468"/>
      <c r="RIC57" s="468"/>
      <c r="RID57" s="468"/>
      <c r="RIE57" s="468"/>
      <c r="RIF57" s="468"/>
      <c r="RIG57" s="468"/>
      <c r="RIH57" s="468"/>
      <c r="RII57" s="468"/>
      <c r="RIJ57" s="468"/>
      <c r="RIK57" s="468"/>
      <c r="RIL57" s="468"/>
      <c r="RIM57" s="468"/>
      <c r="RIN57" s="468"/>
      <c r="RIO57" s="468"/>
      <c r="RIP57" s="468"/>
      <c r="RIQ57" s="468"/>
      <c r="RIR57" s="468"/>
      <c r="RIS57" s="468"/>
      <c r="RIT57" s="468"/>
      <c r="RIU57" s="468"/>
      <c r="RIV57" s="468"/>
      <c r="RIW57" s="468"/>
      <c r="RIX57" s="468"/>
      <c r="RIY57" s="468"/>
      <c r="RIZ57" s="468"/>
      <c r="RJA57" s="468"/>
      <c r="RJB57" s="468"/>
      <c r="RJC57" s="468"/>
      <c r="RJD57" s="468"/>
      <c r="RJE57" s="468"/>
      <c r="RJF57" s="468"/>
      <c r="RJG57" s="468"/>
      <c r="RJH57" s="468"/>
      <c r="RJI57" s="468"/>
      <c r="RJJ57" s="468"/>
      <c r="RJK57" s="468"/>
      <c r="RJL57" s="468"/>
      <c r="RJM57" s="468"/>
      <c r="RJN57" s="468"/>
      <c r="RJO57" s="468"/>
      <c r="RJP57" s="468"/>
      <c r="RJQ57" s="468"/>
      <c r="RJR57" s="468"/>
      <c r="RJS57" s="468"/>
      <c r="RJT57" s="468"/>
      <c r="RJU57" s="468"/>
      <c r="RJV57" s="468"/>
      <c r="RJW57" s="468"/>
      <c r="RJX57" s="468"/>
      <c r="RJY57" s="468"/>
      <c r="RJZ57" s="468"/>
      <c r="RKA57" s="468"/>
      <c r="RKB57" s="468"/>
      <c r="RKC57" s="468"/>
      <c r="RKD57" s="468"/>
      <c r="RKE57" s="468"/>
      <c r="RKF57" s="468"/>
      <c r="RKG57" s="468"/>
      <c r="RKH57" s="468"/>
      <c r="RKI57" s="468"/>
      <c r="RKJ57" s="468"/>
      <c r="RKK57" s="468"/>
      <c r="RKL57" s="468"/>
      <c r="RKM57" s="468"/>
      <c r="RKN57" s="468"/>
      <c r="RKO57" s="468"/>
      <c r="RKP57" s="468"/>
      <c r="RKQ57" s="468"/>
      <c r="RKR57" s="468"/>
      <c r="RKS57" s="468"/>
      <c r="RKT57" s="468"/>
      <c r="RKU57" s="468"/>
      <c r="RKV57" s="468"/>
      <c r="RKW57" s="468"/>
      <c r="RKX57" s="468"/>
      <c r="RKY57" s="468"/>
      <c r="RKZ57" s="468"/>
      <c r="RLA57" s="468"/>
      <c r="RLB57" s="468"/>
      <c r="RLC57" s="468"/>
      <c r="RLD57" s="468"/>
      <c r="RLE57" s="468"/>
      <c r="RLF57" s="468"/>
      <c r="RLG57" s="468"/>
      <c r="RLH57" s="468"/>
      <c r="RLI57" s="468"/>
      <c r="RLJ57" s="468"/>
      <c r="RLK57" s="468"/>
      <c r="RLL57" s="468"/>
      <c r="RLM57" s="468"/>
      <c r="RLN57" s="468"/>
      <c r="RLO57" s="468"/>
      <c r="RLP57" s="468"/>
      <c r="RLQ57" s="468"/>
      <c r="RLR57" s="468"/>
      <c r="RLS57" s="468"/>
      <c r="RLT57" s="468"/>
      <c r="RLU57" s="468"/>
      <c r="RLV57" s="468"/>
      <c r="RLW57" s="468"/>
      <c r="RLX57" s="468"/>
      <c r="RLY57" s="468"/>
      <c r="RLZ57" s="468"/>
      <c r="RMA57" s="468"/>
      <c r="RMB57" s="468"/>
      <c r="RMC57" s="468"/>
      <c r="RMD57" s="468"/>
      <c r="RME57" s="468"/>
      <c r="RMF57" s="468"/>
      <c r="RMG57" s="468"/>
      <c r="RMH57" s="468"/>
      <c r="RMI57" s="468"/>
      <c r="RMJ57" s="468"/>
      <c r="RMK57" s="468"/>
      <c r="RML57" s="468"/>
      <c r="RMM57" s="468"/>
      <c r="RMN57" s="468"/>
      <c r="RMO57" s="468"/>
      <c r="RMP57" s="468"/>
      <c r="RMQ57" s="468"/>
      <c r="RMR57" s="468"/>
      <c r="RMS57" s="468"/>
      <c r="RMT57" s="468"/>
      <c r="RMU57" s="468"/>
      <c r="RMV57" s="468"/>
      <c r="RMW57" s="468"/>
      <c r="RMX57" s="468"/>
      <c r="RMY57" s="468"/>
      <c r="RMZ57" s="468"/>
      <c r="RNA57" s="468"/>
      <c r="RNB57" s="468"/>
      <c r="RNC57" s="468"/>
      <c r="RND57" s="468"/>
      <c r="RNE57" s="468"/>
      <c r="RNF57" s="468"/>
      <c r="RNG57" s="468"/>
      <c r="RNH57" s="468"/>
      <c r="RNI57" s="468"/>
      <c r="RNJ57" s="468"/>
      <c r="RNK57" s="468"/>
      <c r="RNL57" s="468"/>
      <c r="RNM57" s="468"/>
      <c r="RNN57" s="468"/>
      <c r="RNO57" s="468"/>
      <c r="RNP57" s="468"/>
      <c r="RNQ57" s="468"/>
      <c r="RNR57" s="468"/>
      <c r="RNS57" s="468"/>
      <c r="RNT57" s="468"/>
      <c r="RNU57" s="468"/>
      <c r="RNV57" s="468"/>
      <c r="RNW57" s="468"/>
      <c r="RNX57" s="468"/>
      <c r="RNY57" s="468"/>
      <c r="RNZ57" s="468"/>
      <c r="ROA57" s="468"/>
      <c r="ROB57" s="468"/>
      <c r="ROC57" s="468"/>
      <c r="ROD57" s="468"/>
      <c r="ROE57" s="468"/>
      <c r="ROF57" s="468"/>
      <c r="ROG57" s="468"/>
      <c r="ROH57" s="468"/>
      <c r="ROI57" s="468"/>
      <c r="ROJ57" s="468"/>
      <c r="ROK57" s="468"/>
      <c r="ROL57" s="468"/>
      <c r="ROM57" s="468"/>
      <c r="RON57" s="468"/>
      <c r="ROO57" s="468"/>
      <c r="ROP57" s="468"/>
      <c r="ROQ57" s="468"/>
      <c r="ROR57" s="468"/>
      <c r="ROS57" s="468"/>
      <c r="ROT57" s="468"/>
      <c r="ROU57" s="468"/>
      <c r="ROV57" s="468"/>
      <c r="ROW57" s="468"/>
      <c r="ROX57" s="468"/>
      <c r="ROY57" s="468"/>
      <c r="ROZ57" s="468"/>
      <c r="RPA57" s="468"/>
      <c r="RPB57" s="468"/>
      <c r="RPC57" s="468"/>
      <c r="RPD57" s="468"/>
      <c r="RPE57" s="468"/>
      <c r="RPF57" s="468"/>
      <c r="RPG57" s="468"/>
      <c r="RPH57" s="468"/>
      <c r="RPI57" s="468"/>
      <c r="RPJ57" s="468"/>
      <c r="RPK57" s="468"/>
      <c r="RPL57" s="468"/>
      <c r="RPM57" s="468"/>
      <c r="RPN57" s="468"/>
      <c r="RPO57" s="468"/>
      <c r="RPP57" s="468"/>
      <c r="RPQ57" s="468"/>
      <c r="RPR57" s="468"/>
      <c r="RPS57" s="468"/>
      <c r="RPT57" s="468"/>
      <c r="RPU57" s="468"/>
      <c r="RPV57" s="468"/>
      <c r="RPW57" s="468"/>
      <c r="RPX57" s="468"/>
      <c r="RPY57" s="468"/>
      <c r="RPZ57" s="468"/>
      <c r="RQA57" s="468"/>
      <c r="RQB57" s="468"/>
      <c r="RQC57" s="468"/>
      <c r="RQD57" s="468"/>
      <c r="RQE57" s="468"/>
      <c r="RQF57" s="468"/>
      <c r="RQG57" s="468"/>
      <c r="RQH57" s="468"/>
      <c r="RQI57" s="468"/>
      <c r="RQJ57" s="468"/>
      <c r="RQK57" s="468"/>
      <c r="RQL57" s="468"/>
      <c r="RQM57" s="468"/>
      <c r="RQN57" s="468"/>
      <c r="RQO57" s="468"/>
      <c r="RQP57" s="468"/>
      <c r="RQQ57" s="468"/>
      <c r="RQR57" s="468"/>
      <c r="RQS57" s="468"/>
      <c r="RQT57" s="468"/>
      <c r="RQU57" s="468"/>
      <c r="RQV57" s="468"/>
      <c r="RQW57" s="468"/>
      <c r="RQX57" s="468"/>
      <c r="RQY57" s="468"/>
      <c r="RQZ57" s="468"/>
      <c r="RRA57" s="468"/>
      <c r="RRB57" s="468"/>
      <c r="RRC57" s="468"/>
      <c r="RRD57" s="468"/>
      <c r="RRE57" s="468"/>
      <c r="RRF57" s="468"/>
      <c r="RRG57" s="468"/>
      <c r="RRH57" s="468"/>
      <c r="RRI57" s="468"/>
      <c r="RRJ57" s="468"/>
      <c r="RRK57" s="468"/>
      <c r="RRL57" s="468"/>
      <c r="RRM57" s="468"/>
      <c r="RRN57" s="468"/>
      <c r="RRO57" s="468"/>
      <c r="RRP57" s="468"/>
      <c r="RRQ57" s="468"/>
      <c r="RRR57" s="468"/>
      <c r="RRS57" s="468"/>
      <c r="RRT57" s="468"/>
      <c r="RRU57" s="468"/>
      <c r="RRV57" s="468"/>
      <c r="RRW57" s="468"/>
      <c r="RRX57" s="468"/>
      <c r="RRY57" s="468"/>
      <c r="RRZ57" s="468"/>
      <c r="RSA57" s="468"/>
      <c r="RSB57" s="468"/>
      <c r="RSC57" s="468"/>
      <c r="RSD57" s="468"/>
      <c r="RSE57" s="468"/>
      <c r="RSF57" s="468"/>
      <c r="RSG57" s="468"/>
      <c r="RSH57" s="468"/>
      <c r="RSI57" s="468"/>
      <c r="RSJ57" s="468"/>
      <c r="RSK57" s="468"/>
      <c r="RSL57" s="468"/>
      <c r="RSM57" s="468"/>
      <c r="RSN57" s="468"/>
      <c r="RSO57" s="468"/>
      <c r="RSP57" s="468"/>
      <c r="RSQ57" s="468"/>
      <c r="RSR57" s="468"/>
      <c r="RSS57" s="468"/>
      <c r="RST57" s="468"/>
      <c r="RSU57" s="468"/>
      <c r="RSV57" s="468"/>
      <c r="RSW57" s="468"/>
      <c r="RSX57" s="468"/>
      <c r="RSY57" s="468"/>
      <c r="RSZ57" s="468"/>
      <c r="RTA57" s="468"/>
      <c r="RTB57" s="468"/>
      <c r="RTC57" s="468"/>
      <c r="RTD57" s="468"/>
      <c r="RTE57" s="468"/>
      <c r="RTF57" s="468"/>
      <c r="RTG57" s="468"/>
      <c r="RTH57" s="468"/>
      <c r="RTI57" s="468"/>
      <c r="RTJ57" s="468"/>
      <c r="RTK57" s="468"/>
      <c r="RTL57" s="468"/>
      <c r="RTM57" s="468"/>
      <c r="RTN57" s="468"/>
      <c r="RTO57" s="468"/>
      <c r="RTP57" s="468"/>
      <c r="RTQ57" s="468"/>
      <c r="RTR57" s="468"/>
      <c r="RTS57" s="468"/>
      <c r="RTT57" s="468"/>
      <c r="RTU57" s="468"/>
      <c r="RTV57" s="468"/>
      <c r="RTW57" s="468"/>
      <c r="RTX57" s="468"/>
      <c r="RTY57" s="468"/>
      <c r="RTZ57" s="468"/>
      <c r="RUA57" s="468"/>
      <c r="RUB57" s="468"/>
      <c r="RUC57" s="468"/>
      <c r="RUD57" s="468"/>
      <c r="RUE57" s="468"/>
      <c r="RUF57" s="468"/>
      <c r="RUG57" s="468"/>
      <c r="RUH57" s="468"/>
      <c r="RUI57" s="468"/>
      <c r="RUJ57" s="468"/>
      <c r="RUK57" s="468"/>
      <c r="RUL57" s="468"/>
      <c r="RUM57" s="468"/>
      <c r="RUN57" s="468"/>
      <c r="RUO57" s="468"/>
      <c r="RUP57" s="468"/>
      <c r="RUQ57" s="468"/>
      <c r="RUR57" s="468"/>
      <c r="RUS57" s="468"/>
      <c r="RUT57" s="468"/>
      <c r="RUU57" s="468"/>
      <c r="RUV57" s="468"/>
      <c r="RUW57" s="468"/>
      <c r="RUX57" s="468"/>
      <c r="RUY57" s="468"/>
      <c r="RUZ57" s="468"/>
      <c r="RVA57" s="468"/>
      <c r="RVB57" s="468"/>
      <c r="RVC57" s="468"/>
      <c r="RVD57" s="468"/>
      <c r="RVE57" s="468"/>
      <c r="RVF57" s="468"/>
      <c r="RVG57" s="468"/>
      <c r="RVH57" s="468"/>
      <c r="RVI57" s="468"/>
      <c r="RVJ57" s="468"/>
      <c r="RVK57" s="468"/>
      <c r="RVL57" s="468"/>
      <c r="RVM57" s="468"/>
      <c r="RVN57" s="468"/>
      <c r="RVO57" s="468"/>
      <c r="RVP57" s="468"/>
      <c r="RVQ57" s="468"/>
      <c r="RVR57" s="468"/>
      <c r="RVS57" s="468"/>
      <c r="RVT57" s="468"/>
      <c r="RVU57" s="468"/>
      <c r="RVV57" s="468"/>
      <c r="RVW57" s="468"/>
      <c r="RVX57" s="468"/>
      <c r="RVY57" s="468"/>
      <c r="RVZ57" s="468"/>
      <c r="RWA57" s="468"/>
      <c r="RWB57" s="468"/>
      <c r="RWC57" s="468"/>
      <c r="RWD57" s="468"/>
      <c r="RWE57" s="468"/>
      <c r="RWF57" s="468"/>
      <c r="RWG57" s="468"/>
      <c r="RWH57" s="468"/>
      <c r="RWI57" s="468"/>
      <c r="RWJ57" s="468"/>
      <c r="RWK57" s="468"/>
      <c r="RWL57" s="468"/>
      <c r="RWM57" s="468"/>
      <c r="RWN57" s="468"/>
      <c r="RWO57" s="468"/>
      <c r="RWP57" s="468"/>
      <c r="RWQ57" s="468"/>
      <c r="RWR57" s="468"/>
      <c r="RWS57" s="468"/>
      <c r="RWT57" s="468"/>
      <c r="RWU57" s="468"/>
      <c r="RWV57" s="468"/>
      <c r="RWW57" s="468"/>
      <c r="RWX57" s="468"/>
      <c r="RWY57" s="468"/>
      <c r="RWZ57" s="468"/>
      <c r="RXA57" s="468"/>
      <c r="RXB57" s="468"/>
      <c r="RXC57" s="468"/>
      <c r="RXD57" s="468"/>
      <c r="RXE57" s="468"/>
      <c r="RXF57" s="468"/>
      <c r="RXG57" s="468"/>
      <c r="RXH57" s="468"/>
      <c r="RXI57" s="468"/>
      <c r="RXJ57" s="468"/>
      <c r="RXK57" s="468"/>
      <c r="RXL57" s="468"/>
      <c r="RXM57" s="468"/>
      <c r="RXN57" s="468"/>
      <c r="RXO57" s="468"/>
      <c r="RXP57" s="468"/>
      <c r="RXQ57" s="468"/>
      <c r="RXR57" s="468"/>
      <c r="RXS57" s="468"/>
      <c r="RXT57" s="468"/>
      <c r="RXU57" s="468"/>
      <c r="RXV57" s="468"/>
      <c r="RXW57" s="468"/>
      <c r="RXX57" s="468"/>
      <c r="RXY57" s="468"/>
      <c r="RXZ57" s="468"/>
      <c r="RYA57" s="468"/>
      <c r="RYB57" s="468"/>
      <c r="RYC57" s="468"/>
      <c r="RYD57" s="468"/>
      <c r="RYE57" s="468"/>
      <c r="RYF57" s="468"/>
      <c r="RYG57" s="468"/>
      <c r="RYH57" s="468"/>
      <c r="RYI57" s="468"/>
      <c r="RYJ57" s="468"/>
      <c r="RYK57" s="468"/>
      <c r="RYL57" s="468"/>
      <c r="RYM57" s="468"/>
      <c r="RYN57" s="468"/>
      <c r="RYO57" s="468"/>
      <c r="RYP57" s="468"/>
      <c r="RYQ57" s="468"/>
      <c r="RYR57" s="468"/>
      <c r="RYS57" s="468"/>
      <c r="RYT57" s="468"/>
      <c r="RYU57" s="468"/>
      <c r="RYV57" s="468"/>
      <c r="RYW57" s="468"/>
      <c r="RYX57" s="468"/>
      <c r="RYY57" s="468"/>
      <c r="RYZ57" s="468"/>
      <c r="RZA57" s="468"/>
      <c r="RZB57" s="468"/>
      <c r="RZC57" s="468"/>
      <c r="RZD57" s="468"/>
      <c r="RZE57" s="468"/>
      <c r="RZF57" s="468"/>
      <c r="RZG57" s="468"/>
      <c r="RZH57" s="468"/>
      <c r="RZI57" s="468"/>
      <c r="RZJ57" s="468"/>
      <c r="RZK57" s="468"/>
      <c r="RZL57" s="468"/>
      <c r="RZM57" s="468"/>
      <c r="RZN57" s="468"/>
      <c r="RZO57" s="468"/>
      <c r="RZP57" s="468"/>
      <c r="RZQ57" s="468"/>
      <c r="RZR57" s="468"/>
      <c r="RZS57" s="468"/>
      <c r="RZT57" s="468"/>
      <c r="RZU57" s="468"/>
      <c r="RZV57" s="468"/>
      <c r="RZW57" s="468"/>
      <c r="RZX57" s="468"/>
      <c r="RZY57" s="468"/>
      <c r="RZZ57" s="468"/>
      <c r="SAA57" s="468"/>
      <c r="SAB57" s="468"/>
      <c r="SAC57" s="468"/>
      <c r="SAD57" s="468"/>
      <c r="SAE57" s="468"/>
      <c r="SAF57" s="468"/>
      <c r="SAG57" s="468"/>
      <c r="SAH57" s="468"/>
      <c r="SAI57" s="468"/>
      <c r="SAJ57" s="468"/>
      <c r="SAK57" s="468"/>
      <c r="SAL57" s="468"/>
      <c r="SAM57" s="468"/>
      <c r="SAN57" s="468"/>
      <c r="SAO57" s="468"/>
      <c r="SAP57" s="468"/>
      <c r="SAQ57" s="468"/>
      <c r="SAR57" s="468"/>
      <c r="SAS57" s="468"/>
      <c r="SAT57" s="468"/>
      <c r="SAU57" s="468"/>
      <c r="SAV57" s="468"/>
      <c r="SAW57" s="468"/>
      <c r="SAX57" s="468"/>
      <c r="SAY57" s="468"/>
      <c r="SAZ57" s="468"/>
      <c r="SBA57" s="468"/>
      <c r="SBB57" s="468"/>
      <c r="SBC57" s="468"/>
      <c r="SBD57" s="468"/>
      <c r="SBE57" s="468"/>
      <c r="SBF57" s="468"/>
      <c r="SBG57" s="468"/>
      <c r="SBH57" s="468"/>
      <c r="SBI57" s="468"/>
      <c r="SBJ57" s="468"/>
      <c r="SBK57" s="468"/>
      <c r="SBL57" s="468"/>
      <c r="SBM57" s="468"/>
      <c r="SBN57" s="468"/>
      <c r="SBO57" s="468"/>
      <c r="SBP57" s="468"/>
      <c r="SBQ57" s="468"/>
      <c r="SBR57" s="468"/>
      <c r="SBS57" s="468"/>
      <c r="SBT57" s="468"/>
      <c r="SBU57" s="468"/>
      <c r="SBV57" s="468"/>
      <c r="SBW57" s="468"/>
      <c r="SBX57" s="468"/>
      <c r="SBY57" s="468"/>
      <c r="SBZ57" s="468"/>
      <c r="SCA57" s="468"/>
      <c r="SCB57" s="468"/>
      <c r="SCC57" s="468"/>
      <c r="SCD57" s="468"/>
      <c r="SCE57" s="468"/>
      <c r="SCF57" s="468"/>
      <c r="SCG57" s="468"/>
      <c r="SCH57" s="468"/>
      <c r="SCI57" s="468"/>
      <c r="SCJ57" s="468"/>
      <c r="SCK57" s="468"/>
      <c r="SCL57" s="468"/>
      <c r="SCM57" s="468"/>
      <c r="SCN57" s="468"/>
      <c r="SCO57" s="468"/>
      <c r="SCP57" s="468"/>
      <c r="SCQ57" s="468"/>
      <c r="SCR57" s="468"/>
      <c r="SCS57" s="468"/>
      <c r="SCT57" s="468"/>
      <c r="SCU57" s="468"/>
      <c r="SCV57" s="468"/>
      <c r="SCW57" s="468"/>
      <c r="SCX57" s="468"/>
      <c r="SCY57" s="468"/>
      <c r="SCZ57" s="468"/>
      <c r="SDA57" s="468"/>
      <c r="SDB57" s="468"/>
      <c r="SDC57" s="468"/>
      <c r="SDD57" s="468"/>
      <c r="SDE57" s="468"/>
      <c r="SDF57" s="468"/>
      <c r="SDG57" s="468"/>
      <c r="SDH57" s="468"/>
      <c r="SDI57" s="468"/>
      <c r="SDJ57" s="468"/>
      <c r="SDK57" s="468"/>
      <c r="SDL57" s="468"/>
      <c r="SDM57" s="468"/>
      <c r="SDN57" s="468"/>
      <c r="SDO57" s="468"/>
      <c r="SDP57" s="468"/>
      <c r="SDQ57" s="468"/>
      <c r="SDR57" s="468"/>
      <c r="SDS57" s="468"/>
      <c r="SDT57" s="468"/>
      <c r="SDU57" s="468"/>
      <c r="SDV57" s="468"/>
      <c r="SDW57" s="468"/>
      <c r="SDX57" s="468"/>
      <c r="SDY57" s="468"/>
      <c r="SDZ57" s="468"/>
      <c r="SEA57" s="468"/>
      <c r="SEB57" s="468"/>
      <c r="SEC57" s="468"/>
      <c r="SED57" s="468"/>
      <c r="SEE57" s="468"/>
      <c r="SEF57" s="468"/>
      <c r="SEG57" s="468"/>
      <c r="SEH57" s="468"/>
      <c r="SEI57" s="468"/>
      <c r="SEJ57" s="468"/>
      <c r="SEK57" s="468"/>
      <c r="SEL57" s="468"/>
      <c r="SEM57" s="468"/>
      <c r="SEN57" s="468"/>
      <c r="SEO57" s="468"/>
      <c r="SEP57" s="468"/>
      <c r="SEQ57" s="468"/>
      <c r="SER57" s="468"/>
      <c r="SES57" s="468"/>
      <c r="SET57" s="468"/>
      <c r="SEU57" s="468"/>
      <c r="SEV57" s="468"/>
      <c r="SEW57" s="468"/>
      <c r="SEX57" s="468"/>
      <c r="SEY57" s="468"/>
      <c r="SEZ57" s="468"/>
      <c r="SFA57" s="468"/>
      <c r="SFB57" s="468"/>
      <c r="SFC57" s="468"/>
      <c r="SFD57" s="468"/>
      <c r="SFE57" s="468"/>
      <c r="SFF57" s="468"/>
      <c r="SFG57" s="468"/>
      <c r="SFH57" s="468"/>
      <c r="SFI57" s="468"/>
      <c r="SFJ57" s="468"/>
      <c r="SFK57" s="468"/>
      <c r="SFL57" s="468"/>
      <c r="SFM57" s="468"/>
      <c r="SFN57" s="468"/>
      <c r="SFO57" s="468"/>
      <c r="SFP57" s="468"/>
      <c r="SFQ57" s="468"/>
      <c r="SFR57" s="468"/>
      <c r="SFS57" s="468"/>
      <c r="SFT57" s="468"/>
      <c r="SFU57" s="468"/>
      <c r="SFV57" s="468"/>
      <c r="SFW57" s="468"/>
      <c r="SFX57" s="468"/>
      <c r="SFY57" s="468"/>
      <c r="SFZ57" s="468"/>
      <c r="SGA57" s="468"/>
      <c r="SGB57" s="468"/>
      <c r="SGC57" s="468"/>
      <c r="SGD57" s="468"/>
      <c r="SGE57" s="468"/>
      <c r="SGF57" s="468"/>
      <c r="SGG57" s="468"/>
      <c r="SGH57" s="468"/>
      <c r="SGI57" s="468"/>
      <c r="SGJ57" s="468"/>
      <c r="SGK57" s="468"/>
      <c r="SGL57" s="468"/>
      <c r="SGM57" s="468"/>
      <c r="SGN57" s="468"/>
      <c r="SGO57" s="468"/>
      <c r="SGP57" s="468"/>
      <c r="SGQ57" s="468"/>
      <c r="SGR57" s="468"/>
      <c r="SGS57" s="468"/>
      <c r="SGT57" s="468"/>
      <c r="SGU57" s="468"/>
      <c r="SGV57" s="468"/>
      <c r="SGW57" s="468"/>
      <c r="SGX57" s="468"/>
      <c r="SGY57" s="468"/>
      <c r="SGZ57" s="468"/>
      <c r="SHA57" s="468"/>
      <c r="SHB57" s="468"/>
      <c r="SHC57" s="468"/>
      <c r="SHD57" s="468"/>
      <c r="SHE57" s="468"/>
      <c r="SHF57" s="468"/>
      <c r="SHG57" s="468"/>
      <c r="SHH57" s="468"/>
      <c r="SHI57" s="468"/>
      <c r="SHJ57" s="468"/>
      <c r="SHK57" s="468"/>
      <c r="SHL57" s="468"/>
      <c r="SHM57" s="468"/>
      <c r="SHN57" s="468"/>
      <c r="SHO57" s="468"/>
      <c r="SHP57" s="468"/>
      <c r="SHQ57" s="468"/>
      <c r="SHR57" s="468"/>
      <c r="SHS57" s="468"/>
      <c r="SHT57" s="468"/>
      <c r="SHU57" s="468"/>
      <c r="SHV57" s="468"/>
      <c r="SHW57" s="468"/>
      <c r="SHX57" s="468"/>
      <c r="SHY57" s="468"/>
      <c r="SHZ57" s="468"/>
      <c r="SIA57" s="468"/>
      <c r="SIB57" s="468"/>
      <c r="SIC57" s="468"/>
      <c r="SID57" s="468"/>
      <c r="SIE57" s="468"/>
      <c r="SIF57" s="468"/>
      <c r="SIG57" s="468"/>
      <c r="SIH57" s="468"/>
      <c r="SII57" s="468"/>
      <c r="SIJ57" s="468"/>
      <c r="SIK57" s="468"/>
      <c r="SIL57" s="468"/>
      <c r="SIM57" s="468"/>
      <c r="SIN57" s="468"/>
      <c r="SIO57" s="468"/>
      <c r="SIP57" s="468"/>
      <c r="SIQ57" s="468"/>
      <c r="SIR57" s="468"/>
      <c r="SIS57" s="468"/>
      <c r="SIT57" s="468"/>
      <c r="SIU57" s="468"/>
      <c r="SIV57" s="468"/>
      <c r="SIW57" s="468"/>
      <c r="SIX57" s="468"/>
      <c r="SIY57" s="468"/>
      <c r="SIZ57" s="468"/>
      <c r="SJA57" s="468"/>
      <c r="SJB57" s="468"/>
      <c r="SJC57" s="468"/>
      <c r="SJD57" s="468"/>
      <c r="SJE57" s="468"/>
      <c r="SJF57" s="468"/>
      <c r="SJG57" s="468"/>
      <c r="SJH57" s="468"/>
      <c r="SJI57" s="468"/>
      <c r="SJJ57" s="468"/>
      <c r="SJK57" s="468"/>
      <c r="SJL57" s="468"/>
      <c r="SJM57" s="468"/>
      <c r="SJN57" s="468"/>
      <c r="SJO57" s="468"/>
      <c r="SJP57" s="468"/>
      <c r="SJQ57" s="468"/>
      <c r="SJR57" s="468"/>
      <c r="SJS57" s="468"/>
      <c r="SJT57" s="468"/>
      <c r="SJU57" s="468"/>
      <c r="SJV57" s="468"/>
      <c r="SJW57" s="468"/>
      <c r="SJX57" s="468"/>
      <c r="SJY57" s="468"/>
      <c r="SJZ57" s="468"/>
      <c r="SKA57" s="468"/>
      <c r="SKB57" s="468"/>
      <c r="SKC57" s="468"/>
      <c r="SKD57" s="468"/>
      <c r="SKE57" s="468"/>
      <c r="SKF57" s="468"/>
      <c r="SKG57" s="468"/>
      <c r="SKH57" s="468"/>
      <c r="SKI57" s="468"/>
      <c r="SKJ57" s="468"/>
      <c r="SKK57" s="468"/>
      <c r="SKL57" s="468"/>
      <c r="SKM57" s="468"/>
      <c r="SKN57" s="468"/>
      <c r="SKO57" s="468"/>
      <c r="SKP57" s="468"/>
      <c r="SKQ57" s="468"/>
      <c r="SKR57" s="468"/>
      <c r="SKS57" s="468"/>
      <c r="SKT57" s="468"/>
      <c r="SKU57" s="468"/>
      <c r="SKV57" s="468"/>
      <c r="SKW57" s="468"/>
      <c r="SKX57" s="468"/>
      <c r="SKY57" s="468"/>
      <c r="SKZ57" s="468"/>
      <c r="SLA57" s="468"/>
      <c r="SLB57" s="468"/>
      <c r="SLC57" s="468"/>
      <c r="SLD57" s="468"/>
      <c r="SLE57" s="468"/>
      <c r="SLF57" s="468"/>
      <c r="SLG57" s="468"/>
      <c r="SLH57" s="468"/>
      <c r="SLI57" s="468"/>
      <c r="SLJ57" s="468"/>
      <c r="SLK57" s="468"/>
      <c r="SLL57" s="468"/>
      <c r="SLM57" s="468"/>
      <c r="SLN57" s="468"/>
      <c r="SLO57" s="468"/>
      <c r="SLP57" s="468"/>
      <c r="SLQ57" s="468"/>
      <c r="SLR57" s="468"/>
      <c r="SLS57" s="468"/>
      <c r="SLT57" s="468"/>
      <c r="SLU57" s="468"/>
      <c r="SLV57" s="468"/>
      <c r="SLW57" s="468"/>
      <c r="SLX57" s="468"/>
      <c r="SLY57" s="468"/>
      <c r="SLZ57" s="468"/>
      <c r="SMA57" s="468"/>
      <c r="SMB57" s="468"/>
      <c r="SMC57" s="468"/>
      <c r="SMD57" s="468"/>
      <c r="SME57" s="468"/>
      <c r="SMF57" s="468"/>
      <c r="SMG57" s="468"/>
      <c r="SMH57" s="468"/>
      <c r="SMI57" s="468"/>
      <c r="SMJ57" s="468"/>
      <c r="SMK57" s="468"/>
      <c r="SML57" s="468"/>
      <c r="SMM57" s="468"/>
      <c r="SMN57" s="468"/>
      <c r="SMO57" s="468"/>
      <c r="SMP57" s="468"/>
      <c r="SMQ57" s="468"/>
      <c r="SMR57" s="468"/>
      <c r="SMS57" s="468"/>
      <c r="SMT57" s="468"/>
      <c r="SMU57" s="468"/>
      <c r="SMV57" s="468"/>
      <c r="SMW57" s="468"/>
      <c r="SMX57" s="468"/>
      <c r="SMY57" s="468"/>
      <c r="SMZ57" s="468"/>
      <c r="SNA57" s="468"/>
      <c r="SNB57" s="468"/>
      <c r="SNC57" s="468"/>
      <c r="SND57" s="468"/>
      <c r="SNE57" s="468"/>
      <c r="SNF57" s="468"/>
      <c r="SNG57" s="468"/>
      <c r="SNH57" s="468"/>
      <c r="SNI57" s="468"/>
      <c r="SNJ57" s="468"/>
      <c r="SNK57" s="468"/>
      <c r="SNL57" s="468"/>
      <c r="SNM57" s="468"/>
      <c r="SNN57" s="468"/>
      <c r="SNO57" s="468"/>
      <c r="SNP57" s="468"/>
      <c r="SNQ57" s="468"/>
      <c r="SNR57" s="468"/>
      <c r="SNS57" s="468"/>
      <c r="SNT57" s="468"/>
      <c r="SNU57" s="468"/>
      <c r="SNV57" s="468"/>
      <c r="SNW57" s="468"/>
      <c r="SNX57" s="468"/>
      <c r="SNY57" s="468"/>
      <c r="SNZ57" s="468"/>
      <c r="SOA57" s="468"/>
      <c r="SOB57" s="468"/>
      <c r="SOC57" s="468"/>
      <c r="SOD57" s="468"/>
      <c r="SOE57" s="468"/>
      <c r="SOF57" s="468"/>
      <c r="SOG57" s="468"/>
      <c r="SOH57" s="468"/>
      <c r="SOI57" s="468"/>
      <c r="SOJ57" s="468"/>
      <c r="SOK57" s="468"/>
      <c r="SOL57" s="468"/>
      <c r="SOM57" s="468"/>
      <c r="SON57" s="468"/>
      <c r="SOO57" s="468"/>
      <c r="SOP57" s="468"/>
      <c r="SOQ57" s="468"/>
      <c r="SOR57" s="468"/>
      <c r="SOS57" s="468"/>
      <c r="SOT57" s="468"/>
      <c r="SOU57" s="468"/>
      <c r="SOV57" s="468"/>
      <c r="SOW57" s="468"/>
      <c r="SOX57" s="468"/>
      <c r="SOY57" s="468"/>
      <c r="SOZ57" s="468"/>
      <c r="SPA57" s="468"/>
      <c r="SPB57" s="468"/>
      <c r="SPC57" s="468"/>
      <c r="SPD57" s="468"/>
      <c r="SPE57" s="468"/>
      <c r="SPF57" s="468"/>
      <c r="SPG57" s="468"/>
      <c r="SPH57" s="468"/>
      <c r="SPI57" s="468"/>
      <c r="SPJ57" s="468"/>
      <c r="SPK57" s="468"/>
      <c r="SPL57" s="468"/>
      <c r="SPM57" s="468"/>
      <c r="SPN57" s="468"/>
      <c r="SPO57" s="468"/>
      <c r="SPP57" s="468"/>
      <c r="SPQ57" s="468"/>
      <c r="SPR57" s="468"/>
      <c r="SPS57" s="468"/>
      <c r="SPT57" s="468"/>
      <c r="SPU57" s="468"/>
      <c r="SPV57" s="468"/>
      <c r="SPW57" s="468"/>
      <c r="SPX57" s="468"/>
      <c r="SPY57" s="468"/>
      <c r="SPZ57" s="468"/>
      <c r="SQA57" s="468"/>
      <c r="SQB57" s="468"/>
      <c r="SQC57" s="468"/>
      <c r="SQD57" s="468"/>
      <c r="SQE57" s="468"/>
      <c r="SQF57" s="468"/>
      <c r="SQG57" s="468"/>
      <c r="SQH57" s="468"/>
      <c r="SQI57" s="468"/>
      <c r="SQJ57" s="468"/>
      <c r="SQK57" s="468"/>
      <c r="SQL57" s="468"/>
      <c r="SQM57" s="468"/>
      <c r="SQN57" s="468"/>
      <c r="SQO57" s="468"/>
      <c r="SQP57" s="468"/>
      <c r="SQQ57" s="468"/>
      <c r="SQR57" s="468"/>
      <c r="SQS57" s="468"/>
      <c r="SQT57" s="468"/>
      <c r="SQU57" s="468"/>
      <c r="SQV57" s="468"/>
      <c r="SQW57" s="468"/>
      <c r="SQX57" s="468"/>
      <c r="SQY57" s="468"/>
      <c r="SQZ57" s="468"/>
      <c r="SRA57" s="468"/>
      <c r="SRB57" s="468"/>
      <c r="SRC57" s="468"/>
      <c r="SRD57" s="468"/>
      <c r="SRE57" s="468"/>
      <c r="SRF57" s="468"/>
      <c r="SRG57" s="468"/>
      <c r="SRH57" s="468"/>
      <c r="SRI57" s="468"/>
      <c r="SRJ57" s="468"/>
      <c r="SRK57" s="468"/>
      <c r="SRL57" s="468"/>
      <c r="SRM57" s="468"/>
      <c r="SRN57" s="468"/>
      <c r="SRO57" s="468"/>
      <c r="SRP57" s="468"/>
      <c r="SRQ57" s="468"/>
      <c r="SRR57" s="468"/>
      <c r="SRS57" s="468"/>
      <c r="SRT57" s="468"/>
      <c r="SRU57" s="468"/>
      <c r="SRV57" s="468"/>
      <c r="SRW57" s="468"/>
      <c r="SRX57" s="468"/>
      <c r="SRY57" s="468"/>
      <c r="SRZ57" s="468"/>
      <c r="SSA57" s="468"/>
      <c r="SSB57" s="468"/>
      <c r="SSC57" s="468"/>
      <c r="SSD57" s="468"/>
      <c r="SSE57" s="468"/>
      <c r="SSF57" s="468"/>
      <c r="SSG57" s="468"/>
      <c r="SSH57" s="468"/>
      <c r="SSI57" s="468"/>
      <c r="SSJ57" s="468"/>
      <c r="SSK57" s="468"/>
      <c r="SSL57" s="468"/>
      <c r="SSM57" s="468"/>
      <c r="SSN57" s="468"/>
      <c r="SSO57" s="468"/>
      <c r="SSP57" s="468"/>
      <c r="SSQ57" s="468"/>
      <c r="SSR57" s="468"/>
      <c r="SSS57" s="468"/>
      <c r="SST57" s="468"/>
      <c r="SSU57" s="468"/>
      <c r="SSV57" s="468"/>
      <c r="SSW57" s="468"/>
      <c r="SSX57" s="468"/>
      <c r="SSY57" s="468"/>
      <c r="SSZ57" s="468"/>
      <c r="STA57" s="468"/>
      <c r="STB57" s="468"/>
      <c r="STC57" s="468"/>
      <c r="STD57" s="468"/>
      <c r="STE57" s="468"/>
      <c r="STF57" s="468"/>
      <c r="STG57" s="468"/>
      <c r="STH57" s="468"/>
      <c r="STI57" s="468"/>
      <c r="STJ57" s="468"/>
      <c r="STK57" s="468"/>
      <c r="STL57" s="468"/>
      <c r="STM57" s="468"/>
      <c r="STN57" s="468"/>
      <c r="STO57" s="468"/>
      <c r="STP57" s="468"/>
      <c r="STQ57" s="468"/>
      <c r="STR57" s="468"/>
      <c r="STS57" s="468"/>
      <c r="STT57" s="468"/>
      <c r="STU57" s="468"/>
      <c r="STV57" s="468"/>
      <c r="STW57" s="468"/>
      <c r="STX57" s="468"/>
      <c r="STY57" s="468"/>
      <c r="STZ57" s="468"/>
      <c r="SUA57" s="468"/>
      <c r="SUB57" s="468"/>
      <c r="SUC57" s="468"/>
      <c r="SUD57" s="468"/>
      <c r="SUE57" s="468"/>
      <c r="SUF57" s="468"/>
      <c r="SUG57" s="468"/>
      <c r="SUH57" s="468"/>
      <c r="SUI57" s="468"/>
      <c r="SUJ57" s="468"/>
      <c r="SUK57" s="468"/>
      <c r="SUL57" s="468"/>
      <c r="SUM57" s="468"/>
      <c r="SUN57" s="468"/>
      <c r="SUO57" s="468"/>
      <c r="SUP57" s="468"/>
      <c r="SUQ57" s="468"/>
      <c r="SUR57" s="468"/>
      <c r="SUS57" s="468"/>
      <c r="SUT57" s="468"/>
      <c r="SUU57" s="468"/>
      <c r="SUV57" s="468"/>
      <c r="SUW57" s="468"/>
      <c r="SUX57" s="468"/>
      <c r="SUY57" s="468"/>
      <c r="SUZ57" s="468"/>
      <c r="SVA57" s="468"/>
      <c r="SVB57" s="468"/>
      <c r="SVC57" s="468"/>
      <c r="SVD57" s="468"/>
      <c r="SVE57" s="468"/>
      <c r="SVF57" s="468"/>
      <c r="SVG57" s="468"/>
      <c r="SVH57" s="468"/>
      <c r="SVI57" s="468"/>
      <c r="SVJ57" s="468"/>
      <c r="SVK57" s="468"/>
      <c r="SVL57" s="468"/>
      <c r="SVM57" s="468"/>
      <c r="SVN57" s="468"/>
      <c r="SVO57" s="468"/>
      <c r="SVP57" s="468"/>
      <c r="SVQ57" s="468"/>
      <c r="SVR57" s="468"/>
      <c r="SVS57" s="468"/>
      <c r="SVT57" s="468"/>
      <c r="SVU57" s="468"/>
      <c r="SVV57" s="468"/>
      <c r="SVW57" s="468"/>
      <c r="SVX57" s="468"/>
      <c r="SVY57" s="468"/>
      <c r="SVZ57" s="468"/>
      <c r="SWA57" s="468"/>
      <c r="SWB57" s="468"/>
      <c r="SWC57" s="468"/>
      <c r="SWD57" s="468"/>
      <c r="SWE57" s="468"/>
      <c r="SWF57" s="468"/>
      <c r="SWG57" s="468"/>
      <c r="SWH57" s="468"/>
      <c r="SWI57" s="468"/>
      <c r="SWJ57" s="468"/>
      <c r="SWK57" s="468"/>
      <c r="SWL57" s="468"/>
      <c r="SWM57" s="468"/>
      <c r="SWN57" s="468"/>
      <c r="SWO57" s="468"/>
      <c r="SWP57" s="468"/>
      <c r="SWQ57" s="468"/>
      <c r="SWR57" s="468"/>
      <c r="SWS57" s="468"/>
      <c r="SWT57" s="468"/>
      <c r="SWU57" s="468"/>
      <c r="SWV57" s="468"/>
      <c r="SWW57" s="468"/>
      <c r="SWX57" s="468"/>
      <c r="SWY57" s="468"/>
      <c r="SWZ57" s="468"/>
      <c r="SXA57" s="468"/>
      <c r="SXB57" s="468"/>
      <c r="SXC57" s="468"/>
      <c r="SXD57" s="468"/>
      <c r="SXE57" s="468"/>
      <c r="SXF57" s="468"/>
      <c r="SXG57" s="468"/>
      <c r="SXH57" s="468"/>
      <c r="SXI57" s="468"/>
      <c r="SXJ57" s="468"/>
      <c r="SXK57" s="468"/>
      <c r="SXL57" s="468"/>
      <c r="SXM57" s="468"/>
      <c r="SXN57" s="468"/>
      <c r="SXO57" s="468"/>
      <c r="SXP57" s="468"/>
      <c r="SXQ57" s="468"/>
      <c r="SXR57" s="468"/>
      <c r="SXS57" s="468"/>
      <c r="SXT57" s="468"/>
      <c r="SXU57" s="468"/>
      <c r="SXV57" s="468"/>
      <c r="SXW57" s="468"/>
      <c r="SXX57" s="468"/>
      <c r="SXY57" s="468"/>
      <c r="SXZ57" s="468"/>
      <c r="SYA57" s="468"/>
      <c r="SYB57" s="468"/>
      <c r="SYC57" s="468"/>
      <c r="SYD57" s="468"/>
      <c r="SYE57" s="468"/>
      <c r="SYF57" s="468"/>
      <c r="SYG57" s="468"/>
      <c r="SYH57" s="468"/>
      <c r="SYI57" s="468"/>
      <c r="SYJ57" s="468"/>
      <c r="SYK57" s="468"/>
      <c r="SYL57" s="468"/>
      <c r="SYM57" s="468"/>
      <c r="SYN57" s="468"/>
      <c r="SYO57" s="468"/>
      <c r="SYP57" s="468"/>
      <c r="SYQ57" s="468"/>
      <c r="SYR57" s="468"/>
      <c r="SYS57" s="468"/>
      <c r="SYT57" s="468"/>
      <c r="SYU57" s="468"/>
      <c r="SYV57" s="468"/>
      <c r="SYW57" s="468"/>
      <c r="SYX57" s="468"/>
      <c r="SYY57" s="468"/>
      <c r="SYZ57" s="468"/>
      <c r="SZA57" s="468"/>
      <c r="SZB57" s="468"/>
      <c r="SZC57" s="468"/>
      <c r="SZD57" s="468"/>
      <c r="SZE57" s="468"/>
      <c r="SZF57" s="468"/>
      <c r="SZG57" s="468"/>
      <c r="SZH57" s="468"/>
      <c r="SZI57" s="468"/>
      <c r="SZJ57" s="468"/>
      <c r="SZK57" s="468"/>
      <c r="SZL57" s="468"/>
      <c r="SZM57" s="468"/>
      <c r="SZN57" s="468"/>
      <c r="SZO57" s="468"/>
      <c r="SZP57" s="468"/>
      <c r="SZQ57" s="468"/>
      <c r="SZR57" s="468"/>
      <c r="SZS57" s="468"/>
      <c r="SZT57" s="468"/>
      <c r="SZU57" s="468"/>
      <c r="SZV57" s="468"/>
      <c r="SZW57" s="468"/>
      <c r="SZX57" s="468"/>
      <c r="SZY57" s="468"/>
      <c r="SZZ57" s="468"/>
      <c r="TAA57" s="468"/>
      <c r="TAB57" s="468"/>
      <c r="TAC57" s="468"/>
      <c r="TAD57" s="468"/>
      <c r="TAE57" s="468"/>
      <c r="TAF57" s="468"/>
      <c r="TAG57" s="468"/>
      <c r="TAH57" s="468"/>
      <c r="TAI57" s="468"/>
      <c r="TAJ57" s="468"/>
      <c r="TAK57" s="468"/>
      <c r="TAL57" s="468"/>
      <c r="TAM57" s="468"/>
      <c r="TAN57" s="468"/>
      <c r="TAO57" s="468"/>
      <c r="TAP57" s="468"/>
      <c r="TAQ57" s="468"/>
      <c r="TAR57" s="468"/>
      <c r="TAS57" s="468"/>
      <c r="TAT57" s="468"/>
      <c r="TAU57" s="468"/>
      <c r="TAV57" s="468"/>
      <c r="TAW57" s="468"/>
      <c r="TAX57" s="468"/>
      <c r="TAY57" s="468"/>
      <c r="TAZ57" s="468"/>
      <c r="TBA57" s="468"/>
      <c r="TBB57" s="468"/>
      <c r="TBC57" s="468"/>
      <c r="TBD57" s="468"/>
      <c r="TBE57" s="468"/>
      <c r="TBF57" s="468"/>
      <c r="TBG57" s="468"/>
      <c r="TBH57" s="468"/>
      <c r="TBI57" s="468"/>
      <c r="TBJ57" s="468"/>
      <c r="TBK57" s="468"/>
      <c r="TBL57" s="468"/>
      <c r="TBM57" s="468"/>
      <c r="TBN57" s="468"/>
      <c r="TBO57" s="468"/>
      <c r="TBP57" s="468"/>
      <c r="TBQ57" s="468"/>
      <c r="TBR57" s="468"/>
      <c r="TBS57" s="468"/>
      <c r="TBT57" s="468"/>
      <c r="TBU57" s="468"/>
      <c r="TBV57" s="468"/>
      <c r="TBW57" s="468"/>
      <c r="TBX57" s="468"/>
      <c r="TBY57" s="468"/>
      <c r="TBZ57" s="468"/>
      <c r="TCA57" s="468"/>
      <c r="TCB57" s="468"/>
      <c r="TCC57" s="468"/>
      <c r="TCD57" s="468"/>
      <c r="TCE57" s="468"/>
      <c r="TCF57" s="468"/>
      <c r="TCG57" s="468"/>
      <c r="TCH57" s="468"/>
      <c r="TCI57" s="468"/>
      <c r="TCJ57" s="468"/>
      <c r="TCK57" s="468"/>
      <c r="TCL57" s="468"/>
      <c r="TCM57" s="468"/>
      <c r="TCN57" s="468"/>
      <c r="TCO57" s="468"/>
      <c r="TCP57" s="468"/>
      <c r="TCQ57" s="468"/>
      <c r="TCR57" s="468"/>
      <c r="TCS57" s="468"/>
      <c r="TCT57" s="468"/>
      <c r="TCU57" s="468"/>
      <c r="TCV57" s="468"/>
      <c r="TCW57" s="468"/>
      <c r="TCX57" s="468"/>
      <c r="TCY57" s="468"/>
      <c r="TCZ57" s="468"/>
      <c r="TDA57" s="468"/>
      <c r="TDB57" s="468"/>
      <c r="TDC57" s="468"/>
      <c r="TDD57" s="468"/>
      <c r="TDE57" s="468"/>
      <c r="TDF57" s="468"/>
      <c r="TDG57" s="468"/>
      <c r="TDH57" s="468"/>
      <c r="TDI57" s="468"/>
      <c r="TDJ57" s="468"/>
      <c r="TDK57" s="468"/>
      <c r="TDL57" s="468"/>
      <c r="TDM57" s="468"/>
      <c r="TDN57" s="468"/>
      <c r="TDO57" s="468"/>
      <c r="TDP57" s="468"/>
      <c r="TDQ57" s="468"/>
      <c r="TDR57" s="468"/>
      <c r="TDS57" s="468"/>
      <c r="TDT57" s="468"/>
      <c r="TDU57" s="468"/>
      <c r="TDV57" s="468"/>
      <c r="TDW57" s="468"/>
      <c r="TDX57" s="468"/>
      <c r="TDY57" s="468"/>
      <c r="TDZ57" s="468"/>
      <c r="TEA57" s="468"/>
      <c r="TEB57" s="468"/>
      <c r="TEC57" s="468"/>
      <c r="TED57" s="468"/>
      <c r="TEE57" s="468"/>
      <c r="TEF57" s="468"/>
      <c r="TEG57" s="468"/>
      <c r="TEH57" s="468"/>
      <c r="TEI57" s="468"/>
      <c r="TEJ57" s="468"/>
      <c r="TEK57" s="468"/>
      <c r="TEL57" s="468"/>
      <c r="TEM57" s="468"/>
      <c r="TEN57" s="468"/>
      <c r="TEO57" s="468"/>
      <c r="TEP57" s="468"/>
      <c r="TEQ57" s="468"/>
      <c r="TER57" s="468"/>
      <c r="TES57" s="468"/>
      <c r="TET57" s="468"/>
      <c r="TEU57" s="468"/>
      <c r="TEV57" s="468"/>
      <c r="TEW57" s="468"/>
      <c r="TEX57" s="468"/>
      <c r="TEY57" s="468"/>
      <c r="TEZ57" s="468"/>
      <c r="TFA57" s="468"/>
      <c r="TFB57" s="468"/>
      <c r="TFC57" s="468"/>
      <c r="TFD57" s="468"/>
      <c r="TFE57" s="468"/>
      <c r="TFF57" s="468"/>
      <c r="TFG57" s="468"/>
      <c r="TFH57" s="468"/>
      <c r="TFI57" s="468"/>
      <c r="TFJ57" s="468"/>
      <c r="TFK57" s="468"/>
      <c r="TFL57" s="468"/>
      <c r="TFM57" s="468"/>
      <c r="TFN57" s="468"/>
      <c r="TFO57" s="468"/>
      <c r="TFP57" s="468"/>
      <c r="TFQ57" s="468"/>
      <c r="TFR57" s="468"/>
      <c r="TFS57" s="468"/>
      <c r="TFT57" s="468"/>
      <c r="TFU57" s="468"/>
      <c r="TFV57" s="468"/>
      <c r="TFW57" s="468"/>
      <c r="TFX57" s="468"/>
      <c r="TFY57" s="468"/>
      <c r="TFZ57" s="468"/>
      <c r="TGA57" s="468"/>
      <c r="TGB57" s="468"/>
      <c r="TGC57" s="468"/>
      <c r="TGD57" s="468"/>
      <c r="TGE57" s="468"/>
      <c r="TGF57" s="468"/>
      <c r="TGG57" s="468"/>
      <c r="TGH57" s="468"/>
      <c r="TGI57" s="468"/>
      <c r="TGJ57" s="468"/>
      <c r="TGK57" s="468"/>
      <c r="TGL57" s="468"/>
      <c r="TGM57" s="468"/>
      <c r="TGN57" s="468"/>
      <c r="TGO57" s="468"/>
      <c r="TGP57" s="468"/>
      <c r="TGQ57" s="468"/>
      <c r="TGR57" s="468"/>
      <c r="TGS57" s="468"/>
      <c r="TGT57" s="468"/>
      <c r="TGU57" s="468"/>
      <c r="TGV57" s="468"/>
      <c r="TGW57" s="468"/>
      <c r="TGX57" s="468"/>
      <c r="TGY57" s="468"/>
      <c r="TGZ57" s="468"/>
      <c r="THA57" s="468"/>
      <c r="THB57" s="468"/>
      <c r="THC57" s="468"/>
      <c r="THD57" s="468"/>
      <c r="THE57" s="468"/>
      <c r="THF57" s="468"/>
      <c r="THG57" s="468"/>
      <c r="THH57" s="468"/>
      <c r="THI57" s="468"/>
      <c r="THJ57" s="468"/>
      <c r="THK57" s="468"/>
      <c r="THL57" s="468"/>
      <c r="THM57" s="468"/>
      <c r="THN57" s="468"/>
      <c r="THO57" s="468"/>
      <c r="THP57" s="468"/>
      <c r="THQ57" s="468"/>
      <c r="THR57" s="468"/>
      <c r="THS57" s="468"/>
      <c r="THT57" s="468"/>
      <c r="THU57" s="468"/>
      <c r="THV57" s="468"/>
      <c r="THW57" s="468"/>
      <c r="THX57" s="468"/>
      <c r="THY57" s="468"/>
      <c r="THZ57" s="468"/>
      <c r="TIA57" s="468"/>
      <c r="TIB57" s="468"/>
      <c r="TIC57" s="468"/>
      <c r="TID57" s="468"/>
      <c r="TIE57" s="468"/>
      <c r="TIF57" s="468"/>
      <c r="TIG57" s="468"/>
      <c r="TIH57" s="468"/>
      <c r="TII57" s="468"/>
      <c r="TIJ57" s="468"/>
      <c r="TIK57" s="468"/>
      <c r="TIL57" s="468"/>
      <c r="TIM57" s="468"/>
      <c r="TIN57" s="468"/>
      <c r="TIO57" s="468"/>
      <c r="TIP57" s="468"/>
      <c r="TIQ57" s="468"/>
      <c r="TIR57" s="468"/>
      <c r="TIS57" s="468"/>
      <c r="TIT57" s="468"/>
      <c r="TIU57" s="468"/>
      <c r="TIV57" s="468"/>
      <c r="TIW57" s="468"/>
      <c r="TIX57" s="468"/>
      <c r="TIY57" s="468"/>
      <c r="TIZ57" s="468"/>
      <c r="TJA57" s="468"/>
      <c r="TJB57" s="468"/>
      <c r="TJC57" s="468"/>
      <c r="TJD57" s="468"/>
      <c r="TJE57" s="468"/>
      <c r="TJF57" s="468"/>
      <c r="TJG57" s="468"/>
      <c r="TJH57" s="468"/>
      <c r="TJI57" s="468"/>
      <c r="TJJ57" s="468"/>
      <c r="TJK57" s="468"/>
      <c r="TJL57" s="468"/>
      <c r="TJM57" s="468"/>
      <c r="TJN57" s="468"/>
      <c r="TJO57" s="468"/>
      <c r="TJP57" s="468"/>
      <c r="TJQ57" s="468"/>
      <c r="TJR57" s="468"/>
      <c r="TJS57" s="468"/>
      <c r="TJT57" s="468"/>
      <c r="TJU57" s="468"/>
      <c r="TJV57" s="468"/>
      <c r="TJW57" s="468"/>
      <c r="TJX57" s="468"/>
      <c r="TJY57" s="468"/>
      <c r="TJZ57" s="468"/>
      <c r="TKA57" s="468"/>
      <c r="TKB57" s="468"/>
      <c r="TKC57" s="468"/>
      <c r="TKD57" s="468"/>
      <c r="TKE57" s="468"/>
      <c r="TKF57" s="468"/>
      <c r="TKG57" s="468"/>
      <c r="TKH57" s="468"/>
      <c r="TKI57" s="468"/>
      <c r="TKJ57" s="468"/>
      <c r="TKK57" s="468"/>
      <c r="TKL57" s="468"/>
      <c r="TKM57" s="468"/>
      <c r="TKN57" s="468"/>
      <c r="TKO57" s="468"/>
      <c r="TKP57" s="468"/>
      <c r="TKQ57" s="468"/>
      <c r="TKR57" s="468"/>
      <c r="TKS57" s="468"/>
      <c r="TKT57" s="468"/>
      <c r="TKU57" s="468"/>
      <c r="TKV57" s="468"/>
      <c r="TKW57" s="468"/>
      <c r="TKX57" s="468"/>
      <c r="TKY57" s="468"/>
      <c r="TKZ57" s="468"/>
      <c r="TLA57" s="468"/>
      <c r="TLB57" s="468"/>
      <c r="TLC57" s="468"/>
      <c r="TLD57" s="468"/>
      <c r="TLE57" s="468"/>
      <c r="TLF57" s="468"/>
      <c r="TLG57" s="468"/>
      <c r="TLH57" s="468"/>
      <c r="TLI57" s="468"/>
      <c r="TLJ57" s="468"/>
      <c r="TLK57" s="468"/>
      <c r="TLL57" s="468"/>
      <c r="TLM57" s="468"/>
      <c r="TLN57" s="468"/>
      <c r="TLO57" s="468"/>
      <c r="TLP57" s="468"/>
      <c r="TLQ57" s="468"/>
      <c r="TLR57" s="468"/>
      <c r="TLS57" s="468"/>
      <c r="TLT57" s="468"/>
      <c r="TLU57" s="468"/>
      <c r="TLV57" s="468"/>
      <c r="TLW57" s="468"/>
      <c r="TLX57" s="468"/>
      <c r="TLY57" s="468"/>
      <c r="TLZ57" s="468"/>
      <c r="TMA57" s="468"/>
      <c r="TMB57" s="468"/>
      <c r="TMC57" s="468"/>
      <c r="TMD57" s="468"/>
      <c r="TME57" s="468"/>
      <c r="TMF57" s="468"/>
      <c r="TMG57" s="468"/>
      <c r="TMH57" s="468"/>
      <c r="TMI57" s="468"/>
      <c r="TMJ57" s="468"/>
      <c r="TMK57" s="468"/>
      <c r="TML57" s="468"/>
      <c r="TMM57" s="468"/>
      <c r="TMN57" s="468"/>
      <c r="TMO57" s="468"/>
      <c r="TMP57" s="468"/>
      <c r="TMQ57" s="468"/>
      <c r="TMR57" s="468"/>
      <c r="TMS57" s="468"/>
      <c r="TMT57" s="468"/>
      <c r="TMU57" s="468"/>
      <c r="TMV57" s="468"/>
      <c r="TMW57" s="468"/>
      <c r="TMX57" s="468"/>
      <c r="TMY57" s="468"/>
      <c r="TMZ57" s="468"/>
      <c r="TNA57" s="468"/>
      <c r="TNB57" s="468"/>
      <c r="TNC57" s="468"/>
      <c r="TND57" s="468"/>
      <c r="TNE57" s="468"/>
      <c r="TNF57" s="468"/>
      <c r="TNG57" s="468"/>
      <c r="TNH57" s="468"/>
      <c r="TNI57" s="468"/>
      <c r="TNJ57" s="468"/>
      <c r="TNK57" s="468"/>
      <c r="TNL57" s="468"/>
      <c r="TNM57" s="468"/>
      <c r="TNN57" s="468"/>
      <c r="TNO57" s="468"/>
      <c r="TNP57" s="468"/>
      <c r="TNQ57" s="468"/>
      <c r="TNR57" s="468"/>
      <c r="TNS57" s="468"/>
      <c r="TNT57" s="468"/>
      <c r="TNU57" s="468"/>
      <c r="TNV57" s="468"/>
      <c r="TNW57" s="468"/>
      <c r="TNX57" s="468"/>
      <c r="TNY57" s="468"/>
      <c r="TNZ57" s="468"/>
      <c r="TOA57" s="468"/>
      <c r="TOB57" s="468"/>
      <c r="TOC57" s="468"/>
      <c r="TOD57" s="468"/>
      <c r="TOE57" s="468"/>
      <c r="TOF57" s="468"/>
      <c r="TOG57" s="468"/>
      <c r="TOH57" s="468"/>
      <c r="TOI57" s="468"/>
      <c r="TOJ57" s="468"/>
      <c r="TOK57" s="468"/>
      <c r="TOL57" s="468"/>
      <c r="TOM57" s="468"/>
      <c r="TON57" s="468"/>
      <c r="TOO57" s="468"/>
      <c r="TOP57" s="468"/>
      <c r="TOQ57" s="468"/>
      <c r="TOR57" s="468"/>
      <c r="TOS57" s="468"/>
      <c r="TOT57" s="468"/>
      <c r="TOU57" s="468"/>
      <c r="TOV57" s="468"/>
      <c r="TOW57" s="468"/>
      <c r="TOX57" s="468"/>
      <c r="TOY57" s="468"/>
      <c r="TOZ57" s="468"/>
      <c r="TPA57" s="468"/>
      <c r="TPB57" s="468"/>
      <c r="TPC57" s="468"/>
      <c r="TPD57" s="468"/>
      <c r="TPE57" s="468"/>
      <c r="TPF57" s="468"/>
      <c r="TPG57" s="468"/>
      <c r="TPH57" s="468"/>
      <c r="TPI57" s="468"/>
      <c r="TPJ57" s="468"/>
      <c r="TPK57" s="468"/>
      <c r="TPL57" s="468"/>
      <c r="TPM57" s="468"/>
      <c r="TPN57" s="468"/>
      <c r="TPO57" s="468"/>
      <c r="TPP57" s="468"/>
      <c r="TPQ57" s="468"/>
      <c r="TPR57" s="468"/>
      <c r="TPS57" s="468"/>
      <c r="TPT57" s="468"/>
      <c r="TPU57" s="468"/>
      <c r="TPV57" s="468"/>
      <c r="TPW57" s="468"/>
      <c r="TPX57" s="468"/>
      <c r="TPY57" s="468"/>
      <c r="TPZ57" s="468"/>
      <c r="TQA57" s="468"/>
      <c r="TQB57" s="468"/>
      <c r="TQC57" s="468"/>
      <c r="TQD57" s="468"/>
      <c r="TQE57" s="468"/>
      <c r="TQF57" s="468"/>
      <c r="TQG57" s="468"/>
      <c r="TQH57" s="468"/>
      <c r="TQI57" s="468"/>
      <c r="TQJ57" s="468"/>
      <c r="TQK57" s="468"/>
      <c r="TQL57" s="468"/>
      <c r="TQM57" s="468"/>
      <c r="TQN57" s="468"/>
      <c r="TQO57" s="468"/>
      <c r="TQP57" s="468"/>
      <c r="TQQ57" s="468"/>
      <c r="TQR57" s="468"/>
      <c r="TQS57" s="468"/>
      <c r="TQT57" s="468"/>
      <c r="TQU57" s="468"/>
      <c r="TQV57" s="468"/>
      <c r="TQW57" s="468"/>
      <c r="TQX57" s="468"/>
      <c r="TQY57" s="468"/>
      <c r="TQZ57" s="468"/>
      <c r="TRA57" s="468"/>
      <c r="TRB57" s="468"/>
      <c r="TRC57" s="468"/>
      <c r="TRD57" s="468"/>
      <c r="TRE57" s="468"/>
      <c r="TRF57" s="468"/>
      <c r="TRG57" s="468"/>
      <c r="TRH57" s="468"/>
      <c r="TRI57" s="468"/>
      <c r="TRJ57" s="468"/>
      <c r="TRK57" s="468"/>
      <c r="TRL57" s="468"/>
      <c r="TRM57" s="468"/>
      <c r="TRN57" s="468"/>
      <c r="TRO57" s="468"/>
      <c r="TRP57" s="468"/>
      <c r="TRQ57" s="468"/>
      <c r="TRR57" s="468"/>
      <c r="TRS57" s="468"/>
      <c r="TRT57" s="468"/>
      <c r="TRU57" s="468"/>
      <c r="TRV57" s="468"/>
      <c r="TRW57" s="468"/>
      <c r="TRX57" s="468"/>
      <c r="TRY57" s="468"/>
      <c r="TRZ57" s="468"/>
      <c r="TSA57" s="468"/>
      <c r="TSB57" s="468"/>
      <c r="TSC57" s="468"/>
      <c r="TSD57" s="468"/>
      <c r="TSE57" s="468"/>
      <c r="TSF57" s="468"/>
      <c r="TSG57" s="468"/>
      <c r="TSH57" s="468"/>
      <c r="TSI57" s="468"/>
      <c r="TSJ57" s="468"/>
      <c r="TSK57" s="468"/>
      <c r="TSL57" s="468"/>
      <c r="TSM57" s="468"/>
      <c r="TSN57" s="468"/>
      <c r="TSO57" s="468"/>
      <c r="TSP57" s="468"/>
      <c r="TSQ57" s="468"/>
      <c r="TSR57" s="468"/>
      <c r="TSS57" s="468"/>
      <c r="TST57" s="468"/>
      <c r="TSU57" s="468"/>
      <c r="TSV57" s="468"/>
      <c r="TSW57" s="468"/>
      <c r="TSX57" s="468"/>
      <c r="TSY57" s="468"/>
      <c r="TSZ57" s="468"/>
      <c r="TTA57" s="468"/>
      <c r="TTB57" s="468"/>
      <c r="TTC57" s="468"/>
      <c r="TTD57" s="468"/>
      <c r="TTE57" s="468"/>
      <c r="TTF57" s="468"/>
      <c r="TTG57" s="468"/>
      <c r="TTH57" s="468"/>
      <c r="TTI57" s="468"/>
      <c r="TTJ57" s="468"/>
      <c r="TTK57" s="468"/>
      <c r="TTL57" s="468"/>
      <c r="TTM57" s="468"/>
      <c r="TTN57" s="468"/>
      <c r="TTO57" s="468"/>
      <c r="TTP57" s="468"/>
      <c r="TTQ57" s="468"/>
      <c r="TTR57" s="468"/>
      <c r="TTS57" s="468"/>
      <c r="TTT57" s="468"/>
      <c r="TTU57" s="468"/>
      <c r="TTV57" s="468"/>
      <c r="TTW57" s="468"/>
      <c r="TTX57" s="468"/>
      <c r="TTY57" s="468"/>
      <c r="TTZ57" s="468"/>
      <c r="TUA57" s="468"/>
      <c r="TUB57" s="468"/>
      <c r="TUC57" s="468"/>
      <c r="TUD57" s="468"/>
      <c r="TUE57" s="468"/>
      <c r="TUF57" s="468"/>
      <c r="TUG57" s="468"/>
      <c r="TUH57" s="468"/>
      <c r="TUI57" s="468"/>
      <c r="TUJ57" s="468"/>
      <c r="TUK57" s="468"/>
      <c r="TUL57" s="468"/>
      <c r="TUM57" s="468"/>
      <c r="TUN57" s="468"/>
      <c r="TUO57" s="468"/>
      <c r="TUP57" s="468"/>
      <c r="TUQ57" s="468"/>
      <c r="TUR57" s="468"/>
      <c r="TUS57" s="468"/>
      <c r="TUT57" s="468"/>
      <c r="TUU57" s="468"/>
      <c r="TUV57" s="468"/>
      <c r="TUW57" s="468"/>
      <c r="TUX57" s="468"/>
      <c r="TUY57" s="468"/>
      <c r="TUZ57" s="468"/>
      <c r="TVA57" s="468"/>
      <c r="TVB57" s="468"/>
      <c r="TVC57" s="468"/>
      <c r="TVD57" s="468"/>
      <c r="TVE57" s="468"/>
      <c r="TVF57" s="468"/>
      <c r="TVG57" s="468"/>
      <c r="TVH57" s="468"/>
      <c r="TVI57" s="468"/>
      <c r="TVJ57" s="468"/>
      <c r="TVK57" s="468"/>
      <c r="TVL57" s="468"/>
      <c r="TVM57" s="468"/>
      <c r="TVN57" s="468"/>
      <c r="TVO57" s="468"/>
      <c r="TVP57" s="468"/>
      <c r="TVQ57" s="468"/>
      <c r="TVR57" s="468"/>
      <c r="TVS57" s="468"/>
      <c r="TVT57" s="468"/>
      <c r="TVU57" s="468"/>
      <c r="TVV57" s="468"/>
      <c r="TVW57" s="468"/>
      <c r="TVX57" s="468"/>
      <c r="TVY57" s="468"/>
      <c r="TVZ57" s="468"/>
      <c r="TWA57" s="468"/>
      <c r="TWB57" s="468"/>
      <c r="TWC57" s="468"/>
      <c r="TWD57" s="468"/>
      <c r="TWE57" s="468"/>
      <c r="TWF57" s="468"/>
      <c r="TWG57" s="468"/>
      <c r="TWH57" s="468"/>
      <c r="TWI57" s="468"/>
      <c r="TWJ57" s="468"/>
      <c r="TWK57" s="468"/>
      <c r="TWL57" s="468"/>
      <c r="TWM57" s="468"/>
      <c r="TWN57" s="468"/>
      <c r="TWO57" s="468"/>
      <c r="TWP57" s="468"/>
      <c r="TWQ57" s="468"/>
      <c r="TWR57" s="468"/>
      <c r="TWS57" s="468"/>
      <c r="TWT57" s="468"/>
      <c r="TWU57" s="468"/>
      <c r="TWV57" s="468"/>
      <c r="TWW57" s="468"/>
      <c r="TWX57" s="468"/>
      <c r="TWY57" s="468"/>
      <c r="TWZ57" s="468"/>
      <c r="TXA57" s="468"/>
      <c r="TXB57" s="468"/>
      <c r="TXC57" s="468"/>
      <c r="TXD57" s="468"/>
      <c r="TXE57" s="468"/>
      <c r="TXF57" s="468"/>
      <c r="TXG57" s="468"/>
      <c r="TXH57" s="468"/>
      <c r="TXI57" s="468"/>
      <c r="TXJ57" s="468"/>
      <c r="TXK57" s="468"/>
      <c r="TXL57" s="468"/>
      <c r="TXM57" s="468"/>
      <c r="TXN57" s="468"/>
      <c r="TXO57" s="468"/>
      <c r="TXP57" s="468"/>
      <c r="TXQ57" s="468"/>
      <c r="TXR57" s="468"/>
      <c r="TXS57" s="468"/>
      <c r="TXT57" s="468"/>
      <c r="TXU57" s="468"/>
      <c r="TXV57" s="468"/>
      <c r="TXW57" s="468"/>
      <c r="TXX57" s="468"/>
      <c r="TXY57" s="468"/>
      <c r="TXZ57" s="468"/>
      <c r="TYA57" s="468"/>
      <c r="TYB57" s="468"/>
      <c r="TYC57" s="468"/>
      <c r="TYD57" s="468"/>
      <c r="TYE57" s="468"/>
      <c r="TYF57" s="468"/>
      <c r="TYG57" s="468"/>
      <c r="TYH57" s="468"/>
      <c r="TYI57" s="468"/>
      <c r="TYJ57" s="468"/>
      <c r="TYK57" s="468"/>
      <c r="TYL57" s="468"/>
      <c r="TYM57" s="468"/>
      <c r="TYN57" s="468"/>
      <c r="TYO57" s="468"/>
      <c r="TYP57" s="468"/>
      <c r="TYQ57" s="468"/>
      <c r="TYR57" s="468"/>
      <c r="TYS57" s="468"/>
      <c r="TYT57" s="468"/>
      <c r="TYU57" s="468"/>
      <c r="TYV57" s="468"/>
      <c r="TYW57" s="468"/>
      <c r="TYX57" s="468"/>
      <c r="TYY57" s="468"/>
      <c r="TYZ57" s="468"/>
      <c r="TZA57" s="468"/>
      <c r="TZB57" s="468"/>
      <c r="TZC57" s="468"/>
      <c r="TZD57" s="468"/>
      <c r="TZE57" s="468"/>
      <c r="TZF57" s="468"/>
      <c r="TZG57" s="468"/>
      <c r="TZH57" s="468"/>
      <c r="TZI57" s="468"/>
      <c r="TZJ57" s="468"/>
      <c r="TZK57" s="468"/>
      <c r="TZL57" s="468"/>
      <c r="TZM57" s="468"/>
      <c r="TZN57" s="468"/>
      <c r="TZO57" s="468"/>
      <c r="TZP57" s="468"/>
      <c r="TZQ57" s="468"/>
      <c r="TZR57" s="468"/>
      <c r="TZS57" s="468"/>
      <c r="TZT57" s="468"/>
      <c r="TZU57" s="468"/>
      <c r="TZV57" s="468"/>
      <c r="TZW57" s="468"/>
      <c r="TZX57" s="468"/>
      <c r="TZY57" s="468"/>
      <c r="TZZ57" s="468"/>
      <c r="UAA57" s="468"/>
      <c r="UAB57" s="468"/>
      <c r="UAC57" s="468"/>
      <c r="UAD57" s="468"/>
      <c r="UAE57" s="468"/>
      <c r="UAF57" s="468"/>
      <c r="UAG57" s="468"/>
      <c r="UAH57" s="468"/>
      <c r="UAI57" s="468"/>
      <c r="UAJ57" s="468"/>
      <c r="UAK57" s="468"/>
      <c r="UAL57" s="468"/>
      <c r="UAM57" s="468"/>
      <c r="UAN57" s="468"/>
      <c r="UAO57" s="468"/>
      <c r="UAP57" s="468"/>
      <c r="UAQ57" s="468"/>
      <c r="UAR57" s="468"/>
      <c r="UAS57" s="468"/>
      <c r="UAT57" s="468"/>
      <c r="UAU57" s="468"/>
      <c r="UAV57" s="468"/>
      <c r="UAW57" s="468"/>
      <c r="UAX57" s="468"/>
      <c r="UAY57" s="468"/>
      <c r="UAZ57" s="468"/>
      <c r="UBA57" s="468"/>
      <c r="UBB57" s="468"/>
      <c r="UBC57" s="468"/>
      <c r="UBD57" s="468"/>
      <c r="UBE57" s="468"/>
      <c r="UBF57" s="468"/>
      <c r="UBG57" s="468"/>
      <c r="UBH57" s="468"/>
      <c r="UBI57" s="468"/>
      <c r="UBJ57" s="468"/>
      <c r="UBK57" s="468"/>
      <c r="UBL57" s="468"/>
      <c r="UBM57" s="468"/>
      <c r="UBN57" s="468"/>
      <c r="UBO57" s="468"/>
      <c r="UBP57" s="468"/>
      <c r="UBQ57" s="468"/>
      <c r="UBR57" s="468"/>
      <c r="UBS57" s="468"/>
      <c r="UBT57" s="468"/>
      <c r="UBU57" s="468"/>
      <c r="UBV57" s="468"/>
      <c r="UBW57" s="468"/>
      <c r="UBX57" s="468"/>
      <c r="UBY57" s="468"/>
      <c r="UBZ57" s="468"/>
      <c r="UCA57" s="468"/>
      <c r="UCB57" s="468"/>
      <c r="UCC57" s="468"/>
      <c r="UCD57" s="468"/>
      <c r="UCE57" s="468"/>
      <c r="UCF57" s="468"/>
      <c r="UCG57" s="468"/>
      <c r="UCH57" s="468"/>
      <c r="UCI57" s="468"/>
      <c r="UCJ57" s="468"/>
      <c r="UCK57" s="468"/>
      <c r="UCL57" s="468"/>
      <c r="UCM57" s="468"/>
      <c r="UCN57" s="468"/>
      <c r="UCO57" s="468"/>
      <c r="UCP57" s="468"/>
      <c r="UCQ57" s="468"/>
      <c r="UCR57" s="468"/>
      <c r="UCS57" s="468"/>
      <c r="UCT57" s="468"/>
      <c r="UCU57" s="468"/>
      <c r="UCV57" s="468"/>
      <c r="UCW57" s="468"/>
      <c r="UCX57" s="468"/>
      <c r="UCY57" s="468"/>
      <c r="UCZ57" s="468"/>
      <c r="UDA57" s="468"/>
      <c r="UDB57" s="468"/>
      <c r="UDC57" s="468"/>
      <c r="UDD57" s="468"/>
      <c r="UDE57" s="468"/>
      <c r="UDF57" s="468"/>
      <c r="UDG57" s="468"/>
      <c r="UDH57" s="468"/>
      <c r="UDI57" s="468"/>
      <c r="UDJ57" s="468"/>
      <c r="UDK57" s="468"/>
      <c r="UDL57" s="468"/>
      <c r="UDM57" s="468"/>
      <c r="UDN57" s="468"/>
      <c r="UDO57" s="468"/>
      <c r="UDP57" s="468"/>
      <c r="UDQ57" s="468"/>
      <c r="UDR57" s="468"/>
      <c r="UDS57" s="468"/>
      <c r="UDT57" s="468"/>
      <c r="UDU57" s="468"/>
      <c r="UDV57" s="468"/>
      <c r="UDW57" s="468"/>
      <c r="UDX57" s="468"/>
      <c r="UDY57" s="468"/>
      <c r="UDZ57" s="468"/>
      <c r="UEA57" s="468"/>
      <c r="UEB57" s="468"/>
      <c r="UEC57" s="468"/>
      <c r="UED57" s="468"/>
      <c r="UEE57" s="468"/>
      <c r="UEF57" s="468"/>
      <c r="UEG57" s="468"/>
      <c r="UEH57" s="468"/>
      <c r="UEI57" s="468"/>
      <c r="UEJ57" s="468"/>
      <c r="UEK57" s="468"/>
      <c r="UEL57" s="468"/>
      <c r="UEM57" s="468"/>
      <c r="UEN57" s="468"/>
      <c r="UEO57" s="468"/>
      <c r="UEP57" s="468"/>
      <c r="UEQ57" s="468"/>
      <c r="UER57" s="468"/>
      <c r="UES57" s="468"/>
      <c r="UET57" s="468"/>
      <c r="UEU57" s="468"/>
      <c r="UEV57" s="468"/>
      <c r="UEW57" s="468"/>
      <c r="UEX57" s="468"/>
      <c r="UEY57" s="468"/>
      <c r="UEZ57" s="468"/>
      <c r="UFA57" s="468"/>
      <c r="UFB57" s="468"/>
      <c r="UFC57" s="468"/>
      <c r="UFD57" s="468"/>
      <c r="UFE57" s="468"/>
      <c r="UFF57" s="468"/>
      <c r="UFG57" s="468"/>
      <c r="UFH57" s="468"/>
      <c r="UFI57" s="468"/>
      <c r="UFJ57" s="468"/>
      <c r="UFK57" s="468"/>
      <c r="UFL57" s="468"/>
      <c r="UFM57" s="468"/>
      <c r="UFN57" s="468"/>
      <c r="UFO57" s="468"/>
      <c r="UFP57" s="468"/>
      <c r="UFQ57" s="468"/>
      <c r="UFR57" s="468"/>
      <c r="UFS57" s="468"/>
      <c r="UFT57" s="468"/>
      <c r="UFU57" s="468"/>
      <c r="UFV57" s="468"/>
      <c r="UFW57" s="468"/>
      <c r="UFX57" s="468"/>
      <c r="UFY57" s="468"/>
      <c r="UFZ57" s="468"/>
      <c r="UGA57" s="468"/>
      <c r="UGB57" s="468"/>
      <c r="UGC57" s="468"/>
      <c r="UGD57" s="468"/>
      <c r="UGE57" s="468"/>
      <c r="UGF57" s="468"/>
      <c r="UGG57" s="468"/>
      <c r="UGH57" s="468"/>
      <c r="UGI57" s="468"/>
      <c r="UGJ57" s="468"/>
      <c r="UGK57" s="468"/>
      <c r="UGL57" s="468"/>
      <c r="UGM57" s="468"/>
      <c r="UGN57" s="468"/>
      <c r="UGO57" s="468"/>
      <c r="UGP57" s="468"/>
      <c r="UGQ57" s="468"/>
      <c r="UGR57" s="468"/>
      <c r="UGS57" s="468"/>
      <c r="UGT57" s="468"/>
      <c r="UGU57" s="468"/>
      <c r="UGV57" s="468"/>
      <c r="UGW57" s="468"/>
      <c r="UGX57" s="468"/>
      <c r="UGY57" s="468"/>
      <c r="UGZ57" s="468"/>
      <c r="UHA57" s="468"/>
      <c r="UHB57" s="468"/>
      <c r="UHC57" s="468"/>
      <c r="UHD57" s="468"/>
      <c r="UHE57" s="468"/>
      <c r="UHF57" s="468"/>
      <c r="UHG57" s="468"/>
      <c r="UHH57" s="468"/>
      <c r="UHI57" s="468"/>
      <c r="UHJ57" s="468"/>
      <c r="UHK57" s="468"/>
      <c r="UHL57" s="468"/>
      <c r="UHM57" s="468"/>
      <c r="UHN57" s="468"/>
      <c r="UHO57" s="468"/>
      <c r="UHP57" s="468"/>
      <c r="UHQ57" s="468"/>
      <c r="UHR57" s="468"/>
      <c r="UHS57" s="468"/>
      <c r="UHT57" s="468"/>
      <c r="UHU57" s="468"/>
      <c r="UHV57" s="468"/>
      <c r="UHW57" s="468"/>
      <c r="UHX57" s="468"/>
      <c r="UHY57" s="468"/>
      <c r="UHZ57" s="468"/>
      <c r="UIA57" s="468"/>
      <c r="UIB57" s="468"/>
      <c r="UIC57" s="468"/>
      <c r="UID57" s="468"/>
      <c r="UIE57" s="468"/>
      <c r="UIF57" s="468"/>
      <c r="UIG57" s="468"/>
      <c r="UIH57" s="468"/>
      <c r="UII57" s="468"/>
      <c r="UIJ57" s="468"/>
      <c r="UIK57" s="468"/>
      <c r="UIL57" s="468"/>
      <c r="UIM57" s="468"/>
      <c r="UIN57" s="468"/>
      <c r="UIO57" s="468"/>
      <c r="UIP57" s="468"/>
      <c r="UIQ57" s="468"/>
      <c r="UIR57" s="468"/>
      <c r="UIS57" s="468"/>
      <c r="UIT57" s="468"/>
      <c r="UIU57" s="468"/>
      <c r="UIV57" s="468"/>
      <c r="UIW57" s="468"/>
      <c r="UIX57" s="468"/>
      <c r="UIY57" s="468"/>
      <c r="UIZ57" s="468"/>
      <c r="UJA57" s="468"/>
      <c r="UJB57" s="468"/>
      <c r="UJC57" s="468"/>
      <c r="UJD57" s="468"/>
      <c r="UJE57" s="468"/>
      <c r="UJF57" s="468"/>
      <c r="UJG57" s="468"/>
      <c r="UJH57" s="468"/>
      <c r="UJI57" s="468"/>
      <c r="UJJ57" s="468"/>
      <c r="UJK57" s="468"/>
      <c r="UJL57" s="468"/>
      <c r="UJM57" s="468"/>
      <c r="UJN57" s="468"/>
      <c r="UJO57" s="468"/>
      <c r="UJP57" s="468"/>
      <c r="UJQ57" s="468"/>
      <c r="UJR57" s="468"/>
      <c r="UJS57" s="468"/>
      <c r="UJT57" s="468"/>
      <c r="UJU57" s="468"/>
      <c r="UJV57" s="468"/>
      <c r="UJW57" s="468"/>
      <c r="UJX57" s="468"/>
      <c r="UJY57" s="468"/>
      <c r="UJZ57" s="468"/>
      <c r="UKA57" s="468"/>
      <c r="UKB57" s="468"/>
      <c r="UKC57" s="468"/>
      <c r="UKD57" s="468"/>
      <c r="UKE57" s="468"/>
      <c r="UKF57" s="468"/>
      <c r="UKG57" s="468"/>
      <c r="UKH57" s="468"/>
      <c r="UKI57" s="468"/>
      <c r="UKJ57" s="468"/>
      <c r="UKK57" s="468"/>
      <c r="UKL57" s="468"/>
      <c r="UKM57" s="468"/>
      <c r="UKN57" s="468"/>
      <c r="UKO57" s="468"/>
      <c r="UKP57" s="468"/>
      <c r="UKQ57" s="468"/>
      <c r="UKR57" s="468"/>
      <c r="UKS57" s="468"/>
      <c r="UKT57" s="468"/>
      <c r="UKU57" s="468"/>
      <c r="UKV57" s="468"/>
      <c r="UKW57" s="468"/>
      <c r="UKX57" s="468"/>
      <c r="UKY57" s="468"/>
      <c r="UKZ57" s="468"/>
      <c r="ULA57" s="468"/>
      <c r="ULB57" s="468"/>
      <c r="ULC57" s="468"/>
      <c r="ULD57" s="468"/>
      <c r="ULE57" s="468"/>
      <c r="ULF57" s="468"/>
      <c r="ULG57" s="468"/>
      <c r="ULH57" s="468"/>
      <c r="ULI57" s="468"/>
      <c r="ULJ57" s="468"/>
      <c r="ULK57" s="468"/>
      <c r="ULL57" s="468"/>
      <c r="ULM57" s="468"/>
      <c r="ULN57" s="468"/>
      <c r="ULO57" s="468"/>
      <c r="ULP57" s="468"/>
      <c r="ULQ57" s="468"/>
      <c r="ULR57" s="468"/>
      <c r="ULS57" s="468"/>
      <c r="ULT57" s="468"/>
      <c r="ULU57" s="468"/>
      <c r="ULV57" s="468"/>
      <c r="ULW57" s="468"/>
      <c r="ULX57" s="468"/>
      <c r="ULY57" s="468"/>
      <c r="ULZ57" s="468"/>
      <c r="UMA57" s="468"/>
      <c r="UMB57" s="468"/>
      <c r="UMC57" s="468"/>
      <c r="UMD57" s="468"/>
      <c r="UME57" s="468"/>
      <c r="UMF57" s="468"/>
      <c r="UMG57" s="468"/>
      <c r="UMH57" s="468"/>
      <c r="UMI57" s="468"/>
      <c r="UMJ57" s="468"/>
      <c r="UMK57" s="468"/>
      <c r="UML57" s="468"/>
      <c r="UMM57" s="468"/>
      <c r="UMN57" s="468"/>
      <c r="UMO57" s="468"/>
      <c r="UMP57" s="468"/>
      <c r="UMQ57" s="468"/>
      <c r="UMR57" s="468"/>
      <c r="UMS57" s="468"/>
      <c r="UMT57" s="468"/>
      <c r="UMU57" s="468"/>
      <c r="UMV57" s="468"/>
      <c r="UMW57" s="468"/>
      <c r="UMX57" s="468"/>
      <c r="UMY57" s="468"/>
      <c r="UMZ57" s="468"/>
      <c r="UNA57" s="468"/>
      <c r="UNB57" s="468"/>
      <c r="UNC57" s="468"/>
      <c r="UND57" s="468"/>
      <c r="UNE57" s="468"/>
      <c r="UNF57" s="468"/>
      <c r="UNG57" s="468"/>
      <c r="UNH57" s="468"/>
      <c r="UNI57" s="468"/>
      <c r="UNJ57" s="468"/>
      <c r="UNK57" s="468"/>
      <c r="UNL57" s="468"/>
      <c r="UNM57" s="468"/>
      <c r="UNN57" s="468"/>
      <c r="UNO57" s="468"/>
      <c r="UNP57" s="468"/>
      <c r="UNQ57" s="468"/>
      <c r="UNR57" s="468"/>
      <c r="UNS57" s="468"/>
      <c r="UNT57" s="468"/>
      <c r="UNU57" s="468"/>
      <c r="UNV57" s="468"/>
      <c r="UNW57" s="468"/>
      <c r="UNX57" s="468"/>
      <c r="UNY57" s="468"/>
      <c r="UNZ57" s="468"/>
      <c r="UOA57" s="468"/>
      <c r="UOB57" s="468"/>
      <c r="UOC57" s="468"/>
      <c r="UOD57" s="468"/>
      <c r="UOE57" s="468"/>
      <c r="UOF57" s="468"/>
      <c r="UOG57" s="468"/>
      <c r="UOH57" s="468"/>
      <c r="UOI57" s="468"/>
      <c r="UOJ57" s="468"/>
      <c r="UOK57" s="468"/>
      <c r="UOL57" s="468"/>
      <c r="UOM57" s="468"/>
      <c r="UON57" s="468"/>
      <c r="UOO57" s="468"/>
      <c r="UOP57" s="468"/>
      <c r="UOQ57" s="468"/>
      <c r="UOR57" s="468"/>
      <c r="UOS57" s="468"/>
      <c r="UOT57" s="468"/>
      <c r="UOU57" s="468"/>
      <c r="UOV57" s="468"/>
      <c r="UOW57" s="468"/>
      <c r="UOX57" s="468"/>
      <c r="UOY57" s="468"/>
      <c r="UOZ57" s="468"/>
      <c r="UPA57" s="468"/>
      <c r="UPB57" s="468"/>
      <c r="UPC57" s="468"/>
      <c r="UPD57" s="468"/>
      <c r="UPE57" s="468"/>
      <c r="UPF57" s="468"/>
      <c r="UPG57" s="468"/>
      <c r="UPH57" s="468"/>
      <c r="UPI57" s="468"/>
      <c r="UPJ57" s="468"/>
      <c r="UPK57" s="468"/>
      <c r="UPL57" s="468"/>
      <c r="UPM57" s="468"/>
      <c r="UPN57" s="468"/>
      <c r="UPO57" s="468"/>
      <c r="UPP57" s="468"/>
      <c r="UPQ57" s="468"/>
      <c r="UPR57" s="468"/>
      <c r="UPS57" s="468"/>
      <c r="UPT57" s="468"/>
      <c r="UPU57" s="468"/>
      <c r="UPV57" s="468"/>
      <c r="UPW57" s="468"/>
      <c r="UPX57" s="468"/>
      <c r="UPY57" s="468"/>
      <c r="UPZ57" s="468"/>
      <c r="UQA57" s="468"/>
      <c r="UQB57" s="468"/>
      <c r="UQC57" s="468"/>
      <c r="UQD57" s="468"/>
      <c r="UQE57" s="468"/>
      <c r="UQF57" s="468"/>
      <c r="UQG57" s="468"/>
      <c r="UQH57" s="468"/>
      <c r="UQI57" s="468"/>
      <c r="UQJ57" s="468"/>
      <c r="UQK57" s="468"/>
      <c r="UQL57" s="468"/>
      <c r="UQM57" s="468"/>
      <c r="UQN57" s="468"/>
      <c r="UQO57" s="468"/>
      <c r="UQP57" s="468"/>
      <c r="UQQ57" s="468"/>
      <c r="UQR57" s="468"/>
      <c r="UQS57" s="468"/>
      <c r="UQT57" s="468"/>
      <c r="UQU57" s="468"/>
      <c r="UQV57" s="468"/>
      <c r="UQW57" s="468"/>
      <c r="UQX57" s="468"/>
      <c r="UQY57" s="468"/>
      <c r="UQZ57" s="468"/>
      <c r="URA57" s="468"/>
      <c r="URB57" s="468"/>
      <c r="URC57" s="468"/>
      <c r="URD57" s="468"/>
      <c r="URE57" s="468"/>
      <c r="URF57" s="468"/>
      <c r="URG57" s="468"/>
      <c r="URH57" s="468"/>
      <c r="URI57" s="468"/>
      <c r="URJ57" s="468"/>
      <c r="URK57" s="468"/>
      <c r="URL57" s="468"/>
      <c r="URM57" s="468"/>
      <c r="URN57" s="468"/>
      <c r="URO57" s="468"/>
      <c r="URP57" s="468"/>
      <c r="URQ57" s="468"/>
      <c r="URR57" s="468"/>
      <c r="URS57" s="468"/>
      <c r="URT57" s="468"/>
      <c r="URU57" s="468"/>
      <c r="URV57" s="468"/>
      <c r="URW57" s="468"/>
      <c r="URX57" s="468"/>
      <c r="URY57" s="468"/>
      <c r="URZ57" s="468"/>
      <c r="USA57" s="468"/>
      <c r="USB57" s="468"/>
      <c r="USC57" s="468"/>
      <c r="USD57" s="468"/>
      <c r="USE57" s="468"/>
      <c r="USF57" s="468"/>
      <c r="USG57" s="468"/>
      <c r="USH57" s="468"/>
      <c r="USI57" s="468"/>
      <c r="USJ57" s="468"/>
      <c r="USK57" s="468"/>
      <c r="USL57" s="468"/>
      <c r="USM57" s="468"/>
      <c r="USN57" s="468"/>
      <c r="USO57" s="468"/>
      <c r="USP57" s="468"/>
      <c r="USQ57" s="468"/>
      <c r="USR57" s="468"/>
      <c r="USS57" s="468"/>
      <c r="UST57" s="468"/>
      <c r="USU57" s="468"/>
      <c r="USV57" s="468"/>
      <c r="USW57" s="468"/>
      <c r="USX57" s="468"/>
      <c r="USY57" s="468"/>
      <c r="USZ57" s="468"/>
      <c r="UTA57" s="468"/>
      <c r="UTB57" s="468"/>
      <c r="UTC57" s="468"/>
      <c r="UTD57" s="468"/>
      <c r="UTE57" s="468"/>
      <c r="UTF57" s="468"/>
      <c r="UTG57" s="468"/>
      <c r="UTH57" s="468"/>
      <c r="UTI57" s="468"/>
      <c r="UTJ57" s="468"/>
      <c r="UTK57" s="468"/>
      <c r="UTL57" s="468"/>
      <c r="UTM57" s="468"/>
      <c r="UTN57" s="468"/>
      <c r="UTO57" s="468"/>
      <c r="UTP57" s="468"/>
      <c r="UTQ57" s="468"/>
      <c r="UTR57" s="468"/>
      <c r="UTS57" s="468"/>
      <c r="UTT57" s="468"/>
      <c r="UTU57" s="468"/>
      <c r="UTV57" s="468"/>
      <c r="UTW57" s="468"/>
      <c r="UTX57" s="468"/>
      <c r="UTY57" s="468"/>
      <c r="UTZ57" s="468"/>
      <c r="UUA57" s="468"/>
      <c r="UUB57" s="468"/>
      <c r="UUC57" s="468"/>
      <c r="UUD57" s="468"/>
      <c r="UUE57" s="468"/>
      <c r="UUF57" s="468"/>
      <c r="UUG57" s="468"/>
      <c r="UUH57" s="468"/>
      <c r="UUI57" s="468"/>
      <c r="UUJ57" s="468"/>
      <c r="UUK57" s="468"/>
      <c r="UUL57" s="468"/>
      <c r="UUM57" s="468"/>
      <c r="UUN57" s="468"/>
      <c r="UUO57" s="468"/>
      <c r="UUP57" s="468"/>
      <c r="UUQ57" s="468"/>
      <c r="UUR57" s="468"/>
      <c r="UUS57" s="468"/>
      <c r="UUT57" s="468"/>
      <c r="UUU57" s="468"/>
      <c r="UUV57" s="468"/>
      <c r="UUW57" s="468"/>
      <c r="UUX57" s="468"/>
      <c r="UUY57" s="468"/>
      <c r="UUZ57" s="468"/>
      <c r="UVA57" s="468"/>
      <c r="UVB57" s="468"/>
      <c r="UVC57" s="468"/>
      <c r="UVD57" s="468"/>
      <c r="UVE57" s="468"/>
      <c r="UVF57" s="468"/>
      <c r="UVG57" s="468"/>
      <c r="UVH57" s="468"/>
      <c r="UVI57" s="468"/>
      <c r="UVJ57" s="468"/>
      <c r="UVK57" s="468"/>
      <c r="UVL57" s="468"/>
      <c r="UVM57" s="468"/>
      <c r="UVN57" s="468"/>
      <c r="UVO57" s="468"/>
      <c r="UVP57" s="468"/>
      <c r="UVQ57" s="468"/>
      <c r="UVR57" s="468"/>
      <c r="UVS57" s="468"/>
      <c r="UVT57" s="468"/>
      <c r="UVU57" s="468"/>
      <c r="UVV57" s="468"/>
      <c r="UVW57" s="468"/>
      <c r="UVX57" s="468"/>
      <c r="UVY57" s="468"/>
      <c r="UVZ57" s="468"/>
      <c r="UWA57" s="468"/>
      <c r="UWB57" s="468"/>
      <c r="UWC57" s="468"/>
      <c r="UWD57" s="468"/>
      <c r="UWE57" s="468"/>
      <c r="UWF57" s="468"/>
      <c r="UWG57" s="468"/>
      <c r="UWH57" s="468"/>
      <c r="UWI57" s="468"/>
      <c r="UWJ57" s="468"/>
      <c r="UWK57" s="468"/>
      <c r="UWL57" s="468"/>
      <c r="UWM57" s="468"/>
      <c r="UWN57" s="468"/>
      <c r="UWO57" s="468"/>
      <c r="UWP57" s="468"/>
      <c r="UWQ57" s="468"/>
      <c r="UWR57" s="468"/>
      <c r="UWS57" s="468"/>
      <c r="UWT57" s="468"/>
      <c r="UWU57" s="468"/>
      <c r="UWV57" s="468"/>
      <c r="UWW57" s="468"/>
      <c r="UWX57" s="468"/>
      <c r="UWY57" s="468"/>
      <c r="UWZ57" s="468"/>
      <c r="UXA57" s="468"/>
      <c r="UXB57" s="468"/>
      <c r="UXC57" s="468"/>
      <c r="UXD57" s="468"/>
      <c r="UXE57" s="468"/>
      <c r="UXF57" s="468"/>
      <c r="UXG57" s="468"/>
      <c r="UXH57" s="468"/>
      <c r="UXI57" s="468"/>
      <c r="UXJ57" s="468"/>
      <c r="UXK57" s="468"/>
      <c r="UXL57" s="468"/>
      <c r="UXM57" s="468"/>
      <c r="UXN57" s="468"/>
      <c r="UXO57" s="468"/>
      <c r="UXP57" s="468"/>
      <c r="UXQ57" s="468"/>
      <c r="UXR57" s="468"/>
      <c r="UXS57" s="468"/>
      <c r="UXT57" s="468"/>
      <c r="UXU57" s="468"/>
      <c r="UXV57" s="468"/>
      <c r="UXW57" s="468"/>
      <c r="UXX57" s="468"/>
      <c r="UXY57" s="468"/>
      <c r="UXZ57" s="468"/>
      <c r="UYA57" s="468"/>
      <c r="UYB57" s="468"/>
      <c r="UYC57" s="468"/>
      <c r="UYD57" s="468"/>
      <c r="UYE57" s="468"/>
      <c r="UYF57" s="468"/>
      <c r="UYG57" s="468"/>
      <c r="UYH57" s="468"/>
      <c r="UYI57" s="468"/>
      <c r="UYJ57" s="468"/>
      <c r="UYK57" s="468"/>
      <c r="UYL57" s="468"/>
      <c r="UYM57" s="468"/>
      <c r="UYN57" s="468"/>
      <c r="UYO57" s="468"/>
      <c r="UYP57" s="468"/>
      <c r="UYQ57" s="468"/>
      <c r="UYR57" s="468"/>
      <c r="UYS57" s="468"/>
      <c r="UYT57" s="468"/>
      <c r="UYU57" s="468"/>
      <c r="UYV57" s="468"/>
      <c r="UYW57" s="468"/>
      <c r="UYX57" s="468"/>
      <c r="UYY57" s="468"/>
      <c r="UYZ57" s="468"/>
      <c r="UZA57" s="468"/>
      <c r="UZB57" s="468"/>
      <c r="UZC57" s="468"/>
      <c r="UZD57" s="468"/>
      <c r="UZE57" s="468"/>
      <c r="UZF57" s="468"/>
      <c r="UZG57" s="468"/>
      <c r="UZH57" s="468"/>
      <c r="UZI57" s="468"/>
      <c r="UZJ57" s="468"/>
      <c r="UZK57" s="468"/>
      <c r="UZL57" s="468"/>
      <c r="UZM57" s="468"/>
      <c r="UZN57" s="468"/>
      <c r="UZO57" s="468"/>
      <c r="UZP57" s="468"/>
      <c r="UZQ57" s="468"/>
      <c r="UZR57" s="468"/>
      <c r="UZS57" s="468"/>
      <c r="UZT57" s="468"/>
      <c r="UZU57" s="468"/>
      <c r="UZV57" s="468"/>
      <c r="UZW57" s="468"/>
      <c r="UZX57" s="468"/>
      <c r="UZY57" s="468"/>
      <c r="UZZ57" s="468"/>
      <c r="VAA57" s="468"/>
      <c r="VAB57" s="468"/>
      <c r="VAC57" s="468"/>
      <c r="VAD57" s="468"/>
      <c r="VAE57" s="468"/>
      <c r="VAF57" s="468"/>
      <c r="VAG57" s="468"/>
      <c r="VAH57" s="468"/>
      <c r="VAI57" s="468"/>
      <c r="VAJ57" s="468"/>
      <c r="VAK57" s="468"/>
      <c r="VAL57" s="468"/>
      <c r="VAM57" s="468"/>
      <c r="VAN57" s="468"/>
      <c r="VAO57" s="468"/>
      <c r="VAP57" s="468"/>
      <c r="VAQ57" s="468"/>
      <c r="VAR57" s="468"/>
      <c r="VAS57" s="468"/>
      <c r="VAT57" s="468"/>
      <c r="VAU57" s="468"/>
      <c r="VAV57" s="468"/>
      <c r="VAW57" s="468"/>
      <c r="VAX57" s="468"/>
      <c r="VAY57" s="468"/>
      <c r="VAZ57" s="468"/>
      <c r="VBA57" s="468"/>
      <c r="VBB57" s="468"/>
      <c r="VBC57" s="468"/>
      <c r="VBD57" s="468"/>
      <c r="VBE57" s="468"/>
      <c r="VBF57" s="468"/>
      <c r="VBG57" s="468"/>
      <c r="VBH57" s="468"/>
      <c r="VBI57" s="468"/>
      <c r="VBJ57" s="468"/>
      <c r="VBK57" s="468"/>
      <c r="VBL57" s="468"/>
      <c r="VBM57" s="468"/>
      <c r="VBN57" s="468"/>
      <c r="VBO57" s="468"/>
      <c r="VBP57" s="468"/>
      <c r="VBQ57" s="468"/>
      <c r="VBR57" s="468"/>
      <c r="VBS57" s="468"/>
      <c r="VBT57" s="468"/>
      <c r="VBU57" s="468"/>
      <c r="VBV57" s="468"/>
      <c r="VBW57" s="468"/>
      <c r="VBX57" s="468"/>
      <c r="VBY57" s="468"/>
      <c r="VBZ57" s="468"/>
      <c r="VCA57" s="468"/>
      <c r="VCB57" s="468"/>
      <c r="VCC57" s="468"/>
      <c r="VCD57" s="468"/>
      <c r="VCE57" s="468"/>
      <c r="VCF57" s="468"/>
      <c r="VCG57" s="468"/>
      <c r="VCH57" s="468"/>
      <c r="VCI57" s="468"/>
      <c r="VCJ57" s="468"/>
      <c r="VCK57" s="468"/>
      <c r="VCL57" s="468"/>
      <c r="VCM57" s="468"/>
      <c r="VCN57" s="468"/>
      <c r="VCO57" s="468"/>
      <c r="VCP57" s="468"/>
      <c r="VCQ57" s="468"/>
      <c r="VCR57" s="468"/>
      <c r="VCS57" s="468"/>
      <c r="VCT57" s="468"/>
      <c r="VCU57" s="468"/>
      <c r="VCV57" s="468"/>
      <c r="VCW57" s="468"/>
      <c r="VCX57" s="468"/>
      <c r="VCY57" s="468"/>
      <c r="VCZ57" s="468"/>
      <c r="VDA57" s="468"/>
      <c r="VDB57" s="468"/>
      <c r="VDC57" s="468"/>
      <c r="VDD57" s="468"/>
      <c r="VDE57" s="468"/>
      <c r="VDF57" s="468"/>
      <c r="VDG57" s="468"/>
      <c r="VDH57" s="468"/>
      <c r="VDI57" s="468"/>
      <c r="VDJ57" s="468"/>
      <c r="VDK57" s="468"/>
      <c r="VDL57" s="468"/>
      <c r="VDM57" s="468"/>
      <c r="VDN57" s="468"/>
      <c r="VDO57" s="468"/>
      <c r="VDP57" s="468"/>
      <c r="VDQ57" s="468"/>
      <c r="VDR57" s="468"/>
      <c r="VDS57" s="468"/>
      <c r="VDT57" s="468"/>
      <c r="VDU57" s="468"/>
      <c r="VDV57" s="468"/>
      <c r="VDW57" s="468"/>
      <c r="VDX57" s="468"/>
      <c r="VDY57" s="468"/>
      <c r="VDZ57" s="468"/>
      <c r="VEA57" s="468"/>
      <c r="VEB57" s="468"/>
      <c r="VEC57" s="468"/>
      <c r="VED57" s="468"/>
      <c r="VEE57" s="468"/>
      <c r="VEF57" s="468"/>
      <c r="VEG57" s="468"/>
      <c r="VEH57" s="468"/>
      <c r="VEI57" s="468"/>
      <c r="VEJ57" s="468"/>
      <c r="VEK57" s="468"/>
      <c r="VEL57" s="468"/>
      <c r="VEM57" s="468"/>
      <c r="VEN57" s="468"/>
      <c r="VEO57" s="468"/>
      <c r="VEP57" s="468"/>
      <c r="VEQ57" s="468"/>
      <c r="VER57" s="468"/>
      <c r="VES57" s="468"/>
      <c r="VET57" s="468"/>
      <c r="VEU57" s="468"/>
      <c r="VEV57" s="468"/>
      <c r="VEW57" s="468"/>
      <c r="VEX57" s="468"/>
      <c r="VEY57" s="468"/>
      <c r="VEZ57" s="468"/>
      <c r="VFA57" s="468"/>
      <c r="VFB57" s="468"/>
      <c r="VFC57" s="468"/>
      <c r="VFD57" s="468"/>
      <c r="VFE57" s="468"/>
      <c r="VFF57" s="468"/>
      <c r="VFG57" s="468"/>
      <c r="VFH57" s="468"/>
      <c r="VFI57" s="468"/>
      <c r="VFJ57" s="468"/>
      <c r="VFK57" s="468"/>
      <c r="VFL57" s="468"/>
      <c r="VFM57" s="468"/>
      <c r="VFN57" s="468"/>
      <c r="VFO57" s="468"/>
      <c r="VFP57" s="468"/>
      <c r="VFQ57" s="468"/>
      <c r="VFR57" s="468"/>
      <c r="VFS57" s="468"/>
      <c r="VFT57" s="468"/>
      <c r="VFU57" s="468"/>
      <c r="VFV57" s="468"/>
      <c r="VFW57" s="468"/>
      <c r="VFX57" s="468"/>
      <c r="VFY57" s="468"/>
      <c r="VFZ57" s="468"/>
      <c r="VGA57" s="468"/>
      <c r="VGB57" s="468"/>
      <c r="VGC57" s="468"/>
      <c r="VGD57" s="468"/>
      <c r="VGE57" s="468"/>
      <c r="VGF57" s="468"/>
      <c r="VGG57" s="468"/>
      <c r="VGH57" s="468"/>
      <c r="VGI57" s="468"/>
      <c r="VGJ57" s="468"/>
      <c r="VGK57" s="468"/>
      <c r="VGL57" s="468"/>
      <c r="VGM57" s="468"/>
      <c r="VGN57" s="468"/>
      <c r="VGO57" s="468"/>
      <c r="VGP57" s="468"/>
      <c r="VGQ57" s="468"/>
      <c r="VGR57" s="468"/>
      <c r="VGS57" s="468"/>
      <c r="VGT57" s="468"/>
      <c r="VGU57" s="468"/>
      <c r="VGV57" s="468"/>
      <c r="VGW57" s="468"/>
      <c r="VGX57" s="468"/>
      <c r="VGY57" s="468"/>
      <c r="VGZ57" s="468"/>
      <c r="VHA57" s="468"/>
      <c r="VHB57" s="468"/>
      <c r="VHC57" s="468"/>
      <c r="VHD57" s="468"/>
      <c r="VHE57" s="468"/>
      <c r="VHF57" s="468"/>
      <c r="VHG57" s="468"/>
      <c r="VHH57" s="468"/>
      <c r="VHI57" s="468"/>
      <c r="VHJ57" s="468"/>
      <c r="VHK57" s="468"/>
      <c r="VHL57" s="468"/>
      <c r="VHM57" s="468"/>
      <c r="VHN57" s="468"/>
      <c r="VHO57" s="468"/>
      <c r="VHP57" s="468"/>
      <c r="VHQ57" s="468"/>
      <c r="VHR57" s="468"/>
      <c r="VHS57" s="468"/>
      <c r="VHT57" s="468"/>
      <c r="VHU57" s="468"/>
      <c r="VHV57" s="468"/>
      <c r="VHW57" s="468"/>
      <c r="VHX57" s="468"/>
      <c r="VHY57" s="468"/>
      <c r="VHZ57" s="468"/>
      <c r="VIA57" s="468"/>
      <c r="VIB57" s="468"/>
      <c r="VIC57" s="468"/>
      <c r="VID57" s="468"/>
      <c r="VIE57" s="468"/>
      <c r="VIF57" s="468"/>
      <c r="VIG57" s="468"/>
      <c r="VIH57" s="468"/>
      <c r="VII57" s="468"/>
      <c r="VIJ57" s="468"/>
      <c r="VIK57" s="468"/>
      <c r="VIL57" s="468"/>
      <c r="VIM57" s="468"/>
      <c r="VIN57" s="468"/>
      <c r="VIO57" s="468"/>
      <c r="VIP57" s="468"/>
      <c r="VIQ57" s="468"/>
      <c r="VIR57" s="468"/>
      <c r="VIS57" s="468"/>
      <c r="VIT57" s="468"/>
      <c r="VIU57" s="468"/>
      <c r="VIV57" s="468"/>
      <c r="VIW57" s="468"/>
      <c r="VIX57" s="468"/>
      <c r="VIY57" s="468"/>
      <c r="VIZ57" s="468"/>
      <c r="VJA57" s="468"/>
      <c r="VJB57" s="468"/>
      <c r="VJC57" s="468"/>
      <c r="VJD57" s="468"/>
      <c r="VJE57" s="468"/>
      <c r="VJF57" s="468"/>
      <c r="VJG57" s="468"/>
      <c r="VJH57" s="468"/>
      <c r="VJI57" s="468"/>
      <c r="VJJ57" s="468"/>
      <c r="VJK57" s="468"/>
      <c r="VJL57" s="468"/>
      <c r="VJM57" s="468"/>
      <c r="VJN57" s="468"/>
      <c r="VJO57" s="468"/>
      <c r="VJP57" s="468"/>
      <c r="VJQ57" s="468"/>
      <c r="VJR57" s="468"/>
      <c r="VJS57" s="468"/>
      <c r="VJT57" s="468"/>
      <c r="VJU57" s="468"/>
      <c r="VJV57" s="468"/>
      <c r="VJW57" s="468"/>
      <c r="VJX57" s="468"/>
      <c r="VJY57" s="468"/>
      <c r="VJZ57" s="468"/>
      <c r="VKA57" s="468"/>
      <c r="VKB57" s="468"/>
      <c r="VKC57" s="468"/>
      <c r="VKD57" s="468"/>
      <c r="VKE57" s="468"/>
      <c r="VKF57" s="468"/>
      <c r="VKG57" s="468"/>
      <c r="VKH57" s="468"/>
      <c r="VKI57" s="468"/>
      <c r="VKJ57" s="468"/>
      <c r="VKK57" s="468"/>
      <c r="VKL57" s="468"/>
      <c r="VKM57" s="468"/>
      <c r="VKN57" s="468"/>
      <c r="VKO57" s="468"/>
      <c r="VKP57" s="468"/>
      <c r="VKQ57" s="468"/>
      <c r="VKR57" s="468"/>
      <c r="VKS57" s="468"/>
      <c r="VKT57" s="468"/>
      <c r="VKU57" s="468"/>
      <c r="VKV57" s="468"/>
      <c r="VKW57" s="468"/>
      <c r="VKX57" s="468"/>
      <c r="VKY57" s="468"/>
      <c r="VKZ57" s="468"/>
      <c r="VLA57" s="468"/>
      <c r="VLB57" s="468"/>
      <c r="VLC57" s="468"/>
      <c r="VLD57" s="468"/>
      <c r="VLE57" s="468"/>
      <c r="VLF57" s="468"/>
      <c r="VLG57" s="468"/>
      <c r="VLH57" s="468"/>
      <c r="VLI57" s="468"/>
      <c r="VLJ57" s="468"/>
      <c r="VLK57" s="468"/>
      <c r="VLL57" s="468"/>
      <c r="VLM57" s="468"/>
      <c r="VLN57" s="468"/>
      <c r="VLO57" s="468"/>
      <c r="VLP57" s="468"/>
      <c r="VLQ57" s="468"/>
      <c r="VLR57" s="468"/>
      <c r="VLS57" s="468"/>
      <c r="VLT57" s="468"/>
      <c r="VLU57" s="468"/>
      <c r="VLV57" s="468"/>
      <c r="VLW57" s="468"/>
      <c r="VLX57" s="468"/>
      <c r="VLY57" s="468"/>
      <c r="VLZ57" s="468"/>
      <c r="VMA57" s="468"/>
      <c r="VMB57" s="468"/>
      <c r="VMC57" s="468"/>
      <c r="VMD57" s="468"/>
      <c r="VME57" s="468"/>
      <c r="VMF57" s="468"/>
      <c r="VMG57" s="468"/>
      <c r="VMH57" s="468"/>
      <c r="VMI57" s="468"/>
      <c r="VMJ57" s="468"/>
      <c r="VMK57" s="468"/>
      <c r="VML57" s="468"/>
      <c r="VMM57" s="468"/>
      <c r="VMN57" s="468"/>
      <c r="VMO57" s="468"/>
      <c r="VMP57" s="468"/>
      <c r="VMQ57" s="468"/>
      <c r="VMR57" s="468"/>
      <c r="VMS57" s="468"/>
      <c r="VMT57" s="468"/>
      <c r="VMU57" s="468"/>
      <c r="VMV57" s="468"/>
      <c r="VMW57" s="468"/>
      <c r="VMX57" s="468"/>
      <c r="VMY57" s="468"/>
      <c r="VMZ57" s="468"/>
      <c r="VNA57" s="468"/>
      <c r="VNB57" s="468"/>
      <c r="VNC57" s="468"/>
      <c r="VND57" s="468"/>
      <c r="VNE57" s="468"/>
      <c r="VNF57" s="468"/>
      <c r="VNG57" s="468"/>
      <c r="VNH57" s="468"/>
      <c r="VNI57" s="468"/>
      <c r="VNJ57" s="468"/>
      <c r="VNK57" s="468"/>
      <c r="VNL57" s="468"/>
      <c r="VNM57" s="468"/>
      <c r="VNN57" s="468"/>
      <c r="VNO57" s="468"/>
      <c r="VNP57" s="468"/>
      <c r="VNQ57" s="468"/>
      <c r="VNR57" s="468"/>
      <c r="VNS57" s="468"/>
      <c r="VNT57" s="468"/>
      <c r="VNU57" s="468"/>
      <c r="VNV57" s="468"/>
      <c r="VNW57" s="468"/>
      <c r="VNX57" s="468"/>
      <c r="VNY57" s="468"/>
      <c r="VNZ57" s="468"/>
      <c r="VOA57" s="468"/>
      <c r="VOB57" s="468"/>
      <c r="VOC57" s="468"/>
      <c r="VOD57" s="468"/>
      <c r="VOE57" s="468"/>
      <c r="VOF57" s="468"/>
      <c r="VOG57" s="468"/>
      <c r="VOH57" s="468"/>
      <c r="VOI57" s="468"/>
      <c r="VOJ57" s="468"/>
      <c r="VOK57" s="468"/>
      <c r="VOL57" s="468"/>
      <c r="VOM57" s="468"/>
      <c r="VON57" s="468"/>
      <c r="VOO57" s="468"/>
      <c r="VOP57" s="468"/>
      <c r="VOQ57" s="468"/>
      <c r="VOR57" s="468"/>
      <c r="VOS57" s="468"/>
      <c r="VOT57" s="468"/>
      <c r="VOU57" s="468"/>
      <c r="VOV57" s="468"/>
      <c r="VOW57" s="468"/>
      <c r="VOX57" s="468"/>
      <c r="VOY57" s="468"/>
      <c r="VOZ57" s="468"/>
      <c r="VPA57" s="468"/>
      <c r="VPB57" s="468"/>
      <c r="VPC57" s="468"/>
      <c r="VPD57" s="468"/>
      <c r="VPE57" s="468"/>
      <c r="VPF57" s="468"/>
      <c r="VPG57" s="468"/>
      <c r="VPH57" s="468"/>
      <c r="VPI57" s="468"/>
      <c r="VPJ57" s="468"/>
      <c r="VPK57" s="468"/>
      <c r="VPL57" s="468"/>
      <c r="VPM57" s="468"/>
      <c r="VPN57" s="468"/>
      <c r="VPO57" s="468"/>
      <c r="VPP57" s="468"/>
      <c r="VPQ57" s="468"/>
      <c r="VPR57" s="468"/>
      <c r="VPS57" s="468"/>
      <c r="VPT57" s="468"/>
      <c r="VPU57" s="468"/>
      <c r="VPV57" s="468"/>
      <c r="VPW57" s="468"/>
      <c r="VPX57" s="468"/>
      <c r="VPY57" s="468"/>
      <c r="VPZ57" s="468"/>
      <c r="VQA57" s="468"/>
      <c r="VQB57" s="468"/>
      <c r="VQC57" s="468"/>
      <c r="VQD57" s="468"/>
      <c r="VQE57" s="468"/>
      <c r="VQF57" s="468"/>
      <c r="VQG57" s="468"/>
      <c r="VQH57" s="468"/>
      <c r="VQI57" s="468"/>
      <c r="VQJ57" s="468"/>
      <c r="VQK57" s="468"/>
      <c r="VQL57" s="468"/>
      <c r="VQM57" s="468"/>
      <c r="VQN57" s="468"/>
      <c r="VQO57" s="468"/>
      <c r="VQP57" s="468"/>
      <c r="VQQ57" s="468"/>
      <c r="VQR57" s="468"/>
      <c r="VQS57" s="468"/>
      <c r="VQT57" s="468"/>
      <c r="VQU57" s="468"/>
      <c r="VQV57" s="468"/>
      <c r="VQW57" s="468"/>
      <c r="VQX57" s="468"/>
      <c r="VQY57" s="468"/>
      <c r="VQZ57" s="468"/>
      <c r="VRA57" s="468"/>
      <c r="VRB57" s="468"/>
      <c r="VRC57" s="468"/>
      <c r="VRD57" s="468"/>
      <c r="VRE57" s="468"/>
      <c r="VRF57" s="468"/>
      <c r="VRG57" s="468"/>
      <c r="VRH57" s="468"/>
      <c r="VRI57" s="468"/>
      <c r="VRJ57" s="468"/>
      <c r="VRK57" s="468"/>
      <c r="VRL57" s="468"/>
      <c r="VRM57" s="468"/>
      <c r="VRN57" s="468"/>
      <c r="VRO57" s="468"/>
      <c r="VRP57" s="468"/>
      <c r="VRQ57" s="468"/>
      <c r="VRR57" s="468"/>
      <c r="VRS57" s="468"/>
      <c r="VRT57" s="468"/>
      <c r="VRU57" s="468"/>
      <c r="VRV57" s="468"/>
      <c r="VRW57" s="468"/>
      <c r="VRX57" s="468"/>
      <c r="VRY57" s="468"/>
      <c r="VRZ57" s="468"/>
      <c r="VSA57" s="468"/>
      <c r="VSB57" s="468"/>
      <c r="VSC57" s="468"/>
      <c r="VSD57" s="468"/>
      <c r="VSE57" s="468"/>
      <c r="VSF57" s="468"/>
      <c r="VSG57" s="468"/>
      <c r="VSH57" s="468"/>
      <c r="VSI57" s="468"/>
      <c r="VSJ57" s="468"/>
      <c r="VSK57" s="468"/>
      <c r="VSL57" s="468"/>
      <c r="VSM57" s="468"/>
      <c r="VSN57" s="468"/>
      <c r="VSO57" s="468"/>
      <c r="VSP57" s="468"/>
      <c r="VSQ57" s="468"/>
      <c r="VSR57" s="468"/>
      <c r="VSS57" s="468"/>
      <c r="VST57" s="468"/>
      <c r="VSU57" s="468"/>
      <c r="VSV57" s="468"/>
      <c r="VSW57" s="468"/>
      <c r="VSX57" s="468"/>
      <c r="VSY57" s="468"/>
      <c r="VSZ57" s="468"/>
      <c r="VTA57" s="468"/>
      <c r="VTB57" s="468"/>
      <c r="VTC57" s="468"/>
      <c r="VTD57" s="468"/>
      <c r="VTE57" s="468"/>
      <c r="VTF57" s="468"/>
      <c r="VTG57" s="468"/>
      <c r="VTH57" s="468"/>
      <c r="VTI57" s="468"/>
      <c r="VTJ57" s="468"/>
      <c r="VTK57" s="468"/>
      <c r="VTL57" s="468"/>
      <c r="VTM57" s="468"/>
      <c r="VTN57" s="468"/>
      <c r="VTO57" s="468"/>
      <c r="VTP57" s="468"/>
      <c r="VTQ57" s="468"/>
      <c r="VTR57" s="468"/>
      <c r="VTS57" s="468"/>
      <c r="VTT57" s="468"/>
      <c r="VTU57" s="468"/>
      <c r="VTV57" s="468"/>
      <c r="VTW57" s="468"/>
      <c r="VTX57" s="468"/>
      <c r="VTY57" s="468"/>
      <c r="VTZ57" s="468"/>
      <c r="VUA57" s="468"/>
      <c r="VUB57" s="468"/>
      <c r="VUC57" s="468"/>
      <c r="VUD57" s="468"/>
      <c r="VUE57" s="468"/>
      <c r="VUF57" s="468"/>
      <c r="VUG57" s="468"/>
      <c r="VUH57" s="468"/>
      <c r="VUI57" s="468"/>
      <c r="VUJ57" s="468"/>
      <c r="VUK57" s="468"/>
      <c r="VUL57" s="468"/>
      <c r="VUM57" s="468"/>
      <c r="VUN57" s="468"/>
      <c r="VUO57" s="468"/>
      <c r="VUP57" s="468"/>
      <c r="VUQ57" s="468"/>
      <c r="VUR57" s="468"/>
      <c r="VUS57" s="468"/>
      <c r="VUT57" s="468"/>
      <c r="VUU57" s="468"/>
      <c r="VUV57" s="468"/>
      <c r="VUW57" s="468"/>
      <c r="VUX57" s="468"/>
      <c r="VUY57" s="468"/>
      <c r="VUZ57" s="468"/>
      <c r="VVA57" s="468"/>
      <c r="VVB57" s="468"/>
      <c r="VVC57" s="468"/>
      <c r="VVD57" s="468"/>
      <c r="VVE57" s="468"/>
      <c r="VVF57" s="468"/>
      <c r="VVG57" s="468"/>
      <c r="VVH57" s="468"/>
      <c r="VVI57" s="468"/>
      <c r="VVJ57" s="468"/>
      <c r="VVK57" s="468"/>
      <c r="VVL57" s="468"/>
      <c r="VVM57" s="468"/>
      <c r="VVN57" s="468"/>
      <c r="VVO57" s="468"/>
      <c r="VVP57" s="468"/>
      <c r="VVQ57" s="468"/>
      <c r="VVR57" s="468"/>
      <c r="VVS57" s="468"/>
      <c r="VVT57" s="468"/>
      <c r="VVU57" s="468"/>
      <c r="VVV57" s="468"/>
      <c r="VVW57" s="468"/>
      <c r="VVX57" s="468"/>
      <c r="VVY57" s="468"/>
      <c r="VVZ57" s="468"/>
      <c r="VWA57" s="468"/>
      <c r="VWB57" s="468"/>
      <c r="VWC57" s="468"/>
      <c r="VWD57" s="468"/>
      <c r="VWE57" s="468"/>
      <c r="VWF57" s="468"/>
      <c r="VWG57" s="468"/>
      <c r="VWH57" s="468"/>
      <c r="VWI57" s="468"/>
      <c r="VWJ57" s="468"/>
      <c r="VWK57" s="468"/>
      <c r="VWL57" s="468"/>
      <c r="VWM57" s="468"/>
      <c r="VWN57" s="468"/>
      <c r="VWO57" s="468"/>
      <c r="VWP57" s="468"/>
      <c r="VWQ57" s="468"/>
      <c r="VWR57" s="468"/>
      <c r="VWS57" s="468"/>
      <c r="VWT57" s="468"/>
      <c r="VWU57" s="468"/>
      <c r="VWV57" s="468"/>
      <c r="VWW57" s="468"/>
      <c r="VWX57" s="468"/>
      <c r="VWY57" s="468"/>
      <c r="VWZ57" s="468"/>
      <c r="VXA57" s="468"/>
      <c r="VXB57" s="468"/>
      <c r="VXC57" s="468"/>
      <c r="VXD57" s="468"/>
      <c r="VXE57" s="468"/>
      <c r="VXF57" s="468"/>
      <c r="VXG57" s="468"/>
      <c r="VXH57" s="468"/>
      <c r="VXI57" s="468"/>
      <c r="VXJ57" s="468"/>
      <c r="VXK57" s="468"/>
      <c r="VXL57" s="468"/>
      <c r="VXM57" s="468"/>
      <c r="VXN57" s="468"/>
      <c r="VXO57" s="468"/>
      <c r="VXP57" s="468"/>
      <c r="VXQ57" s="468"/>
      <c r="VXR57" s="468"/>
      <c r="VXS57" s="468"/>
      <c r="VXT57" s="468"/>
      <c r="VXU57" s="468"/>
      <c r="VXV57" s="468"/>
      <c r="VXW57" s="468"/>
      <c r="VXX57" s="468"/>
      <c r="VXY57" s="468"/>
      <c r="VXZ57" s="468"/>
      <c r="VYA57" s="468"/>
      <c r="VYB57" s="468"/>
      <c r="VYC57" s="468"/>
      <c r="VYD57" s="468"/>
      <c r="VYE57" s="468"/>
      <c r="VYF57" s="468"/>
      <c r="VYG57" s="468"/>
      <c r="VYH57" s="468"/>
      <c r="VYI57" s="468"/>
      <c r="VYJ57" s="468"/>
      <c r="VYK57" s="468"/>
      <c r="VYL57" s="468"/>
      <c r="VYM57" s="468"/>
      <c r="VYN57" s="468"/>
      <c r="VYO57" s="468"/>
      <c r="VYP57" s="468"/>
      <c r="VYQ57" s="468"/>
      <c r="VYR57" s="468"/>
      <c r="VYS57" s="468"/>
      <c r="VYT57" s="468"/>
      <c r="VYU57" s="468"/>
      <c r="VYV57" s="468"/>
      <c r="VYW57" s="468"/>
      <c r="VYX57" s="468"/>
      <c r="VYY57" s="468"/>
      <c r="VYZ57" s="468"/>
      <c r="VZA57" s="468"/>
      <c r="VZB57" s="468"/>
      <c r="VZC57" s="468"/>
      <c r="VZD57" s="468"/>
      <c r="VZE57" s="468"/>
      <c r="VZF57" s="468"/>
      <c r="VZG57" s="468"/>
      <c r="VZH57" s="468"/>
      <c r="VZI57" s="468"/>
      <c r="VZJ57" s="468"/>
      <c r="VZK57" s="468"/>
      <c r="VZL57" s="468"/>
      <c r="VZM57" s="468"/>
      <c r="VZN57" s="468"/>
      <c r="VZO57" s="468"/>
      <c r="VZP57" s="468"/>
      <c r="VZQ57" s="468"/>
      <c r="VZR57" s="468"/>
      <c r="VZS57" s="468"/>
      <c r="VZT57" s="468"/>
      <c r="VZU57" s="468"/>
      <c r="VZV57" s="468"/>
      <c r="VZW57" s="468"/>
      <c r="VZX57" s="468"/>
      <c r="VZY57" s="468"/>
      <c r="VZZ57" s="468"/>
      <c r="WAA57" s="468"/>
      <c r="WAB57" s="468"/>
      <c r="WAC57" s="468"/>
      <c r="WAD57" s="468"/>
      <c r="WAE57" s="468"/>
      <c r="WAF57" s="468"/>
      <c r="WAG57" s="468"/>
      <c r="WAH57" s="468"/>
      <c r="WAI57" s="468"/>
      <c r="WAJ57" s="468"/>
      <c r="WAK57" s="468"/>
      <c r="WAL57" s="468"/>
      <c r="WAM57" s="468"/>
      <c r="WAN57" s="468"/>
      <c r="WAO57" s="468"/>
      <c r="WAP57" s="468"/>
      <c r="WAQ57" s="468"/>
      <c r="WAR57" s="468"/>
      <c r="WAS57" s="468"/>
      <c r="WAT57" s="468"/>
      <c r="WAU57" s="468"/>
      <c r="WAV57" s="468"/>
      <c r="WAW57" s="468"/>
      <c r="WAX57" s="468"/>
      <c r="WAY57" s="468"/>
      <c r="WAZ57" s="468"/>
      <c r="WBA57" s="468"/>
      <c r="WBB57" s="468"/>
      <c r="WBC57" s="468"/>
      <c r="WBD57" s="468"/>
      <c r="WBE57" s="468"/>
      <c r="WBF57" s="468"/>
      <c r="WBG57" s="468"/>
      <c r="WBH57" s="468"/>
      <c r="WBI57" s="468"/>
      <c r="WBJ57" s="468"/>
      <c r="WBK57" s="468"/>
      <c r="WBL57" s="468"/>
      <c r="WBM57" s="468"/>
      <c r="WBN57" s="468"/>
      <c r="WBO57" s="468"/>
      <c r="WBP57" s="468"/>
      <c r="WBQ57" s="468"/>
      <c r="WBR57" s="468"/>
      <c r="WBS57" s="468"/>
      <c r="WBT57" s="468"/>
      <c r="WBU57" s="468"/>
      <c r="WBV57" s="468"/>
      <c r="WBW57" s="468"/>
      <c r="WBX57" s="468"/>
      <c r="WBY57" s="468"/>
      <c r="WBZ57" s="468"/>
      <c r="WCA57" s="468"/>
      <c r="WCB57" s="468"/>
      <c r="WCC57" s="468"/>
      <c r="WCD57" s="468"/>
      <c r="WCE57" s="468"/>
      <c r="WCF57" s="468"/>
      <c r="WCG57" s="468"/>
      <c r="WCH57" s="468"/>
      <c r="WCI57" s="468"/>
      <c r="WCJ57" s="468"/>
      <c r="WCK57" s="468"/>
      <c r="WCL57" s="468"/>
      <c r="WCM57" s="468"/>
      <c r="WCN57" s="468"/>
      <c r="WCO57" s="468"/>
      <c r="WCP57" s="468"/>
      <c r="WCQ57" s="468"/>
      <c r="WCR57" s="468"/>
      <c r="WCS57" s="468"/>
      <c r="WCT57" s="468"/>
      <c r="WCU57" s="468"/>
      <c r="WCV57" s="468"/>
      <c r="WCW57" s="468"/>
      <c r="WCX57" s="468"/>
      <c r="WCY57" s="468"/>
      <c r="WCZ57" s="468"/>
      <c r="WDA57" s="468"/>
      <c r="WDB57" s="468"/>
      <c r="WDC57" s="468"/>
      <c r="WDD57" s="468"/>
      <c r="WDE57" s="468"/>
      <c r="WDF57" s="468"/>
      <c r="WDG57" s="468"/>
      <c r="WDH57" s="468"/>
      <c r="WDI57" s="468"/>
      <c r="WDJ57" s="468"/>
      <c r="WDK57" s="468"/>
      <c r="WDL57" s="468"/>
      <c r="WDM57" s="468"/>
      <c r="WDN57" s="468"/>
      <c r="WDO57" s="468"/>
      <c r="WDP57" s="468"/>
      <c r="WDQ57" s="468"/>
      <c r="WDR57" s="468"/>
      <c r="WDS57" s="468"/>
      <c r="WDT57" s="468"/>
      <c r="WDU57" s="468"/>
      <c r="WDV57" s="468"/>
      <c r="WDW57" s="468"/>
      <c r="WDX57" s="468"/>
      <c r="WDY57" s="468"/>
      <c r="WDZ57" s="468"/>
      <c r="WEA57" s="468"/>
      <c r="WEB57" s="468"/>
      <c r="WEC57" s="468"/>
      <c r="WED57" s="468"/>
      <c r="WEE57" s="468"/>
      <c r="WEF57" s="468"/>
      <c r="WEG57" s="468"/>
      <c r="WEH57" s="468"/>
      <c r="WEI57" s="468"/>
      <c r="WEJ57" s="468"/>
      <c r="WEK57" s="468"/>
      <c r="WEL57" s="468"/>
      <c r="WEM57" s="468"/>
      <c r="WEN57" s="468"/>
      <c r="WEO57" s="468"/>
      <c r="WEP57" s="468"/>
      <c r="WEQ57" s="468"/>
      <c r="WER57" s="468"/>
      <c r="WES57" s="468"/>
      <c r="WET57" s="468"/>
      <c r="WEU57" s="468"/>
      <c r="WEV57" s="468"/>
      <c r="WEW57" s="468"/>
      <c r="WEX57" s="468"/>
      <c r="WEY57" s="468"/>
      <c r="WEZ57" s="468"/>
      <c r="WFA57" s="468"/>
      <c r="WFB57" s="468"/>
      <c r="WFC57" s="468"/>
      <c r="WFD57" s="468"/>
      <c r="WFE57" s="468"/>
      <c r="WFF57" s="468"/>
      <c r="WFG57" s="468"/>
      <c r="WFH57" s="468"/>
      <c r="WFI57" s="468"/>
      <c r="WFJ57" s="468"/>
      <c r="WFK57" s="468"/>
      <c r="WFL57" s="468"/>
      <c r="WFM57" s="468"/>
      <c r="WFN57" s="468"/>
      <c r="WFO57" s="468"/>
      <c r="WFP57" s="468"/>
      <c r="WFQ57" s="468"/>
      <c r="WFR57" s="468"/>
      <c r="WFS57" s="468"/>
      <c r="WFT57" s="468"/>
      <c r="WFU57" s="468"/>
      <c r="WFV57" s="468"/>
      <c r="WFW57" s="468"/>
      <c r="WFX57" s="468"/>
      <c r="WFY57" s="468"/>
      <c r="WFZ57" s="468"/>
      <c r="WGA57" s="468"/>
      <c r="WGB57" s="468"/>
      <c r="WGC57" s="468"/>
      <c r="WGD57" s="468"/>
      <c r="WGE57" s="468"/>
      <c r="WGF57" s="468"/>
      <c r="WGG57" s="468"/>
      <c r="WGH57" s="468"/>
      <c r="WGI57" s="468"/>
      <c r="WGJ57" s="468"/>
      <c r="WGK57" s="468"/>
      <c r="WGL57" s="468"/>
      <c r="WGM57" s="468"/>
      <c r="WGN57" s="468"/>
      <c r="WGO57" s="468"/>
      <c r="WGP57" s="468"/>
      <c r="WGQ57" s="468"/>
      <c r="WGR57" s="468"/>
      <c r="WGS57" s="468"/>
      <c r="WGT57" s="468"/>
      <c r="WGU57" s="468"/>
      <c r="WGV57" s="468"/>
      <c r="WGW57" s="468"/>
      <c r="WGX57" s="468"/>
      <c r="WGY57" s="468"/>
      <c r="WGZ57" s="468"/>
      <c r="WHA57" s="468"/>
      <c r="WHB57" s="468"/>
      <c r="WHC57" s="468"/>
      <c r="WHD57" s="468"/>
      <c r="WHE57" s="468"/>
      <c r="WHF57" s="468"/>
      <c r="WHG57" s="468"/>
      <c r="WHH57" s="468"/>
      <c r="WHI57" s="468"/>
      <c r="WHJ57" s="468"/>
      <c r="WHK57" s="468"/>
      <c r="WHL57" s="468"/>
      <c r="WHM57" s="468"/>
      <c r="WHN57" s="468"/>
      <c r="WHO57" s="468"/>
      <c r="WHP57" s="468"/>
      <c r="WHQ57" s="468"/>
      <c r="WHR57" s="468"/>
      <c r="WHS57" s="468"/>
      <c r="WHT57" s="468"/>
      <c r="WHU57" s="468"/>
      <c r="WHV57" s="468"/>
      <c r="WHW57" s="468"/>
      <c r="WHX57" s="468"/>
      <c r="WHY57" s="468"/>
      <c r="WHZ57" s="468"/>
      <c r="WIA57" s="468"/>
      <c r="WIB57" s="468"/>
      <c r="WIC57" s="468"/>
      <c r="WID57" s="468"/>
      <c r="WIE57" s="468"/>
      <c r="WIF57" s="468"/>
      <c r="WIG57" s="468"/>
      <c r="WIH57" s="468"/>
      <c r="WII57" s="468"/>
      <c r="WIJ57" s="468"/>
      <c r="WIK57" s="468"/>
      <c r="WIL57" s="468"/>
      <c r="WIM57" s="468"/>
      <c r="WIN57" s="468"/>
      <c r="WIO57" s="468"/>
      <c r="WIP57" s="468"/>
      <c r="WIQ57" s="468"/>
      <c r="WIR57" s="468"/>
      <c r="WIS57" s="468"/>
      <c r="WIT57" s="468"/>
      <c r="WIU57" s="468"/>
      <c r="WIV57" s="468"/>
      <c r="WIW57" s="468"/>
      <c r="WIX57" s="468"/>
      <c r="WIY57" s="468"/>
      <c r="WIZ57" s="468"/>
      <c r="WJA57" s="468"/>
      <c r="WJB57" s="468"/>
      <c r="WJC57" s="468"/>
      <c r="WJD57" s="468"/>
      <c r="WJE57" s="468"/>
      <c r="WJF57" s="468"/>
      <c r="WJG57" s="468"/>
      <c r="WJH57" s="468"/>
      <c r="WJI57" s="468"/>
      <c r="WJJ57" s="468"/>
      <c r="WJK57" s="468"/>
      <c r="WJL57" s="468"/>
      <c r="WJM57" s="468"/>
      <c r="WJN57" s="468"/>
      <c r="WJO57" s="468"/>
      <c r="WJP57" s="468"/>
      <c r="WJQ57" s="468"/>
      <c r="WJR57" s="468"/>
      <c r="WJS57" s="468"/>
      <c r="WJT57" s="468"/>
      <c r="WJU57" s="468"/>
      <c r="WJV57" s="468"/>
      <c r="WJW57" s="468"/>
      <c r="WJX57" s="468"/>
      <c r="WJY57" s="468"/>
      <c r="WJZ57" s="468"/>
      <c r="WKA57" s="468"/>
      <c r="WKB57" s="468"/>
      <c r="WKC57" s="468"/>
      <c r="WKD57" s="468"/>
      <c r="WKE57" s="468"/>
      <c r="WKF57" s="468"/>
      <c r="WKG57" s="468"/>
      <c r="WKH57" s="468"/>
      <c r="WKI57" s="468"/>
      <c r="WKJ57" s="468"/>
      <c r="WKK57" s="468"/>
      <c r="WKL57" s="468"/>
      <c r="WKM57" s="468"/>
      <c r="WKN57" s="468"/>
      <c r="WKO57" s="468"/>
      <c r="WKP57" s="468"/>
      <c r="WKQ57" s="468"/>
      <c r="WKR57" s="468"/>
      <c r="WKS57" s="468"/>
      <c r="WKT57" s="468"/>
      <c r="WKU57" s="468"/>
      <c r="WKV57" s="468"/>
      <c r="WKW57" s="468"/>
      <c r="WKX57" s="468"/>
      <c r="WKY57" s="468"/>
      <c r="WKZ57" s="468"/>
      <c r="WLA57" s="468"/>
      <c r="WLB57" s="468"/>
      <c r="WLC57" s="468"/>
      <c r="WLD57" s="468"/>
      <c r="WLE57" s="468"/>
      <c r="WLF57" s="468"/>
      <c r="WLG57" s="468"/>
      <c r="WLH57" s="468"/>
      <c r="WLI57" s="468"/>
      <c r="WLJ57" s="468"/>
      <c r="WLK57" s="468"/>
      <c r="WLL57" s="468"/>
      <c r="WLM57" s="468"/>
      <c r="WLN57" s="468"/>
      <c r="WLO57" s="468"/>
      <c r="WLP57" s="468"/>
      <c r="WLQ57" s="468"/>
      <c r="WLR57" s="468"/>
      <c r="WLS57" s="468"/>
      <c r="WLT57" s="468"/>
      <c r="WLU57" s="468"/>
      <c r="WLV57" s="468"/>
      <c r="WLW57" s="468"/>
      <c r="WLX57" s="468"/>
      <c r="WLY57" s="468"/>
      <c r="WLZ57" s="468"/>
      <c r="WMA57" s="468"/>
      <c r="WMB57" s="468"/>
      <c r="WMC57" s="468"/>
      <c r="WMD57" s="468"/>
      <c r="WME57" s="468"/>
      <c r="WMF57" s="468"/>
      <c r="WMG57" s="468"/>
      <c r="WMH57" s="468"/>
      <c r="WMI57" s="468"/>
      <c r="WMJ57" s="468"/>
      <c r="WMK57" s="468"/>
      <c r="WML57" s="468"/>
      <c r="WMM57" s="468"/>
      <c r="WMN57" s="468"/>
      <c r="WMO57" s="468"/>
      <c r="WMP57" s="468"/>
      <c r="WMQ57" s="468"/>
      <c r="WMR57" s="468"/>
      <c r="WMS57" s="468"/>
      <c r="WMT57" s="468"/>
      <c r="WMU57" s="468"/>
      <c r="WMV57" s="468"/>
      <c r="WMW57" s="468"/>
      <c r="WMX57" s="468"/>
      <c r="WMY57" s="468"/>
      <c r="WMZ57" s="468"/>
      <c r="WNA57" s="468"/>
      <c r="WNB57" s="468"/>
      <c r="WNC57" s="468"/>
      <c r="WND57" s="468"/>
      <c r="WNE57" s="468"/>
      <c r="WNF57" s="468"/>
      <c r="WNG57" s="468"/>
      <c r="WNH57" s="468"/>
      <c r="WNI57" s="468"/>
      <c r="WNJ57" s="468"/>
      <c r="WNK57" s="468"/>
      <c r="WNL57" s="468"/>
      <c r="WNM57" s="468"/>
      <c r="WNN57" s="468"/>
      <c r="WNO57" s="468"/>
      <c r="WNP57" s="468"/>
      <c r="WNQ57" s="468"/>
      <c r="WNR57" s="468"/>
      <c r="WNS57" s="468"/>
      <c r="WNT57" s="468"/>
      <c r="WNU57" s="468"/>
      <c r="WNV57" s="468"/>
      <c r="WNW57" s="468"/>
      <c r="WNX57" s="468"/>
      <c r="WNY57" s="468"/>
      <c r="WNZ57" s="468"/>
      <c r="WOA57" s="468"/>
      <c r="WOB57" s="468"/>
      <c r="WOC57" s="468"/>
      <c r="WOD57" s="468"/>
      <c r="WOE57" s="468"/>
      <c r="WOF57" s="468"/>
      <c r="WOG57" s="468"/>
      <c r="WOH57" s="468"/>
      <c r="WOI57" s="468"/>
      <c r="WOJ57" s="468"/>
      <c r="WOK57" s="468"/>
      <c r="WOL57" s="468"/>
      <c r="WOM57" s="468"/>
      <c r="WON57" s="468"/>
      <c r="WOO57" s="468"/>
      <c r="WOP57" s="468"/>
      <c r="WOQ57" s="468"/>
      <c r="WOR57" s="468"/>
      <c r="WOS57" s="468"/>
      <c r="WOT57" s="468"/>
      <c r="WOU57" s="468"/>
      <c r="WOV57" s="468"/>
      <c r="WOW57" s="468"/>
      <c r="WOX57" s="468"/>
      <c r="WOY57" s="468"/>
      <c r="WOZ57" s="468"/>
      <c r="WPA57" s="468"/>
      <c r="WPB57" s="468"/>
      <c r="WPC57" s="468"/>
      <c r="WPD57" s="468"/>
      <c r="WPE57" s="468"/>
      <c r="WPF57" s="468"/>
      <c r="WPG57" s="468"/>
      <c r="WPH57" s="468"/>
      <c r="WPI57" s="468"/>
      <c r="WPJ57" s="468"/>
      <c r="WPK57" s="468"/>
      <c r="WPL57" s="468"/>
      <c r="WPM57" s="468"/>
      <c r="WPN57" s="468"/>
      <c r="WPO57" s="468"/>
      <c r="WPP57" s="468"/>
      <c r="WPQ57" s="468"/>
      <c r="WPR57" s="468"/>
      <c r="WPS57" s="468"/>
      <c r="WPT57" s="468"/>
      <c r="WPU57" s="468"/>
      <c r="WPV57" s="468"/>
      <c r="WPW57" s="468"/>
      <c r="WPX57" s="468"/>
      <c r="WPY57" s="468"/>
      <c r="WPZ57" s="468"/>
      <c r="WQA57" s="468"/>
      <c r="WQB57" s="468"/>
      <c r="WQC57" s="468"/>
      <c r="WQD57" s="468"/>
      <c r="WQE57" s="468"/>
      <c r="WQF57" s="468"/>
      <c r="WQG57" s="468"/>
      <c r="WQH57" s="468"/>
      <c r="WQI57" s="468"/>
      <c r="WQJ57" s="468"/>
      <c r="WQK57" s="468"/>
      <c r="WQL57" s="468"/>
      <c r="WQM57" s="468"/>
      <c r="WQN57" s="468"/>
      <c r="WQO57" s="468"/>
      <c r="WQP57" s="468"/>
      <c r="WQQ57" s="468"/>
      <c r="WQR57" s="468"/>
      <c r="WQS57" s="468"/>
      <c r="WQT57" s="468"/>
      <c r="WQU57" s="468"/>
      <c r="WQV57" s="468"/>
      <c r="WQW57" s="468"/>
      <c r="WQX57" s="468"/>
      <c r="WQY57" s="468"/>
      <c r="WQZ57" s="468"/>
      <c r="WRA57" s="468"/>
      <c r="WRB57" s="468"/>
      <c r="WRC57" s="468"/>
      <c r="WRD57" s="468"/>
      <c r="WRE57" s="468"/>
      <c r="WRF57" s="468"/>
      <c r="WRG57" s="468"/>
      <c r="WRH57" s="468"/>
      <c r="WRI57" s="468"/>
      <c r="WRJ57" s="468"/>
      <c r="WRK57" s="468"/>
      <c r="WRL57" s="468"/>
      <c r="WRM57" s="468"/>
      <c r="WRN57" s="468"/>
      <c r="WRO57" s="468"/>
      <c r="WRP57" s="468"/>
      <c r="WRQ57" s="468"/>
      <c r="WRR57" s="468"/>
      <c r="WRS57" s="468"/>
      <c r="WRT57" s="468"/>
      <c r="WRU57" s="468"/>
      <c r="WRV57" s="468"/>
      <c r="WRW57" s="468"/>
      <c r="WRX57" s="468"/>
      <c r="WRY57" s="468"/>
      <c r="WRZ57" s="468"/>
      <c r="WSA57" s="468"/>
      <c r="WSB57" s="468"/>
      <c r="WSC57" s="468"/>
      <c r="WSD57" s="468"/>
      <c r="WSE57" s="468"/>
      <c r="WSF57" s="468"/>
      <c r="WSG57" s="468"/>
      <c r="WSH57" s="468"/>
      <c r="WSI57" s="468"/>
      <c r="WSJ57" s="468"/>
      <c r="WSK57" s="468"/>
      <c r="WSL57" s="468"/>
      <c r="WSM57" s="468"/>
      <c r="WSN57" s="468"/>
      <c r="WSO57" s="468"/>
      <c r="WSP57" s="468"/>
      <c r="WSQ57" s="468"/>
      <c r="WSR57" s="468"/>
      <c r="WSS57" s="468"/>
      <c r="WST57" s="468"/>
      <c r="WSU57" s="468"/>
      <c r="WSV57" s="468"/>
      <c r="WSW57" s="468"/>
      <c r="WSX57" s="468"/>
      <c r="WSY57" s="468"/>
      <c r="WSZ57" s="468"/>
      <c r="WTA57" s="468"/>
      <c r="WTB57" s="468"/>
      <c r="WTC57" s="468"/>
      <c r="WTD57" s="468"/>
      <c r="WTE57" s="468"/>
      <c r="WTF57" s="468"/>
      <c r="WTG57" s="468"/>
      <c r="WTH57" s="468"/>
      <c r="WTI57" s="468"/>
      <c r="WTJ57" s="468"/>
      <c r="WTK57" s="468"/>
      <c r="WTL57" s="468"/>
      <c r="WTM57" s="468"/>
      <c r="WTN57" s="468"/>
      <c r="WTO57" s="468"/>
      <c r="WTP57" s="468"/>
      <c r="WTQ57" s="468"/>
      <c r="WTR57" s="468"/>
      <c r="WTS57" s="468"/>
      <c r="WTT57" s="468"/>
      <c r="WTU57" s="468"/>
      <c r="WTV57" s="468"/>
      <c r="WTW57" s="468"/>
      <c r="WTX57" s="468"/>
      <c r="WTY57" s="468"/>
      <c r="WTZ57" s="468"/>
      <c r="WUA57" s="468"/>
      <c r="WUB57" s="468"/>
      <c r="WUC57" s="468"/>
      <c r="WUD57" s="468"/>
      <c r="WUE57" s="468"/>
      <c r="WUF57" s="468"/>
      <c r="WUG57" s="468"/>
      <c r="WUH57" s="468"/>
      <c r="WUI57" s="468"/>
      <c r="WUJ57" s="468"/>
      <c r="WUK57" s="468"/>
      <c r="WUL57" s="468"/>
      <c r="WUM57" s="468"/>
      <c r="WUN57" s="468"/>
      <c r="WUO57" s="468"/>
      <c r="WUP57" s="468"/>
      <c r="WUQ57" s="468"/>
      <c r="WUR57" s="468"/>
      <c r="WUS57" s="468"/>
      <c r="WUT57" s="468"/>
      <c r="WUU57" s="468"/>
      <c r="WUV57" s="468"/>
      <c r="WUW57" s="468"/>
      <c r="WUX57" s="468"/>
      <c r="WUY57" s="468"/>
      <c r="WUZ57" s="468"/>
      <c r="WVA57" s="468"/>
      <c r="WVB57" s="468"/>
      <c r="WVC57" s="468"/>
      <c r="WVD57" s="468"/>
      <c r="WVE57" s="468"/>
      <c r="WVF57" s="468"/>
      <c r="WVG57" s="468"/>
      <c r="WVH57" s="468"/>
      <c r="WVI57" s="468"/>
      <c r="WVJ57" s="468"/>
      <c r="WVK57" s="468"/>
      <c r="WVL57" s="468"/>
      <c r="WVM57" s="468"/>
      <c r="WVN57" s="468"/>
      <c r="WVO57" s="468"/>
      <c r="WVP57" s="468"/>
      <c r="WVQ57" s="468"/>
      <c r="WVR57" s="468"/>
      <c r="WVS57" s="468"/>
      <c r="WVT57" s="468"/>
      <c r="WVU57" s="468"/>
      <c r="WVV57" s="468"/>
      <c r="WVW57" s="468"/>
      <c r="WVX57" s="468"/>
      <c r="WVY57" s="468"/>
      <c r="WVZ57" s="468"/>
      <c r="WWA57" s="468"/>
      <c r="WWB57" s="468"/>
      <c r="WWC57" s="468"/>
      <c r="WWD57" s="468"/>
      <c r="WWE57" s="468"/>
      <c r="WWF57" s="468"/>
      <c r="WWG57" s="468"/>
      <c r="WWH57" s="468"/>
      <c r="WWI57" s="468"/>
      <c r="WWJ57" s="468"/>
      <c r="WWK57" s="468"/>
      <c r="WWL57" s="468"/>
      <c r="WWM57" s="468"/>
      <c r="WWN57" s="468"/>
      <c r="WWO57" s="468"/>
      <c r="WWP57" s="468"/>
      <c r="WWQ57" s="468"/>
      <c r="WWR57" s="468"/>
      <c r="WWS57" s="468"/>
      <c r="WWT57" s="468"/>
      <c r="WWU57" s="468"/>
      <c r="WWV57" s="468"/>
      <c r="WWW57" s="468"/>
      <c r="WWX57" s="468"/>
      <c r="WWY57" s="468"/>
      <c r="WWZ57" s="468"/>
      <c r="WXA57" s="468"/>
      <c r="WXB57" s="468"/>
      <c r="WXC57" s="468"/>
      <c r="WXD57" s="468"/>
      <c r="WXE57" s="468"/>
      <c r="WXF57" s="468"/>
      <c r="WXG57" s="468"/>
      <c r="WXH57" s="468"/>
      <c r="WXI57" s="468"/>
      <c r="WXJ57" s="468"/>
      <c r="WXK57" s="468"/>
      <c r="WXL57" s="468"/>
      <c r="WXM57" s="468"/>
      <c r="WXN57" s="468"/>
      <c r="WXO57" s="468"/>
      <c r="WXP57" s="468"/>
      <c r="WXQ57" s="468"/>
      <c r="WXR57" s="468"/>
      <c r="WXS57" s="468"/>
      <c r="WXT57" s="468"/>
      <c r="WXU57" s="468"/>
      <c r="WXV57" s="468"/>
      <c r="WXW57" s="468"/>
      <c r="WXX57" s="468"/>
      <c r="WXY57" s="468"/>
      <c r="WXZ57" s="468"/>
      <c r="WYA57" s="468"/>
      <c r="WYB57" s="468"/>
      <c r="WYC57" s="468"/>
      <c r="WYD57" s="468"/>
      <c r="WYE57" s="468"/>
      <c r="WYF57" s="468"/>
      <c r="WYG57" s="468"/>
      <c r="WYH57" s="468"/>
      <c r="WYI57" s="468"/>
      <c r="WYJ57" s="468"/>
      <c r="WYK57" s="468"/>
      <c r="WYL57" s="468"/>
      <c r="WYM57" s="468"/>
      <c r="WYN57" s="468"/>
      <c r="WYO57" s="468"/>
      <c r="WYP57" s="468"/>
      <c r="WYQ57" s="468"/>
      <c r="WYR57" s="468"/>
      <c r="WYS57" s="468"/>
      <c r="WYT57" s="468"/>
      <c r="WYU57" s="468"/>
      <c r="WYV57" s="468"/>
      <c r="WYW57" s="468"/>
      <c r="WYX57" s="468"/>
      <c r="WYY57" s="468"/>
      <c r="WYZ57" s="468"/>
      <c r="WZA57" s="468"/>
      <c r="WZB57" s="468"/>
      <c r="WZC57" s="468"/>
      <c r="WZD57" s="468"/>
      <c r="WZE57" s="468"/>
      <c r="WZF57" s="468"/>
      <c r="WZG57" s="468"/>
      <c r="WZH57" s="468"/>
      <c r="WZI57" s="468"/>
      <c r="WZJ57" s="468"/>
      <c r="WZK57" s="468"/>
      <c r="WZL57" s="468"/>
      <c r="WZM57" s="468"/>
      <c r="WZN57" s="468"/>
      <c r="WZO57" s="468"/>
      <c r="WZP57" s="468"/>
      <c r="WZQ57" s="468"/>
      <c r="WZR57" s="468"/>
      <c r="WZS57" s="468"/>
      <c r="WZT57" s="468"/>
      <c r="WZU57" s="468"/>
      <c r="WZV57" s="468"/>
      <c r="WZW57" s="468"/>
      <c r="WZX57" s="468"/>
      <c r="WZY57" s="468"/>
      <c r="WZZ57" s="468"/>
      <c r="XAA57" s="468"/>
      <c r="XAB57" s="468"/>
      <c r="XAC57" s="468"/>
      <c r="XAD57" s="468"/>
      <c r="XAE57" s="468"/>
      <c r="XAF57" s="468"/>
      <c r="XAG57" s="468"/>
      <c r="XAH57" s="468"/>
      <c r="XAI57" s="468"/>
      <c r="XAJ57" s="468"/>
      <c r="XAK57" s="468"/>
      <c r="XAL57" s="468"/>
      <c r="XAM57" s="468"/>
      <c r="XAN57" s="468"/>
      <c r="XAO57" s="468"/>
      <c r="XAP57" s="468"/>
      <c r="XAQ57" s="468"/>
      <c r="XAR57" s="468"/>
      <c r="XAS57" s="468"/>
      <c r="XAT57" s="468"/>
      <c r="XAU57" s="468"/>
      <c r="XAV57" s="468"/>
      <c r="XAW57" s="468"/>
      <c r="XAX57" s="468"/>
      <c r="XAY57" s="468"/>
      <c r="XAZ57" s="468"/>
      <c r="XBA57" s="468"/>
      <c r="XBB57" s="468"/>
      <c r="XBC57" s="468"/>
      <c r="XBD57" s="468"/>
      <c r="XBE57" s="468"/>
      <c r="XBF57" s="468"/>
      <c r="XBG57" s="468"/>
      <c r="XBH57" s="468"/>
      <c r="XBI57" s="468"/>
      <c r="XBJ57" s="468"/>
      <c r="XBK57" s="468"/>
      <c r="XBL57" s="468"/>
      <c r="XBM57" s="468"/>
      <c r="XBN57" s="468"/>
      <c r="XBO57" s="468"/>
      <c r="XBP57" s="468"/>
      <c r="XBQ57" s="468"/>
      <c r="XBR57" s="468"/>
      <c r="XBS57" s="468"/>
      <c r="XBT57" s="468"/>
      <c r="XBU57" s="468"/>
      <c r="XBV57" s="468"/>
      <c r="XBW57" s="468"/>
      <c r="XBX57" s="468"/>
      <c r="XBY57" s="468"/>
      <c r="XBZ57" s="468"/>
      <c r="XCA57" s="468"/>
      <c r="XCB57" s="468"/>
      <c r="XCC57" s="468"/>
      <c r="XCD57" s="468"/>
      <c r="XCE57" s="468"/>
      <c r="XCF57" s="468"/>
      <c r="XCG57" s="468"/>
      <c r="XCH57" s="468"/>
      <c r="XCI57" s="468"/>
      <c r="XCJ57" s="468"/>
      <c r="XCK57" s="468"/>
      <c r="XCL57" s="468"/>
      <c r="XCM57" s="468"/>
      <c r="XCN57" s="468"/>
      <c r="XCO57" s="468"/>
      <c r="XCP57" s="468"/>
      <c r="XCQ57" s="468"/>
      <c r="XCR57" s="468"/>
      <c r="XCS57" s="468"/>
      <c r="XCT57" s="468"/>
      <c r="XCU57" s="468"/>
      <c r="XCV57" s="468"/>
      <c r="XCW57" s="468"/>
      <c r="XCX57" s="468"/>
      <c r="XCY57" s="468"/>
      <c r="XCZ57" s="468"/>
      <c r="XDA57" s="468"/>
      <c r="XDB57" s="468"/>
      <c r="XDC57" s="468"/>
      <c r="XDD57" s="468"/>
      <c r="XDE57" s="468"/>
      <c r="XDF57" s="468"/>
      <c r="XDG57" s="468"/>
      <c r="XDH57" s="468"/>
      <c r="XDI57" s="468"/>
      <c r="XDJ57" s="468"/>
      <c r="XDK57" s="468"/>
      <c r="XDL57" s="468"/>
      <c r="XDM57" s="468"/>
      <c r="XDN57" s="468"/>
      <c r="XDO57" s="468"/>
      <c r="XDP57" s="468"/>
      <c r="XDQ57" s="468"/>
      <c r="XDR57" s="468"/>
      <c r="XDS57" s="468"/>
      <c r="XDT57" s="468"/>
      <c r="XDU57" s="468"/>
      <c r="XDV57" s="468"/>
      <c r="XDW57" s="468"/>
      <c r="XDX57" s="468"/>
      <c r="XDY57" s="468"/>
      <c r="XDZ57" s="468"/>
      <c r="XEA57" s="468"/>
      <c r="XEB57" s="468"/>
      <c r="XEC57" s="468"/>
      <c r="XED57" s="468"/>
      <c r="XEE57" s="468"/>
      <c r="XEF57" s="468"/>
      <c r="XEG57" s="468"/>
      <c r="XEH57" s="468"/>
      <c r="XEI57" s="468"/>
      <c r="XEJ57" s="468"/>
      <c r="XEK57" s="468"/>
      <c r="XEL57" s="468"/>
      <c r="XEM57" s="468"/>
      <c r="XEN57" s="468"/>
      <c r="XEO57" s="160"/>
      <c r="XEP57" s="58"/>
      <c r="XEQ57" s="124"/>
      <c r="XER57" s="126"/>
      <c r="XES57" s="43"/>
      <c r="XET57" s="158"/>
      <c r="XEU57" s="158"/>
      <c r="XEV57" s="224"/>
      <c r="XEW57" s="158"/>
      <c r="XEX57" s="158"/>
      <c r="XEY57" s="158"/>
      <c r="XEZ57" s="158"/>
      <c r="XFA57" s="158"/>
      <c r="XFB57" s="14"/>
      <c r="XFC57" s="58"/>
    </row>
    <row r="58" spans="1:16383" s="204" customFormat="1" ht="28.5" hidden="1" customHeight="1">
      <c r="A58" s="160" t="s">
        <v>501</v>
      </c>
      <c r="B58" s="118" t="s">
        <v>727</v>
      </c>
      <c r="C58" s="86" t="s">
        <v>721</v>
      </c>
      <c r="D58" s="141" t="s">
        <v>170</v>
      </c>
      <c r="E58" s="141"/>
      <c r="F58" s="141"/>
      <c r="G58" s="141"/>
      <c r="H58" s="30" t="s">
        <v>648</v>
      </c>
      <c r="I58" s="30">
        <v>809</v>
      </c>
      <c r="J58" s="212">
        <v>42130</v>
      </c>
      <c r="K58" s="158"/>
      <c r="L58" s="158">
        <v>70</v>
      </c>
      <c r="M58" s="158"/>
      <c r="N58" s="158"/>
      <c r="O58" s="158"/>
      <c r="P58" s="158">
        <v>4824714370</v>
      </c>
      <c r="Q58" s="158"/>
      <c r="R58" s="158"/>
      <c r="S58" s="158"/>
      <c r="T58" s="158">
        <v>2018356235</v>
      </c>
      <c r="U58" s="158">
        <v>10</v>
      </c>
      <c r="V58" s="158"/>
      <c r="W58" s="158"/>
      <c r="X58" s="158"/>
      <c r="Y58" s="94">
        <v>2806358135</v>
      </c>
      <c r="Z58" s="158">
        <v>20</v>
      </c>
      <c r="AA58" s="158"/>
      <c r="AB58" s="158"/>
      <c r="AC58" s="158"/>
      <c r="AD58" s="158"/>
      <c r="AE58" s="94">
        <f>P58-T58-Y58</f>
        <v>0</v>
      </c>
      <c r="AF58" s="94"/>
      <c r="AG58" s="94">
        <v>0</v>
      </c>
      <c r="AH58" s="94"/>
      <c r="AI58" s="94"/>
      <c r="AJ58" s="94">
        <f>AE58+AG58</f>
        <v>0</v>
      </c>
      <c r="AK58" s="94">
        <v>877</v>
      </c>
      <c r="AL58" s="94">
        <v>10</v>
      </c>
      <c r="AM58" s="158"/>
      <c r="AN58" s="158"/>
      <c r="AO58" s="158"/>
      <c r="AP58" s="158"/>
      <c r="AQ58" s="158"/>
      <c r="AR58" s="158"/>
      <c r="AS58" s="2">
        <v>1</v>
      </c>
      <c r="AT58" s="58" t="s">
        <v>646</v>
      </c>
      <c r="AU58" s="104"/>
      <c r="AV58" s="158" t="s">
        <v>0</v>
      </c>
      <c r="AW58" s="158"/>
      <c r="AX58" s="158"/>
      <c r="AY58" s="158">
        <v>70</v>
      </c>
      <c r="AZ58" s="158"/>
      <c r="BA58" s="158"/>
      <c r="BB58" s="69">
        <v>70</v>
      </c>
      <c r="BC58" s="69"/>
      <c r="BD58" s="271">
        <v>2019</v>
      </c>
      <c r="BE58" s="271">
        <v>2019</v>
      </c>
      <c r="BF58" s="271"/>
    </row>
    <row r="59" spans="1:16383" s="204" customFormat="1" ht="27.75" customHeight="1">
      <c r="A59" s="160" t="s">
        <v>501</v>
      </c>
      <c r="B59" s="118" t="s">
        <v>727</v>
      </c>
      <c r="C59" s="86" t="s">
        <v>1060</v>
      </c>
      <c r="D59" s="141" t="s">
        <v>170</v>
      </c>
      <c r="E59" s="141"/>
      <c r="F59" s="141"/>
      <c r="G59" s="141"/>
      <c r="H59" s="30" t="s">
        <v>648</v>
      </c>
      <c r="I59" s="30">
        <v>809</v>
      </c>
      <c r="J59" s="212">
        <v>42130</v>
      </c>
      <c r="K59" s="158"/>
      <c r="L59" s="158"/>
      <c r="M59" s="158">
        <v>6</v>
      </c>
      <c r="N59" s="158">
        <v>6</v>
      </c>
      <c r="O59" s="158"/>
      <c r="P59" s="158">
        <v>413546946</v>
      </c>
      <c r="Q59" s="158"/>
      <c r="R59" s="158"/>
      <c r="S59" s="158"/>
      <c r="T59" s="158"/>
      <c r="U59" s="158"/>
      <c r="V59" s="158"/>
      <c r="W59" s="158"/>
      <c r="X59" s="158"/>
      <c r="Y59" s="94"/>
      <c r="Z59" s="158"/>
      <c r="AA59" s="158"/>
      <c r="AB59" s="158"/>
      <c r="AC59" s="158"/>
      <c r="AD59" s="158"/>
      <c r="AE59" s="94">
        <f>P59-T59-Y59-413546946</f>
        <v>0</v>
      </c>
      <c r="AF59" s="94"/>
      <c r="AG59" s="94">
        <v>413546946</v>
      </c>
      <c r="AH59" s="94"/>
      <c r="AI59" s="94"/>
      <c r="AJ59" s="94">
        <f>AE59+AG59</f>
        <v>413546946</v>
      </c>
      <c r="AK59" s="94">
        <v>877</v>
      </c>
      <c r="AL59" s="94">
        <v>10</v>
      </c>
      <c r="AM59" s="158">
        <v>6</v>
      </c>
      <c r="AN59" s="158"/>
      <c r="AO59" s="158"/>
      <c r="AP59" s="158"/>
      <c r="AQ59" s="158"/>
      <c r="AR59" s="158"/>
      <c r="AS59" s="2">
        <v>0</v>
      </c>
      <c r="AT59" s="58" t="s">
        <v>521</v>
      </c>
      <c r="AU59" s="104"/>
      <c r="AV59" s="158"/>
      <c r="AW59" s="158"/>
      <c r="AX59" s="158"/>
      <c r="AY59" s="158"/>
      <c r="AZ59" s="158"/>
      <c r="BA59" s="158"/>
      <c r="BB59" s="69"/>
      <c r="BC59" s="69"/>
      <c r="BD59" s="271"/>
      <c r="BE59" s="271">
        <v>2019</v>
      </c>
      <c r="BF59" s="271">
        <v>2020</v>
      </c>
    </row>
    <row r="60" spans="1:16383" s="204" customFormat="1" ht="29.25" hidden="1" customHeight="1">
      <c r="A60" s="160" t="s">
        <v>501</v>
      </c>
      <c r="B60" s="118" t="s">
        <v>727</v>
      </c>
      <c r="C60" s="118" t="s">
        <v>33</v>
      </c>
      <c r="D60" s="118" t="s">
        <v>16</v>
      </c>
      <c r="E60" s="118"/>
      <c r="F60" s="118"/>
      <c r="G60" s="118"/>
      <c r="H60" s="30" t="s">
        <v>1549</v>
      </c>
      <c r="I60" s="115" t="s">
        <v>1702</v>
      </c>
      <c r="J60" s="215" t="s">
        <v>1547</v>
      </c>
      <c r="K60" s="158"/>
      <c r="L60" s="158"/>
      <c r="M60" s="158"/>
      <c r="N60" s="158"/>
      <c r="O60" s="158"/>
      <c r="P60" s="158">
        <f>3326338256-69298713</f>
        <v>3257039543</v>
      </c>
      <c r="Q60" s="158"/>
      <c r="R60" s="158"/>
      <c r="S60" s="158"/>
      <c r="T60" s="94">
        <v>1437619174</v>
      </c>
      <c r="U60" s="158"/>
      <c r="V60" s="158"/>
      <c r="W60" s="158"/>
      <c r="X60" s="158"/>
      <c r="Y60" s="94">
        <f>1819420358</f>
        <v>1819420358</v>
      </c>
      <c r="Z60" s="158"/>
      <c r="AA60" s="158"/>
      <c r="AB60" s="158"/>
      <c r="AC60" s="158">
        <v>11</v>
      </c>
      <c r="AD60" s="158"/>
      <c r="AE60" s="94">
        <f>P60-T60-Y60-AC60</f>
        <v>0</v>
      </c>
      <c r="AF60" s="94"/>
      <c r="AG60" s="94">
        <v>0</v>
      </c>
      <c r="AH60" s="94"/>
      <c r="AI60" s="94"/>
      <c r="AJ60" s="94">
        <f>AE60+AG60</f>
        <v>0</v>
      </c>
      <c r="AK60" s="158">
        <v>877</v>
      </c>
      <c r="AL60" s="94">
        <v>10</v>
      </c>
      <c r="AM60" s="158"/>
      <c r="AN60" s="158"/>
      <c r="AO60" s="158"/>
      <c r="AP60" s="158"/>
      <c r="AQ60" s="158"/>
      <c r="AR60" s="158"/>
      <c r="AS60" s="2"/>
      <c r="AT60" s="58"/>
      <c r="AU60" s="104" t="s">
        <v>1550</v>
      </c>
      <c r="AV60" s="158">
        <v>49</v>
      </c>
      <c r="AW60" s="158"/>
      <c r="AX60" s="158"/>
      <c r="AY60" s="158"/>
      <c r="AZ60" s="158"/>
      <c r="BA60" s="158"/>
      <c r="BB60" s="69"/>
      <c r="BC60" s="69"/>
      <c r="BD60" s="431" t="s">
        <v>2193</v>
      </c>
      <c r="BE60" s="431" t="s">
        <v>2193</v>
      </c>
      <c r="BF60" s="444"/>
    </row>
    <row r="61" spans="1:16383" s="204" customFormat="1" ht="29.25" hidden="1" customHeight="1">
      <c r="A61" s="160" t="s">
        <v>501</v>
      </c>
      <c r="B61" s="118" t="s">
        <v>727</v>
      </c>
      <c r="C61" s="118" t="s">
        <v>33</v>
      </c>
      <c r="D61" s="118" t="s">
        <v>16</v>
      </c>
      <c r="E61" s="118"/>
      <c r="F61" s="118"/>
      <c r="G61" s="118"/>
      <c r="H61" s="30" t="s">
        <v>1549</v>
      </c>
      <c r="I61" s="115" t="s">
        <v>1702</v>
      </c>
      <c r="J61" s="212" t="s">
        <v>1547</v>
      </c>
      <c r="K61" s="158"/>
      <c r="L61" s="158"/>
      <c r="M61" s="158"/>
      <c r="N61" s="158"/>
      <c r="O61" s="158"/>
      <c r="P61" s="158"/>
      <c r="Q61" s="158"/>
      <c r="R61" s="158"/>
      <c r="S61" s="158"/>
      <c r="T61" s="94"/>
      <c r="U61" s="158"/>
      <c r="V61" s="158"/>
      <c r="W61" s="158"/>
      <c r="X61" s="158"/>
      <c r="Y61" s="94"/>
      <c r="Z61" s="158"/>
      <c r="AA61" s="158"/>
      <c r="AB61" s="158"/>
      <c r="AC61" s="158"/>
      <c r="AD61" s="158"/>
      <c r="AE61" s="94"/>
      <c r="AF61" s="94"/>
      <c r="AG61" s="158"/>
      <c r="AH61" s="158"/>
      <c r="AI61" s="158"/>
      <c r="AJ61" s="158"/>
      <c r="AK61" s="158"/>
      <c r="AL61" s="94"/>
      <c r="AM61" s="158"/>
      <c r="AN61" s="158"/>
      <c r="AO61" s="158"/>
      <c r="AP61" s="158"/>
      <c r="AQ61" s="158"/>
      <c r="AR61" s="158"/>
      <c r="AS61" s="2"/>
      <c r="AT61" s="58"/>
      <c r="AU61" s="104"/>
      <c r="AV61" s="158"/>
      <c r="AW61" s="158"/>
      <c r="AX61" s="158"/>
      <c r="AY61" s="158"/>
      <c r="AZ61" s="158"/>
      <c r="BA61" s="158"/>
      <c r="BB61" s="69"/>
      <c r="BC61" s="69"/>
      <c r="BD61" s="271"/>
      <c r="BE61" s="271"/>
      <c r="BF61" s="271"/>
    </row>
    <row r="62" spans="1:16383" s="204" customFormat="1" ht="29.25" hidden="1" customHeight="1">
      <c r="A62" s="160" t="s">
        <v>501</v>
      </c>
      <c r="B62" s="118" t="s">
        <v>37</v>
      </c>
      <c r="C62" s="118" t="s">
        <v>34</v>
      </c>
      <c r="D62" s="118" t="s">
        <v>35</v>
      </c>
      <c r="E62" s="118"/>
      <c r="F62" s="118"/>
      <c r="G62" s="118"/>
      <c r="H62" s="30"/>
      <c r="I62" s="115"/>
      <c r="J62" s="212"/>
      <c r="K62" s="158"/>
      <c r="L62" s="158"/>
      <c r="M62" s="158"/>
      <c r="N62" s="158"/>
      <c r="O62" s="158"/>
      <c r="P62" s="158"/>
      <c r="Q62" s="158"/>
      <c r="R62" s="158"/>
      <c r="S62" s="158"/>
      <c r="T62" s="94"/>
      <c r="U62" s="158"/>
      <c r="V62" s="158"/>
      <c r="W62" s="158"/>
      <c r="X62" s="158"/>
      <c r="Y62" s="94"/>
      <c r="Z62" s="158"/>
      <c r="AA62" s="158"/>
      <c r="AB62" s="158"/>
      <c r="AC62" s="158"/>
      <c r="AD62" s="158"/>
      <c r="AE62" s="94"/>
      <c r="AF62" s="94"/>
      <c r="AG62" s="94"/>
      <c r="AH62" s="94"/>
      <c r="AI62" s="94"/>
      <c r="AJ62" s="94"/>
      <c r="AK62" s="94"/>
      <c r="AL62" s="94"/>
      <c r="AM62" s="158"/>
      <c r="AN62" s="158"/>
      <c r="AO62" s="158"/>
      <c r="AP62" s="158"/>
      <c r="AQ62" s="158"/>
      <c r="AR62" s="158"/>
      <c r="AS62" s="2"/>
      <c r="AT62" s="58" t="s">
        <v>0</v>
      </c>
      <c r="AU62" s="104"/>
      <c r="AV62" s="158">
        <v>40</v>
      </c>
      <c r="AW62" s="158"/>
      <c r="AX62" s="158"/>
      <c r="AY62" s="158"/>
      <c r="AZ62" s="158"/>
      <c r="BA62" s="158"/>
      <c r="BB62" s="69"/>
      <c r="BC62" s="69"/>
      <c r="BD62" s="271">
        <v>2016</v>
      </c>
      <c r="BE62" s="271"/>
      <c r="BF62" s="271"/>
    </row>
    <row r="63" spans="1:16383" s="204" customFormat="1" ht="15" hidden="1" customHeight="1">
      <c r="A63" s="160" t="s">
        <v>501</v>
      </c>
      <c r="B63" s="118" t="s">
        <v>37</v>
      </c>
      <c r="C63" s="118" t="s">
        <v>36</v>
      </c>
      <c r="D63" s="118" t="s">
        <v>16</v>
      </c>
      <c r="E63" s="118"/>
      <c r="F63" s="118"/>
      <c r="G63" s="118"/>
      <c r="H63" s="58"/>
      <c r="I63" s="58"/>
      <c r="J63" s="212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94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94"/>
      <c r="AM63" s="158"/>
      <c r="AN63" s="158"/>
      <c r="AO63" s="158"/>
      <c r="AP63" s="158"/>
      <c r="AQ63" s="158"/>
      <c r="AR63" s="158"/>
      <c r="AS63" s="2"/>
      <c r="AT63" s="58"/>
      <c r="AU63" s="104"/>
      <c r="AV63" s="158">
        <v>38</v>
      </c>
      <c r="AW63" s="158"/>
      <c r="AX63" s="158"/>
      <c r="AY63" s="158"/>
      <c r="AZ63" s="158"/>
      <c r="BA63" s="158"/>
      <c r="BB63" s="69"/>
      <c r="BC63" s="69"/>
      <c r="BD63" s="271">
        <v>2016</v>
      </c>
      <c r="BE63" s="271"/>
      <c r="BF63" s="271"/>
    </row>
    <row r="64" spans="1:16383" s="204" customFormat="1" ht="15" hidden="1" customHeight="1">
      <c r="A64" s="160" t="s">
        <v>501</v>
      </c>
      <c r="B64" s="142" t="s">
        <v>25</v>
      </c>
      <c r="C64" s="142" t="s">
        <v>933</v>
      </c>
      <c r="D64" s="142" t="s">
        <v>16</v>
      </c>
      <c r="E64" s="142"/>
      <c r="F64" s="142"/>
      <c r="G64" s="142"/>
      <c r="H64" s="30" t="s">
        <v>651</v>
      </c>
      <c r="I64" s="30"/>
      <c r="J64" s="212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94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94"/>
      <c r="AM64" s="158"/>
      <c r="AN64" s="158"/>
      <c r="AO64" s="158"/>
      <c r="AP64" s="158"/>
      <c r="AQ64" s="158"/>
      <c r="AR64" s="158"/>
      <c r="AS64" s="2">
        <v>1</v>
      </c>
      <c r="AT64" s="58" t="s">
        <v>646</v>
      </c>
      <c r="AU64" s="104"/>
      <c r="AV64" s="158"/>
      <c r="AW64" s="158">
        <v>30</v>
      </c>
      <c r="AX64" s="158"/>
      <c r="AY64" s="158"/>
      <c r="AZ64" s="158"/>
      <c r="BA64" s="158"/>
      <c r="BB64" s="69"/>
      <c r="BC64" s="69"/>
      <c r="BD64" s="271">
        <v>2017</v>
      </c>
      <c r="BE64" s="268"/>
      <c r="BF64" s="271"/>
    </row>
    <row r="65" spans="1:58" s="204" customFormat="1" ht="15" hidden="1" customHeight="1">
      <c r="A65" s="160" t="s">
        <v>501</v>
      </c>
      <c r="B65" s="142" t="s">
        <v>25</v>
      </c>
      <c r="C65" s="141" t="s">
        <v>933</v>
      </c>
      <c r="D65" s="142" t="s">
        <v>16</v>
      </c>
      <c r="E65" s="142"/>
      <c r="F65" s="142"/>
      <c r="G65" s="142"/>
      <c r="H65" s="30" t="s">
        <v>651</v>
      </c>
      <c r="I65" s="30"/>
      <c r="J65" s="212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94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94"/>
      <c r="AM65" s="158"/>
      <c r="AN65" s="158"/>
      <c r="AO65" s="158"/>
      <c r="AP65" s="158"/>
      <c r="AQ65" s="158"/>
      <c r="AR65" s="158"/>
      <c r="AS65" s="2">
        <v>1</v>
      </c>
      <c r="AT65" s="58" t="s">
        <v>646</v>
      </c>
      <c r="AU65" s="104" t="s">
        <v>1110</v>
      </c>
      <c r="AV65" s="158"/>
      <c r="AW65" s="158"/>
      <c r="AX65" s="158">
        <v>1</v>
      </c>
      <c r="AY65" s="158"/>
      <c r="AZ65" s="158"/>
      <c r="BA65" s="158">
        <v>1</v>
      </c>
      <c r="BB65" s="69"/>
      <c r="BC65" s="69"/>
      <c r="BD65" s="271">
        <v>2018</v>
      </c>
      <c r="BE65" s="268"/>
      <c r="BF65" s="271"/>
    </row>
    <row r="66" spans="1:58" s="204" customFormat="1" ht="15" hidden="1" customHeight="1">
      <c r="A66" s="160" t="s">
        <v>501</v>
      </c>
      <c r="B66" s="118" t="s">
        <v>25</v>
      </c>
      <c r="C66" s="118" t="s">
        <v>652</v>
      </c>
      <c r="D66" s="118" t="s">
        <v>16</v>
      </c>
      <c r="E66" s="118"/>
      <c r="F66" s="118"/>
      <c r="G66" s="118"/>
      <c r="H66" s="30" t="s">
        <v>651</v>
      </c>
      <c r="I66" s="30"/>
      <c r="J66" s="212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94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94"/>
      <c r="AM66" s="158"/>
      <c r="AN66" s="158"/>
      <c r="AO66" s="158"/>
      <c r="AP66" s="158"/>
      <c r="AQ66" s="158"/>
      <c r="AR66" s="158"/>
      <c r="AS66" s="2">
        <v>1</v>
      </c>
      <c r="AT66" s="58" t="s">
        <v>646</v>
      </c>
      <c r="AU66" s="104"/>
      <c r="AV66" s="158"/>
      <c r="AW66" s="158">
        <v>29</v>
      </c>
      <c r="AX66" s="158"/>
      <c r="AY66" s="158"/>
      <c r="AZ66" s="158"/>
      <c r="BA66" s="158"/>
      <c r="BB66" s="69"/>
      <c r="BC66" s="69"/>
      <c r="BD66" s="271">
        <v>2017</v>
      </c>
      <c r="BE66" s="268"/>
      <c r="BF66" s="271"/>
    </row>
    <row r="67" spans="1:58" s="204" customFormat="1" ht="15" hidden="1" customHeight="1">
      <c r="A67" s="160" t="s">
        <v>501</v>
      </c>
      <c r="B67" s="118" t="s">
        <v>25</v>
      </c>
      <c r="C67" s="118" t="s">
        <v>934</v>
      </c>
      <c r="D67" s="118" t="s">
        <v>16</v>
      </c>
      <c r="E67" s="118"/>
      <c r="F67" s="118"/>
      <c r="G67" s="118"/>
      <c r="H67" s="30" t="s">
        <v>651</v>
      </c>
      <c r="I67" s="30"/>
      <c r="J67" s="212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94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94"/>
      <c r="AM67" s="158"/>
      <c r="AN67" s="158"/>
      <c r="AO67" s="158"/>
      <c r="AP67" s="158"/>
      <c r="AQ67" s="158"/>
      <c r="AR67" s="158"/>
      <c r="AS67" s="2">
        <v>1</v>
      </c>
      <c r="AT67" s="58" t="s">
        <v>646</v>
      </c>
      <c r="AU67" s="104"/>
      <c r="AV67" s="158"/>
      <c r="AW67" s="158">
        <v>32</v>
      </c>
      <c r="AX67" s="12"/>
      <c r="AY67" s="158"/>
      <c r="AZ67" s="158"/>
      <c r="BA67" s="158"/>
      <c r="BB67" s="69"/>
      <c r="BC67" s="69"/>
      <c r="BD67" s="271">
        <v>2017</v>
      </c>
      <c r="BE67" s="268"/>
      <c r="BF67" s="271"/>
    </row>
    <row r="68" spans="1:58" s="204" customFormat="1" ht="15" hidden="1" customHeight="1">
      <c r="A68" s="160" t="s">
        <v>501</v>
      </c>
      <c r="B68" s="118" t="s">
        <v>28</v>
      </c>
      <c r="C68" s="118" t="s">
        <v>39</v>
      </c>
      <c r="D68" s="118" t="s">
        <v>40</v>
      </c>
      <c r="E68" s="118"/>
      <c r="F68" s="118"/>
      <c r="G68" s="118"/>
      <c r="H68" s="30" t="s">
        <v>635</v>
      </c>
      <c r="I68" s="30"/>
      <c r="J68" s="212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94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94"/>
      <c r="AM68" s="158"/>
      <c r="AN68" s="158"/>
      <c r="AO68" s="158"/>
      <c r="AP68" s="158"/>
      <c r="AQ68" s="158"/>
      <c r="AR68" s="158"/>
      <c r="AS68" s="2">
        <v>1</v>
      </c>
      <c r="AT68" s="58" t="s">
        <v>646</v>
      </c>
      <c r="AU68" s="104"/>
      <c r="AV68" s="158"/>
      <c r="AW68" s="158">
        <v>61</v>
      </c>
      <c r="AX68" s="12"/>
      <c r="AY68" s="158"/>
      <c r="AZ68" s="158"/>
      <c r="BA68" s="158"/>
      <c r="BB68" s="69"/>
      <c r="BC68" s="69"/>
      <c r="BD68" s="271">
        <v>2017</v>
      </c>
      <c r="BE68" s="268"/>
      <c r="BF68" s="271"/>
    </row>
    <row r="69" spans="1:58" s="204" customFormat="1" ht="15" hidden="1" customHeight="1">
      <c r="A69" s="160" t="s">
        <v>501</v>
      </c>
      <c r="B69" s="118" t="s">
        <v>25</v>
      </c>
      <c r="C69" s="118" t="s">
        <v>41</v>
      </c>
      <c r="D69" s="118" t="s">
        <v>16</v>
      </c>
      <c r="E69" s="118"/>
      <c r="F69" s="118"/>
      <c r="G69" s="118"/>
      <c r="H69" s="30" t="s">
        <v>635</v>
      </c>
      <c r="I69" s="30"/>
      <c r="J69" s="212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94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94"/>
      <c r="AM69" s="158"/>
      <c r="AN69" s="158"/>
      <c r="AO69" s="158"/>
      <c r="AP69" s="158"/>
      <c r="AQ69" s="158"/>
      <c r="AR69" s="158"/>
      <c r="AS69" s="2">
        <v>1</v>
      </c>
      <c r="AT69" s="58" t="s">
        <v>646</v>
      </c>
      <c r="AU69" s="104"/>
      <c r="AV69" s="158"/>
      <c r="AW69" s="158">
        <v>84</v>
      </c>
      <c r="AX69" s="12"/>
      <c r="AY69" s="158"/>
      <c r="AZ69" s="158"/>
      <c r="BA69" s="158"/>
      <c r="BB69" s="69"/>
      <c r="BC69" s="69"/>
      <c r="BD69" s="271">
        <v>2017</v>
      </c>
      <c r="BE69" s="268"/>
      <c r="BF69" s="271"/>
    </row>
    <row r="70" spans="1:58" s="204" customFormat="1" ht="22.5" hidden="1" customHeight="1">
      <c r="A70" s="160" t="s">
        <v>501</v>
      </c>
      <c r="B70" s="141" t="s">
        <v>727</v>
      </c>
      <c r="C70" s="77" t="s">
        <v>1059</v>
      </c>
      <c r="D70" s="141" t="s">
        <v>43</v>
      </c>
      <c r="E70" s="141"/>
      <c r="F70" s="141"/>
      <c r="G70" s="141"/>
      <c r="H70" s="30" t="s">
        <v>650</v>
      </c>
      <c r="I70" s="30"/>
      <c r="J70" s="212"/>
      <c r="K70" s="158"/>
      <c r="L70" s="158"/>
      <c r="M70" s="158"/>
      <c r="N70" s="158"/>
      <c r="O70" s="158"/>
      <c r="P70" s="158"/>
      <c r="Q70" s="158"/>
      <c r="R70" s="158"/>
      <c r="S70" s="158"/>
      <c r="T70" s="94"/>
      <c r="U70" s="158"/>
      <c r="V70" s="158"/>
      <c r="W70" s="158"/>
      <c r="X70" s="158"/>
      <c r="Y70" s="94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94"/>
      <c r="AM70" s="158"/>
      <c r="AN70" s="158"/>
      <c r="AO70" s="158"/>
      <c r="AP70" s="158"/>
      <c r="AQ70" s="158"/>
      <c r="AR70" s="158"/>
      <c r="AS70" s="2">
        <v>1</v>
      </c>
      <c r="AT70" s="58" t="s">
        <v>646</v>
      </c>
      <c r="AU70" s="104"/>
      <c r="AV70" s="158"/>
      <c r="AW70" s="158"/>
      <c r="AX70" s="12">
        <v>133</v>
      </c>
      <c r="AY70" s="158"/>
      <c r="AZ70" s="158"/>
      <c r="BA70" s="158"/>
      <c r="BB70" s="69">
        <f>+AX70</f>
        <v>133</v>
      </c>
      <c r="BC70" s="69"/>
      <c r="BD70" s="271">
        <v>2018</v>
      </c>
      <c r="BE70" s="268"/>
      <c r="BF70" s="271"/>
    </row>
    <row r="71" spans="1:58" s="204" customFormat="1" ht="18" customHeight="1">
      <c r="A71" s="160" t="s">
        <v>501</v>
      </c>
      <c r="B71" s="118" t="s">
        <v>727</v>
      </c>
      <c r="C71" s="1" t="s">
        <v>42</v>
      </c>
      <c r="D71" s="141" t="s">
        <v>43</v>
      </c>
      <c r="E71" s="141"/>
      <c r="F71" s="141"/>
      <c r="G71" s="141"/>
      <c r="H71" s="30" t="s">
        <v>650</v>
      </c>
      <c r="I71" s="30">
        <v>2871</v>
      </c>
      <c r="J71" s="212">
        <v>42725</v>
      </c>
      <c r="K71" s="158"/>
      <c r="L71" s="158"/>
      <c r="M71" s="158">
        <v>2</v>
      </c>
      <c r="N71" s="158">
        <v>2</v>
      </c>
      <c r="O71" s="158"/>
      <c r="P71" s="158">
        <v>134584600</v>
      </c>
      <c r="Q71" s="158"/>
      <c r="R71" s="158"/>
      <c r="S71" s="158"/>
      <c r="T71" s="158"/>
      <c r="U71" s="158"/>
      <c r="V71" s="158"/>
      <c r="W71" s="158"/>
      <c r="X71" s="158"/>
      <c r="Y71" s="94"/>
      <c r="Z71" s="158"/>
      <c r="AA71" s="158"/>
      <c r="AB71" s="158"/>
      <c r="AC71" s="158"/>
      <c r="AD71" s="158"/>
      <c r="AE71" s="94">
        <f>P71-T71-Y71-134584600</f>
        <v>0</v>
      </c>
      <c r="AF71" s="94"/>
      <c r="AG71" s="158">
        <v>134584600</v>
      </c>
      <c r="AH71" s="158"/>
      <c r="AI71" s="158"/>
      <c r="AJ71" s="94">
        <f>AE71+AG71</f>
        <v>134584600</v>
      </c>
      <c r="AK71" s="94">
        <v>877</v>
      </c>
      <c r="AL71" s="94">
        <v>10</v>
      </c>
      <c r="AM71" s="158">
        <v>2</v>
      </c>
      <c r="AN71" s="158"/>
      <c r="AO71" s="158"/>
      <c r="AP71" s="158"/>
      <c r="AQ71" s="158"/>
      <c r="AR71" s="158"/>
      <c r="AS71" s="2">
        <v>0</v>
      </c>
      <c r="AT71" s="58" t="s">
        <v>521</v>
      </c>
      <c r="AU71" s="104"/>
      <c r="AV71" s="158"/>
      <c r="AW71" s="158"/>
      <c r="AX71" s="12"/>
      <c r="AY71" s="158"/>
      <c r="AZ71" s="158"/>
      <c r="BA71" s="158"/>
      <c r="BB71" s="69"/>
      <c r="BC71" s="69"/>
      <c r="BD71" s="271"/>
      <c r="BE71" s="271">
        <v>2019</v>
      </c>
      <c r="BF71" s="271">
        <v>2020</v>
      </c>
    </row>
    <row r="72" spans="1:58" s="204" customFormat="1" ht="15" hidden="1" customHeight="1">
      <c r="A72" s="160" t="s">
        <v>501</v>
      </c>
      <c r="B72" s="118" t="s">
        <v>31</v>
      </c>
      <c r="C72" s="118" t="s">
        <v>724</v>
      </c>
      <c r="D72" s="118" t="s">
        <v>30</v>
      </c>
      <c r="E72" s="118"/>
      <c r="F72" s="118"/>
      <c r="G72" s="118"/>
      <c r="H72" s="30" t="s">
        <v>650</v>
      </c>
      <c r="I72" s="30"/>
      <c r="J72" s="212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94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94"/>
      <c r="AM72" s="158"/>
      <c r="AN72" s="158"/>
      <c r="AO72" s="158"/>
      <c r="AP72" s="158"/>
      <c r="AQ72" s="158"/>
      <c r="AR72" s="158"/>
      <c r="AS72" s="2">
        <v>1</v>
      </c>
      <c r="AT72" s="58" t="s">
        <v>646</v>
      </c>
      <c r="AU72" s="104"/>
      <c r="AV72" s="158"/>
      <c r="AW72" s="158">
        <v>9</v>
      </c>
      <c r="AX72" s="12"/>
      <c r="AY72" s="158"/>
      <c r="AZ72" s="158"/>
      <c r="BA72" s="158"/>
      <c r="BB72" s="69"/>
      <c r="BC72" s="69"/>
      <c r="BD72" s="271">
        <v>2017</v>
      </c>
      <c r="BE72" s="268"/>
      <c r="BF72" s="271"/>
    </row>
    <row r="73" spans="1:58" s="204" customFormat="1" ht="15" hidden="1" customHeight="1">
      <c r="A73" s="160" t="s">
        <v>501</v>
      </c>
      <c r="B73" s="58" t="s">
        <v>1825</v>
      </c>
      <c r="C73" s="118" t="s">
        <v>44</v>
      </c>
      <c r="D73" s="118" t="s">
        <v>723</v>
      </c>
      <c r="E73" s="118"/>
      <c r="F73" s="118"/>
      <c r="G73" s="118"/>
      <c r="H73" s="30" t="s">
        <v>636</v>
      </c>
      <c r="I73" s="30"/>
      <c r="J73" s="212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94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94"/>
      <c r="AM73" s="158"/>
      <c r="AN73" s="158"/>
      <c r="AO73" s="158"/>
      <c r="AP73" s="158"/>
      <c r="AQ73" s="158"/>
      <c r="AR73" s="158"/>
      <c r="AS73" s="2">
        <v>1</v>
      </c>
      <c r="AT73" s="58" t="s">
        <v>646</v>
      </c>
      <c r="AU73" s="104"/>
      <c r="AV73" s="158"/>
      <c r="AW73" s="158">
        <v>32</v>
      </c>
      <c r="AX73" s="12"/>
      <c r="AY73" s="158"/>
      <c r="AZ73" s="158"/>
      <c r="BA73" s="158"/>
      <c r="BB73" s="69"/>
      <c r="BC73" s="69"/>
      <c r="BD73" s="271">
        <v>2017</v>
      </c>
      <c r="BE73" s="268"/>
      <c r="BF73" s="470"/>
    </row>
    <row r="74" spans="1:58" s="204" customFormat="1" ht="15" hidden="1" customHeight="1">
      <c r="A74" s="160" t="s">
        <v>501</v>
      </c>
      <c r="B74" s="118" t="s">
        <v>37</v>
      </c>
      <c r="C74" s="118" t="s">
        <v>1059</v>
      </c>
      <c r="D74" s="118" t="s">
        <v>16</v>
      </c>
      <c r="E74" s="118"/>
      <c r="F74" s="118"/>
      <c r="G74" s="118"/>
      <c r="H74" s="30" t="s">
        <v>715</v>
      </c>
      <c r="I74" s="30"/>
      <c r="J74" s="212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  <c r="Y74" s="94"/>
      <c r="Z74" s="158"/>
      <c r="AA74" s="158"/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94"/>
      <c r="AM74" s="11"/>
      <c r="AN74" s="158"/>
      <c r="AO74" s="158"/>
      <c r="AP74" s="158"/>
      <c r="AQ74" s="158"/>
      <c r="AR74" s="158"/>
      <c r="AS74" s="2">
        <v>1</v>
      </c>
      <c r="AT74" s="58" t="s">
        <v>646</v>
      </c>
      <c r="AU74" s="104"/>
      <c r="AV74" s="158"/>
      <c r="AW74" s="158"/>
      <c r="AX74" s="12">
        <v>34</v>
      </c>
      <c r="AY74" s="158"/>
      <c r="AZ74" s="158"/>
      <c r="BA74" s="158"/>
      <c r="BB74" s="69">
        <f>+AX74</f>
        <v>34</v>
      </c>
      <c r="BC74" s="69"/>
      <c r="BD74" s="271">
        <v>2018</v>
      </c>
      <c r="BE74" s="268"/>
      <c r="BF74" s="271"/>
    </row>
    <row r="75" spans="1:58" s="204" customFormat="1" ht="26.25" hidden="1" customHeight="1">
      <c r="A75" s="160" t="s">
        <v>501</v>
      </c>
      <c r="B75" s="118" t="s">
        <v>37</v>
      </c>
      <c r="C75" s="118" t="s">
        <v>725</v>
      </c>
      <c r="D75" s="118" t="s">
        <v>35</v>
      </c>
      <c r="E75" s="118"/>
      <c r="F75" s="118"/>
      <c r="G75" s="118"/>
      <c r="H75" s="30" t="s">
        <v>713</v>
      </c>
      <c r="I75" s="115" t="s">
        <v>1472</v>
      </c>
      <c r="J75" s="212" t="s">
        <v>1471</v>
      </c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  <c r="Y75" s="94"/>
      <c r="Z75" s="158"/>
      <c r="AA75" s="158"/>
      <c r="AB75" s="158"/>
      <c r="AC75" s="158"/>
      <c r="AD75" s="158"/>
      <c r="AE75" s="158"/>
      <c r="AF75" s="158"/>
      <c r="AG75" s="158"/>
      <c r="AH75" s="158"/>
      <c r="AI75" s="158"/>
      <c r="AJ75" s="158"/>
      <c r="AK75" s="158"/>
      <c r="AL75" s="94"/>
      <c r="AM75" s="11"/>
      <c r="AN75" s="158"/>
      <c r="AO75" s="158"/>
      <c r="AP75" s="11"/>
      <c r="AQ75" s="11"/>
      <c r="AR75" s="11"/>
      <c r="AS75" s="2">
        <v>1</v>
      </c>
      <c r="AT75" s="58" t="s">
        <v>646</v>
      </c>
      <c r="AU75" s="104"/>
      <c r="AV75" s="158"/>
      <c r="AW75" s="11"/>
      <c r="AX75" s="12">
        <v>50</v>
      </c>
      <c r="AY75" s="158"/>
      <c r="AZ75" s="158"/>
      <c r="BA75" s="158"/>
      <c r="BB75" s="69">
        <v>50</v>
      </c>
      <c r="BC75" s="69"/>
      <c r="BD75" s="271">
        <v>2018</v>
      </c>
      <c r="BE75" s="268"/>
      <c r="BF75" s="271"/>
    </row>
    <row r="76" spans="1:58" s="204" customFormat="1" ht="29.25" hidden="1" customHeight="1">
      <c r="A76" s="160" t="s">
        <v>501</v>
      </c>
      <c r="B76" s="58" t="s">
        <v>37</v>
      </c>
      <c r="C76" s="118" t="s">
        <v>725</v>
      </c>
      <c r="D76" s="58" t="s">
        <v>35</v>
      </c>
      <c r="E76" s="58"/>
      <c r="F76" s="58"/>
      <c r="G76" s="58"/>
      <c r="H76" s="30" t="s">
        <v>713</v>
      </c>
      <c r="I76" s="115" t="s">
        <v>1472</v>
      </c>
      <c r="J76" s="215" t="s">
        <v>1471</v>
      </c>
      <c r="K76" s="158"/>
      <c r="L76" s="158"/>
      <c r="M76" s="158"/>
      <c r="N76" s="158"/>
      <c r="O76" s="158"/>
      <c r="P76" s="158">
        <v>71172870</v>
      </c>
      <c r="Q76" s="158"/>
      <c r="R76" s="158"/>
      <c r="S76" s="158"/>
      <c r="T76" s="158">
        <v>71172870</v>
      </c>
      <c r="U76" s="158">
        <v>10</v>
      </c>
      <c r="V76" s="311">
        <v>43586</v>
      </c>
      <c r="W76" s="311"/>
      <c r="X76" s="311"/>
      <c r="Y76" s="94"/>
      <c r="Z76" s="158"/>
      <c r="AA76" s="158"/>
      <c r="AB76" s="158"/>
      <c r="AC76" s="158"/>
      <c r="AD76" s="158"/>
      <c r="AE76" s="94">
        <f>P76-T76-Y76</f>
        <v>0</v>
      </c>
      <c r="AF76" s="94"/>
      <c r="AG76" s="94">
        <v>0</v>
      </c>
      <c r="AH76" s="94"/>
      <c r="AI76" s="94"/>
      <c r="AJ76" s="94">
        <f>AE76+AG76</f>
        <v>0</v>
      </c>
      <c r="AK76" s="233">
        <v>877</v>
      </c>
      <c r="AL76" s="94">
        <v>10</v>
      </c>
      <c r="AM76" s="158"/>
      <c r="AN76" s="11"/>
      <c r="AO76" s="158"/>
      <c r="AP76" s="11"/>
      <c r="AQ76" s="11"/>
      <c r="AR76" s="11"/>
      <c r="AS76" s="2">
        <v>1</v>
      </c>
      <c r="AT76" s="58" t="s">
        <v>646</v>
      </c>
      <c r="AU76" s="104"/>
      <c r="AV76" s="158"/>
      <c r="AW76" s="11"/>
      <c r="AX76" s="12">
        <v>1</v>
      </c>
      <c r="AY76" s="158"/>
      <c r="AZ76" s="158"/>
      <c r="BA76" s="158"/>
      <c r="BB76" s="69">
        <v>1</v>
      </c>
      <c r="BC76" s="69"/>
      <c r="BD76" s="431" t="s">
        <v>1652</v>
      </c>
      <c r="BE76" s="431" t="s">
        <v>1652</v>
      </c>
      <c r="BF76" s="444"/>
    </row>
    <row r="77" spans="1:58" s="204" customFormat="1" ht="15" hidden="1" customHeight="1">
      <c r="A77" s="160" t="s">
        <v>501</v>
      </c>
      <c r="B77" s="58" t="s">
        <v>727</v>
      </c>
      <c r="C77" s="1" t="s">
        <v>726</v>
      </c>
      <c r="D77" s="58" t="s">
        <v>16</v>
      </c>
      <c r="E77" s="58"/>
      <c r="F77" s="58"/>
      <c r="G77" s="58"/>
      <c r="H77" s="30" t="s">
        <v>713</v>
      </c>
      <c r="I77" s="30"/>
      <c r="J77" s="212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94"/>
      <c r="Z77" s="158"/>
      <c r="AA77" s="158"/>
      <c r="AB77" s="158"/>
      <c r="AC77" s="158"/>
      <c r="AD77" s="158"/>
      <c r="AE77" s="158"/>
      <c r="AF77" s="158"/>
      <c r="AG77" s="158"/>
      <c r="AH77" s="158"/>
      <c r="AI77" s="158"/>
      <c r="AJ77" s="158"/>
      <c r="AK77" s="158"/>
      <c r="AL77" s="94"/>
      <c r="AM77" s="158"/>
      <c r="AN77" s="158"/>
      <c r="AO77" s="158"/>
      <c r="AP77" s="158"/>
      <c r="AQ77" s="158"/>
      <c r="AR77" s="158"/>
      <c r="AS77" s="2">
        <v>1</v>
      </c>
      <c r="AT77" s="58" t="s">
        <v>646</v>
      </c>
      <c r="AU77" s="104"/>
      <c r="AV77" s="158"/>
      <c r="AW77" s="158"/>
      <c r="AX77" s="12">
        <v>93</v>
      </c>
      <c r="AY77" s="158"/>
      <c r="AZ77" s="158"/>
      <c r="BA77" s="158">
        <v>93</v>
      </c>
      <c r="BB77" s="70"/>
      <c r="BC77" s="69"/>
      <c r="BD77" s="271">
        <v>2018</v>
      </c>
      <c r="BE77" s="268"/>
      <c r="BF77" s="271"/>
    </row>
    <row r="78" spans="1:58" s="204" customFormat="1" ht="15" hidden="1" customHeight="1">
      <c r="A78" s="160" t="s">
        <v>501</v>
      </c>
      <c r="B78" s="58" t="s">
        <v>1825</v>
      </c>
      <c r="C78" s="118" t="s">
        <v>728</v>
      </c>
      <c r="D78" s="58" t="s">
        <v>729</v>
      </c>
      <c r="E78" s="58"/>
      <c r="F78" s="58"/>
      <c r="G78" s="58"/>
      <c r="H78" s="30" t="s">
        <v>720</v>
      </c>
      <c r="I78" s="30"/>
      <c r="J78" s="212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  <c r="Y78" s="94"/>
      <c r="Z78" s="158"/>
      <c r="AA78" s="158"/>
      <c r="AB78" s="158"/>
      <c r="AC78" s="158"/>
      <c r="AD78" s="158"/>
      <c r="AE78" s="158"/>
      <c r="AF78" s="158"/>
      <c r="AG78" s="158"/>
      <c r="AH78" s="158"/>
      <c r="AI78" s="158"/>
      <c r="AJ78" s="158"/>
      <c r="AK78" s="158"/>
      <c r="AL78" s="94"/>
      <c r="AM78" s="158"/>
      <c r="AN78" s="158"/>
      <c r="AO78" s="158"/>
      <c r="AP78" s="158"/>
      <c r="AQ78" s="158"/>
      <c r="AR78" s="158"/>
      <c r="AS78" s="2">
        <v>1</v>
      </c>
      <c r="AT78" s="58" t="s">
        <v>646</v>
      </c>
      <c r="AU78" s="104"/>
      <c r="AV78" s="158"/>
      <c r="AW78" s="158"/>
      <c r="AX78" s="12">
        <v>19</v>
      </c>
      <c r="AY78" s="158"/>
      <c r="AZ78" s="158"/>
      <c r="BA78" s="158"/>
      <c r="BB78" s="69">
        <f>+AX78</f>
        <v>19</v>
      </c>
      <c r="BC78" s="69"/>
      <c r="BD78" s="271">
        <v>2018</v>
      </c>
      <c r="BE78" s="268"/>
      <c r="BF78" s="271"/>
    </row>
    <row r="79" spans="1:58" s="204" customFormat="1" ht="18" hidden="1" customHeight="1">
      <c r="A79" s="160" t="s">
        <v>501</v>
      </c>
      <c r="B79" s="58" t="s">
        <v>37</v>
      </c>
      <c r="C79" s="118" t="s">
        <v>1014</v>
      </c>
      <c r="D79" s="58" t="s">
        <v>1015</v>
      </c>
      <c r="E79" s="58"/>
      <c r="F79" s="58"/>
      <c r="G79" s="58"/>
      <c r="H79" s="30" t="s">
        <v>968</v>
      </c>
      <c r="I79" s="115" t="s">
        <v>1490</v>
      </c>
      <c r="J79" s="215" t="s">
        <v>1465</v>
      </c>
      <c r="K79" s="94">
        <f>55-1</f>
        <v>54</v>
      </c>
      <c r="L79" s="94">
        <v>54</v>
      </c>
      <c r="M79" s="158"/>
      <c r="N79" s="158"/>
      <c r="O79" s="94"/>
      <c r="P79" s="94">
        <f>3498062391-63601135</f>
        <v>3434461256</v>
      </c>
      <c r="Q79" s="94"/>
      <c r="R79" s="94"/>
      <c r="S79" s="94"/>
      <c r="T79" s="94">
        <v>1415637038</v>
      </c>
      <c r="U79" s="94">
        <v>20</v>
      </c>
      <c r="V79" s="218"/>
      <c r="W79" s="218"/>
      <c r="X79" s="218"/>
      <c r="Y79" s="94">
        <f>2056209852-37385634</f>
        <v>2018824218</v>
      </c>
      <c r="Z79" s="94">
        <v>10</v>
      </c>
      <c r="AA79" s="311">
        <v>43497</v>
      </c>
      <c r="AB79" s="311"/>
      <c r="AC79" s="94"/>
      <c r="AD79" s="94"/>
      <c r="AE79" s="94">
        <f t="shared" ref="AE79:AE95" si="11">P79-T79-Y79</f>
        <v>0</v>
      </c>
      <c r="AF79" s="94"/>
      <c r="AG79" s="94">
        <v>0</v>
      </c>
      <c r="AH79" s="94"/>
      <c r="AI79" s="94"/>
      <c r="AJ79" s="94">
        <f>AE79+AG79</f>
        <v>0</v>
      </c>
      <c r="AK79" s="233">
        <v>877</v>
      </c>
      <c r="AL79" s="94">
        <v>10</v>
      </c>
      <c r="AM79" s="158"/>
      <c r="AN79" s="158"/>
      <c r="AO79" s="158"/>
      <c r="AP79" s="158"/>
      <c r="AQ79" s="158"/>
      <c r="AR79" s="158"/>
      <c r="AS79" s="2">
        <v>1</v>
      </c>
      <c r="AT79" s="58" t="s">
        <v>646</v>
      </c>
      <c r="AU79" s="104"/>
      <c r="AV79" s="158"/>
      <c r="AW79" s="158"/>
      <c r="AX79" s="12"/>
      <c r="AY79" s="158">
        <v>54</v>
      </c>
      <c r="AZ79" s="158"/>
      <c r="BA79" s="158"/>
      <c r="BB79" s="69">
        <f>+AY79</f>
        <v>54</v>
      </c>
      <c r="BC79" s="69"/>
      <c r="BD79" s="271">
        <v>2019</v>
      </c>
      <c r="BE79" s="271">
        <v>2019</v>
      </c>
      <c r="BF79" s="271"/>
    </row>
    <row r="80" spans="1:58" s="204" customFormat="1" ht="18" hidden="1" customHeight="1">
      <c r="A80" s="160" t="s">
        <v>501</v>
      </c>
      <c r="B80" s="58" t="s">
        <v>37</v>
      </c>
      <c r="C80" s="118" t="s">
        <v>1014</v>
      </c>
      <c r="D80" s="58" t="s">
        <v>1015</v>
      </c>
      <c r="E80" s="58"/>
      <c r="F80" s="58"/>
      <c r="G80" s="58"/>
      <c r="H80" s="30" t="s">
        <v>968</v>
      </c>
      <c r="I80" s="115" t="s">
        <v>1490</v>
      </c>
      <c r="J80" s="212" t="s">
        <v>1465</v>
      </c>
      <c r="K80" s="94">
        <v>1</v>
      </c>
      <c r="L80" s="94">
        <v>1</v>
      </c>
      <c r="M80" s="158"/>
      <c r="N80" s="158"/>
      <c r="O80" s="94"/>
      <c r="P80" s="94">
        <v>63601135</v>
      </c>
      <c r="Q80" s="94"/>
      <c r="R80" s="94"/>
      <c r="S80" s="94"/>
      <c r="T80" s="94">
        <v>26215500</v>
      </c>
      <c r="U80" s="94">
        <v>20</v>
      </c>
      <c r="V80" s="218"/>
      <c r="W80" s="218"/>
      <c r="X80" s="218"/>
      <c r="Y80" s="94">
        <v>37385634</v>
      </c>
      <c r="Z80" s="94">
        <v>10</v>
      </c>
      <c r="AA80" s="311">
        <v>43497</v>
      </c>
      <c r="AB80" s="311"/>
      <c r="AC80" s="94">
        <v>1</v>
      </c>
      <c r="AD80" s="94"/>
      <c r="AE80" s="94">
        <f>P80-T80-Y80-AC80</f>
        <v>0</v>
      </c>
      <c r="AF80" s="94"/>
      <c r="AG80" s="94">
        <v>0</v>
      </c>
      <c r="AH80" s="94"/>
      <c r="AI80" s="94"/>
      <c r="AJ80" s="158">
        <f>AE80+AG80</f>
        <v>0</v>
      </c>
      <c r="AK80" s="233">
        <v>877</v>
      </c>
      <c r="AL80" s="94">
        <v>10</v>
      </c>
      <c r="AM80" s="158"/>
      <c r="AN80" s="158"/>
      <c r="AO80" s="158"/>
      <c r="AP80" s="158"/>
      <c r="AQ80" s="158"/>
      <c r="AR80" s="158"/>
      <c r="AS80" s="2">
        <v>1</v>
      </c>
      <c r="AT80" s="58" t="s">
        <v>646</v>
      </c>
      <c r="AU80" s="104"/>
      <c r="AV80" s="158"/>
      <c r="AW80" s="158"/>
      <c r="AX80" s="12"/>
      <c r="AY80" s="158">
        <v>1</v>
      </c>
      <c r="AZ80" s="158"/>
      <c r="BA80" s="158"/>
      <c r="BB80" s="69">
        <f>+AY80</f>
        <v>1</v>
      </c>
      <c r="BC80" s="69"/>
      <c r="BD80" s="271">
        <v>2019</v>
      </c>
      <c r="BE80" s="271">
        <v>2019</v>
      </c>
      <c r="BF80" s="271"/>
    </row>
    <row r="81" spans="1:58" s="204" customFormat="1" ht="18" hidden="1" customHeight="1">
      <c r="A81" s="230" t="s">
        <v>501</v>
      </c>
      <c r="B81" s="28" t="s">
        <v>1068</v>
      </c>
      <c r="C81" s="234" t="s">
        <v>1089</v>
      </c>
      <c r="D81" s="28" t="s">
        <v>16</v>
      </c>
      <c r="E81" s="28"/>
      <c r="F81" s="28"/>
      <c r="G81" s="28"/>
      <c r="H81" s="44" t="s">
        <v>1058</v>
      </c>
      <c r="I81" s="30">
        <v>31</v>
      </c>
      <c r="J81" s="212">
        <v>43363</v>
      </c>
      <c r="K81" s="94">
        <f>154-2</f>
        <v>152</v>
      </c>
      <c r="L81" s="94">
        <v>152</v>
      </c>
      <c r="M81" s="158"/>
      <c r="N81" s="158"/>
      <c r="O81" s="94"/>
      <c r="P81" s="94">
        <f>11900791582-154555735</f>
        <v>11746235847</v>
      </c>
      <c r="Q81" s="94"/>
      <c r="R81" s="94"/>
      <c r="S81" s="94"/>
      <c r="T81" s="94">
        <v>5028643530</v>
      </c>
      <c r="U81" s="94">
        <v>10</v>
      </c>
      <c r="V81" s="94"/>
      <c r="W81" s="94"/>
      <c r="X81" s="94"/>
      <c r="Y81" s="94">
        <v>6717592317</v>
      </c>
      <c r="Z81" s="94">
        <v>10</v>
      </c>
      <c r="AA81" s="311">
        <v>43556</v>
      </c>
      <c r="AB81" s="329"/>
      <c r="AC81" s="233"/>
      <c r="AD81" s="233"/>
      <c r="AE81" s="233">
        <f t="shared" si="11"/>
        <v>0</v>
      </c>
      <c r="AF81" s="233"/>
      <c r="AG81" s="94">
        <v>0</v>
      </c>
      <c r="AH81" s="94"/>
      <c r="AI81" s="94"/>
      <c r="AJ81" s="94">
        <f>AE81+AG81</f>
        <v>0</v>
      </c>
      <c r="AK81" s="233">
        <v>877</v>
      </c>
      <c r="AL81" s="94">
        <v>10</v>
      </c>
      <c r="AM81" s="158"/>
      <c r="AN81" s="158"/>
      <c r="AO81" s="158"/>
      <c r="AP81" s="158"/>
      <c r="AQ81" s="158"/>
      <c r="AR81" s="158"/>
      <c r="AS81" s="2">
        <v>1</v>
      </c>
      <c r="AT81" s="58" t="s">
        <v>646</v>
      </c>
      <c r="AU81" s="104" t="s">
        <v>1841</v>
      </c>
      <c r="AV81" s="158"/>
      <c r="AW81" s="158"/>
      <c r="AX81" s="12"/>
      <c r="AY81" s="158">
        <v>152</v>
      </c>
      <c r="AZ81" s="158"/>
      <c r="BA81" s="158"/>
      <c r="BB81" s="69">
        <v>152</v>
      </c>
      <c r="BC81" s="69"/>
      <c r="BD81" s="271">
        <v>2019</v>
      </c>
      <c r="BE81" s="271">
        <v>2019</v>
      </c>
      <c r="BF81" s="271"/>
    </row>
    <row r="82" spans="1:58" s="204" customFormat="1" ht="18" customHeight="1">
      <c r="A82" s="160" t="s">
        <v>501</v>
      </c>
      <c r="B82" s="58" t="s">
        <v>1068</v>
      </c>
      <c r="C82" s="118" t="s">
        <v>1089</v>
      </c>
      <c r="D82" s="58" t="s">
        <v>16</v>
      </c>
      <c r="E82" s="58"/>
      <c r="F82" s="58"/>
      <c r="G82" s="58"/>
      <c r="H82" s="30" t="s">
        <v>1058</v>
      </c>
      <c r="I82" s="78">
        <v>31</v>
      </c>
      <c r="J82" s="212">
        <v>43363</v>
      </c>
      <c r="K82" s="94"/>
      <c r="L82" s="94"/>
      <c r="M82" s="158">
        <v>1</v>
      </c>
      <c r="N82" s="158"/>
      <c r="O82" s="94"/>
      <c r="P82" s="94">
        <f>154555735-77277868</f>
        <v>77277867</v>
      </c>
      <c r="Q82" s="94"/>
      <c r="R82" s="94"/>
      <c r="S82" s="94"/>
      <c r="T82" s="94"/>
      <c r="U82" s="94"/>
      <c r="V82" s="94"/>
      <c r="W82" s="94"/>
      <c r="X82" s="94"/>
      <c r="Y82" s="94"/>
      <c r="Z82" s="218"/>
      <c r="AA82" s="218"/>
      <c r="AB82" s="218"/>
      <c r="AC82" s="218"/>
      <c r="AD82" s="218"/>
      <c r="AE82" s="94">
        <f t="shared" si="11"/>
        <v>77277867</v>
      </c>
      <c r="AF82" s="94"/>
      <c r="AG82" s="94">
        <v>0</v>
      </c>
      <c r="AH82" s="94"/>
      <c r="AI82" s="94"/>
      <c r="AJ82" s="158">
        <f>AE82+AG82</f>
        <v>77277867</v>
      </c>
      <c r="AK82" s="233">
        <v>877</v>
      </c>
      <c r="AL82" s="94">
        <v>10</v>
      </c>
      <c r="AM82" s="61"/>
      <c r="AN82" s="158"/>
      <c r="AO82" s="61"/>
      <c r="AP82" s="158"/>
      <c r="AQ82" s="158"/>
      <c r="AR82" s="158"/>
      <c r="AS82" s="2">
        <v>1</v>
      </c>
      <c r="AT82" s="58" t="s">
        <v>646</v>
      </c>
      <c r="AU82" s="104" t="s">
        <v>1841</v>
      </c>
      <c r="AV82" s="158"/>
      <c r="AW82" s="158"/>
      <c r="AX82" s="158"/>
      <c r="AY82" s="158">
        <v>1</v>
      </c>
      <c r="AZ82" s="158"/>
      <c r="BA82" s="158"/>
      <c r="BB82" s="69">
        <v>1</v>
      </c>
      <c r="BC82" s="69"/>
      <c r="BD82" s="271">
        <v>2019</v>
      </c>
      <c r="BE82" s="271">
        <v>2019</v>
      </c>
      <c r="BF82" s="271" t="s">
        <v>2194</v>
      </c>
    </row>
    <row r="83" spans="1:58" s="204" customFormat="1" ht="18" hidden="1" customHeight="1">
      <c r="A83" s="160" t="s">
        <v>501</v>
      </c>
      <c r="B83" s="58" t="s">
        <v>1068</v>
      </c>
      <c r="C83" s="118" t="s">
        <v>1089</v>
      </c>
      <c r="D83" s="58" t="s">
        <v>16</v>
      </c>
      <c r="E83" s="58"/>
      <c r="F83" s="58"/>
      <c r="G83" s="58"/>
      <c r="H83" s="30" t="s">
        <v>1058</v>
      </c>
      <c r="I83" s="78">
        <v>31</v>
      </c>
      <c r="J83" s="212">
        <v>43363</v>
      </c>
      <c r="K83" s="94"/>
      <c r="L83" s="94"/>
      <c r="M83" s="158">
        <v>1</v>
      </c>
      <c r="N83" s="158"/>
      <c r="O83" s="94"/>
      <c r="P83" s="94">
        <v>77277868</v>
      </c>
      <c r="Q83" s="94"/>
      <c r="R83" s="94"/>
      <c r="S83" s="94"/>
      <c r="T83" s="94">
        <v>34775041</v>
      </c>
      <c r="U83" s="94">
        <v>20</v>
      </c>
      <c r="V83" s="311">
        <v>43800</v>
      </c>
      <c r="W83" s="311"/>
      <c r="X83" s="311"/>
      <c r="Y83" s="94">
        <v>42502827</v>
      </c>
      <c r="Z83" s="218">
        <v>20</v>
      </c>
      <c r="AA83" s="311">
        <v>43800</v>
      </c>
      <c r="AB83" s="582"/>
      <c r="AC83" s="283"/>
      <c r="AD83" s="283"/>
      <c r="AE83" s="94">
        <f t="shared" si="11"/>
        <v>0</v>
      </c>
      <c r="AF83" s="94"/>
      <c r="AG83" s="94">
        <v>0</v>
      </c>
      <c r="AH83" s="94"/>
      <c r="AI83" s="94"/>
      <c r="AJ83" s="94">
        <f t="shared" ref="AJ83:AJ98" si="12">AE83+AG83</f>
        <v>0</v>
      </c>
      <c r="AK83" s="233">
        <v>877</v>
      </c>
      <c r="AL83" s="94">
        <v>20</v>
      </c>
      <c r="AM83" s="61"/>
      <c r="AN83" s="158"/>
      <c r="AO83" s="61"/>
      <c r="AP83" s="158"/>
      <c r="AQ83" s="158"/>
      <c r="AR83" s="158"/>
      <c r="AS83" s="2">
        <v>1</v>
      </c>
      <c r="AT83" s="58" t="s">
        <v>646</v>
      </c>
      <c r="AU83" s="104" t="s">
        <v>1841</v>
      </c>
      <c r="AV83" s="158"/>
      <c r="AW83" s="158"/>
      <c r="AX83" s="158"/>
      <c r="AY83" s="158">
        <v>1</v>
      </c>
      <c r="AZ83" s="158"/>
      <c r="BA83" s="158"/>
      <c r="BB83" s="69">
        <v>1</v>
      </c>
      <c r="BC83" s="69"/>
      <c r="BD83" s="271">
        <v>2019</v>
      </c>
      <c r="BE83" s="271">
        <v>2019</v>
      </c>
      <c r="BF83" s="271" t="s">
        <v>0</v>
      </c>
    </row>
    <row r="84" spans="1:58" s="204" customFormat="1" ht="18" hidden="1" customHeight="1">
      <c r="A84" s="248" t="s">
        <v>501</v>
      </c>
      <c r="B84" s="251" t="s">
        <v>1068</v>
      </c>
      <c r="C84" s="253" t="s">
        <v>1066</v>
      </c>
      <c r="D84" s="251" t="s">
        <v>1067</v>
      </c>
      <c r="E84" s="251"/>
      <c r="F84" s="251"/>
      <c r="G84" s="251"/>
      <c r="H84" s="47" t="s">
        <v>1058</v>
      </c>
      <c r="I84" s="30">
        <v>20</v>
      </c>
      <c r="J84" s="212">
        <v>43363</v>
      </c>
      <c r="K84" s="94">
        <v>37</v>
      </c>
      <c r="L84" s="94">
        <v>37</v>
      </c>
      <c r="M84" s="158"/>
      <c r="N84" s="158"/>
      <c r="O84" s="94"/>
      <c r="P84" s="94">
        <v>2881831184</v>
      </c>
      <c r="Q84" s="94"/>
      <c r="R84" s="94"/>
      <c r="S84" s="94"/>
      <c r="T84" s="94">
        <f>1222508864</f>
        <v>1222508864</v>
      </c>
      <c r="U84" s="94">
        <v>10</v>
      </c>
      <c r="V84" s="94"/>
      <c r="W84" s="94"/>
      <c r="X84" s="94"/>
      <c r="Y84" s="94">
        <v>1659322320</v>
      </c>
      <c r="Z84" s="94">
        <v>10</v>
      </c>
      <c r="AA84" s="311">
        <v>43525</v>
      </c>
      <c r="AB84" s="583"/>
      <c r="AC84" s="254"/>
      <c r="AD84" s="254"/>
      <c r="AE84" s="254">
        <f t="shared" si="11"/>
        <v>0</v>
      </c>
      <c r="AF84" s="254"/>
      <c r="AG84" s="94">
        <v>0</v>
      </c>
      <c r="AH84" s="94"/>
      <c r="AI84" s="94"/>
      <c r="AJ84" s="94">
        <f t="shared" si="12"/>
        <v>0</v>
      </c>
      <c r="AK84" s="233">
        <v>877</v>
      </c>
      <c r="AL84" s="94">
        <v>10</v>
      </c>
      <c r="AM84" s="158"/>
      <c r="AN84" s="158"/>
      <c r="AO84" s="158"/>
      <c r="AP84" s="158"/>
      <c r="AQ84" s="158"/>
      <c r="AR84" s="158"/>
      <c r="AS84" s="2">
        <v>1</v>
      </c>
      <c r="AT84" s="58" t="s">
        <v>646</v>
      </c>
      <c r="AU84" s="104"/>
      <c r="AV84" s="158"/>
      <c r="AW84" s="158"/>
      <c r="AX84" s="158"/>
      <c r="AY84" s="158">
        <v>37</v>
      </c>
      <c r="AZ84" s="158"/>
      <c r="BA84" s="158"/>
      <c r="BB84" s="69">
        <v>37</v>
      </c>
      <c r="BC84" s="69"/>
      <c r="BD84" s="271">
        <v>2019</v>
      </c>
      <c r="BE84" s="271">
        <v>2019</v>
      </c>
      <c r="BF84" s="271"/>
    </row>
    <row r="85" spans="1:58" s="204" customFormat="1" ht="18" hidden="1" customHeight="1">
      <c r="A85" s="230" t="s">
        <v>501</v>
      </c>
      <c r="B85" s="58" t="s">
        <v>1825</v>
      </c>
      <c r="C85" s="234" t="s">
        <v>1088</v>
      </c>
      <c r="D85" s="28" t="s">
        <v>67</v>
      </c>
      <c r="E85" s="28"/>
      <c r="F85" s="28"/>
      <c r="G85" s="28"/>
      <c r="H85" s="44" t="s">
        <v>1058</v>
      </c>
      <c r="I85" s="30">
        <v>28</v>
      </c>
      <c r="J85" s="212">
        <v>43363</v>
      </c>
      <c r="K85" s="94">
        <v>120</v>
      </c>
      <c r="L85" s="94">
        <v>120</v>
      </c>
      <c r="M85" s="158"/>
      <c r="N85" s="158"/>
      <c r="O85" s="94"/>
      <c r="P85" s="94">
        <f>9904830150-319510650</f>
        <v>9585319500</v>
      </c>
      <c r="Q85" s="94"/>
      <c r="R85" s="94"/>
      <c r="S85" s="94"/>
      <c r="T85" s="94">
        <f>4237601775</f>
        <v>4237601775</v>
      </c>
      <c r="U85" s="94">
        <v>10</v>
      </c>
      <c r="V85" s="94"/>
      <c r="W85" s="94"/>
      <c r="X85" s="94"/>
      <c r="Y85" s="94">
        <f>5347717725</f>
        <v>5347717725</v>
      </c>
      <c r="Z85" s="94">
        <v>10</v>
      </c>
      <c r="AA85" s="311">
        <v>43556</v>
      </c>
      <c r="AB85" s="329"/>
      <c r="AC85" s="233"/>
      <c r="AD85" s="233"/>
      <c r="AE85" s="233">
        <f t="shared" si="11"/>
        <v>0</v>
      </c>
      <c r="AF85" s="233"/>
      <c r="AG85" s="94">
        <v>0</v>
      </c>
      <c r="AH85" s="94"/>
      <c r="AI85" s="94"/>
      <c r="AJ85" s="94">
        <f t="shared" si="12"/>
        <v>0</v>
      </c>
      <c r="AK85" s="233">
        <v>877</v>
      </c>
      <c r="AL85" s="94">
        <v>10</v>
      </c>
      <c r="AM85" s="158"/>
      <c r="AN85" s="158"/>
      <c r="AO85" s="158"/>
      <c r="AP85" s="158"/>
      <c r="AQ85" s="158"/>
      <c r="AR85" s="158"/>
      <c r="AS85" s="2">
        <v>1</v>
      </c>
      <c r="AT85" s="58" t="s">
        <v>646</v>
      </c>
      <c r="AU85" s="104"/>
      <c r="AV85" s="158"/>
      <c r="AW85" s="158"/>
      <c r="AX85" s="158"/>
      <c r="AY85" s="158">
        <v>120</v>
      </c>
      <c r="AZ85" s="158"/>
      <c r="BA85" s="158"/>
      <c r="BB85" s="69">
        <v>120</v>
      </c>
      <c r="BC85" s="69"/>
      <c r="BD85" s="271">
        <v>2019</v>
      </c>
      <c r="BE85" s="271">
        <v>2019</v>
      </c>
      <c r="BF85" s="271"/>
    </row>
    <row r="86" spans="1:58" s="204" customFormat="1" ht="18" customHeight="1">
      <c r="A86" s="160" t="s">
        <v>501</v>
      </c>
      <c r="B86" s="58" t="s">
        <v>1825</v>
      </c>
      <c r="C86" s="118" t="s">
        <v>1088</v>
      </c>
      <c r="D86" s="58" t="s">
        <v>67</v>
      </c>
      <c r="E86" s="58"/>
      <c r="F86" s="58"/>
      <c r="G86" s="58"/>
      <c r="H86" s="30" t="s">
        <v>1058</v>
      </c>
      <c r="I86" s="78">
        <v>28</v>
      </c>
      <c r="J86" s="212">
        <v>43363</v>
      </c>
      <c r="K86" s="94">
        <v>4</v>
      </c>
      <c r="L86" s="94">
        <v>4</v>
      </c>
      <c r="M86" s="158"/>
      <c r="N86" s="158"/>
      <c r="O86" s="158">
        <v>4</v>
      </c>
      <c r="P86" s="94">
        <v>319510650</v>
      </c>
      <c r="Q86" s="94"/>
      <c r="R86" s="94"/>
      <c r="S86" s="94"/>
      <c r="T86" s="94"/>
      <c r="U86" s="94"/>
      <c r="V86" s="94"/>
      <c r="W86" s="94"/>
      <c r="X86" s="94"/>
      <c r="Y86" s="94"/>
      <c r="Z86" s="218"/>
      <c r="AA86" s="218"/>
      <c r="AB86" s="218"/>
      <c r="AC86" s="218"/>
      <c r="AD86" s="218"/>
      <c r="AE86" s="94">
        <f t="shared" si="11"/>
        <v>319510650</v>
      </c>
      <c r="AF86" s="94"/>
      <c r="AG86" s="94">
        <v>0</v>
      </c>
      <c r="AH86" s="94"/>
      <c r="AI86" s="94"/>
      <c r="AJ86" s="158">
        <f>AE86+AG86</f>
        <v>319510650</v>
      </c>
      <c r="AK86" s="233">
        <v>877</v>
      </c>
      <c r="AL86" s="94">
        <v>10</v>
      </c>
      <c r="AM86" s="61">
        <v>4</v>
      </c>
      <c r="AN86" s="158"/>
      <c r="AO86" s="158"/>
      <c r="AP86" s="158"/>
      <c r="AQ86" s="158"/>
      <c r="AR86" s="158"/>
      <c r="AS86" s="2">
        <v>0</v>
      </c>
      <c r="AT86" s="58" t="s">
        <v>521</v>
      </c>
      <c r="AU86" s="104" t="s">
        <v>2156</v>
      </c>
      <c r="AV86" s="158"/>
      <c r="AW86" s="158"/>
      <c r="AX86" s="158"/>
      <c r="AY86" s="158"/>
      <c r="AZ86" s="158"/>
      <c r="BA86" s="158"/>
      <c r="BB86" s="69"/>
      <c r="BC86" s="69"/>
      <c r="BD86" s="271"/>
      <c r="BE86" s="271">
        <v>2019</v>
      </c>
      <c r="BF86" s="271">
        <v>2020</v>
      </c>
    </row>
    <row r="87" spans="1:58" s="204" customFormat="1" ht="18" hidden="1" customHeight="1">
      <c r="A87" s="243" t="s">
        <v>501</v>
      </c>
      <c r="B87" s="58" t="s">
        <v>1825</v>
      </c>
      <c r="C87" s="255" t="s">
        <v>1069</v>
      </c>
      <c r="D87" s="246" t="s">
        <v>67</v>
      </c>
      <c r="E87" s="246"/>
      <c r="F87" s="246"/>
      <c r="G87" s="246"/>
      <c r="H87" s="46" t="s">
        <v>1058</v>
      </c>
      <c r="I87" s="30">
        <v>29</v>
      </c>
      <c r="J87" s="212">
        <v>43363</v>
      </c>
      <c r="K87" s="94">
        <f>62-2</f>
        <v>60</v>
      </c>
      <c r="L87" s="94">
        <v>60</v>
      </c>
      <c r="M87" s="158"/>
      <c r="N87" s="158"/>
      <c r="O87" s="94"/>
      <c r="P87" s="94">
        <f>4952415075-159755325</f>
        <v>4792659750</v>
      </c>
      <c r="Q87" s="94"/>
      <c r="R87" s="94"/>
      <c r="S87" s="94"/>
      <c r="T87" s="94">
        <f>2127193609</f>
        <v>2127193609</v>
      </c>
      <c r="U87" s="94"/>
      <c r="V87" s="218"/>
      <c r="W87" s="218"/>
      <c r="X87" s="218"/>
      <c r="Y87" s="94">
        <v>2665466141</v>
      </c>
      <c r="Z87" s="94">
        <v>10</v>
      </c>
      <c r="AA87" s="311">
        <v>43497</v>
      </c>
      <c r="AB87" s="584"/>
      <c r="AC87" s="252"/>
      <c r="AD87" s="252"/>
      <c r="AE87" s="252">
        <f t="shared" si="11"/>
        <v>0</v>
      </c>
      <c r="AF87" s="252"/>
      <c r="AG87" s="94">
        <v>0</v>
      </c>
      <c r="AH87" s="94"/>
      <c r="AI87" s="94"/>
      <c r="AJ87" s="94">
        <f t="shared" si="12"/>
        <v>0</v>
      </c>
      <c r="AK87" s="233">
        <v>877</v>
      </c>
      <c r="AL87" s="94">
        <v>10</v>
      </c>
      <c r="AM87" s="158"/>
      <c r="AN87" s="158"/>
      <c r="AO87" s="158"/>
      <c r="AP87" s="158"/>
      <c r="AQ87" s="158"/>
      <c r="AR87" s="158"/>
      <c r="AS87" s="2">
        <v>1</v>
      </c>
      <c r="AT87" s="58" t="s">
        <v>646</v>
      </c>
      <c r="AU87" s="104"/>
      <c r="AV87" s="158"/>
      <c r="AW87" s="158"/>
      <c r="AX87" s="158"/>
      <c r="AY87" s="158">
        <v>60</v>
      </c>
      <c r="AZ87" s="158"/>
      <c r="BA87" s="158"/>
      <c r="BB87" s="69">
        <v>60</v>
      </c>
      <c r="BC87" s="69"/>
      <c r="BD87" s="271">
        <v>2019</v>
      </c>
      <c r="BE87" s="271">
        <v>2019</v>
      </c>
      <c r="BF87" s="271"/>
    </row>
    <row r="88" spans="1:58" s="204" customFormat="1" ht="30" customHeight="1">
      <c r="A88" s="160" t="s">
        <v>501</v>
      </c>
      <c r="B88" s="58" t="s">
        <v>1825</v>
      </c>
      <c r="C88" s="77" t="s">
        <v>1069</v>
      </c>
      <c r="D88" s="58" t="s">
        <v>67</v>
      </c>
      <c r="E88" s="58"/>
      <c r="F88" s="58"/>
      <c r="G88" s="58"/>
      <c r="H88" s="30" t="s">
        <v>1058</v>
      </c>
      <c r="I88" s="78">
        <v>29</v>
      </c>
      <c r="J88" s="212">
        <v>43363</v>
      </c>
      <c r="K88" s="94">
        <v>2</v>
      </c>
      <c r="L88" s="94">
        <v>2</v>
      </c>
      <c r="M88" s="158"/>
      <c r="N88" s="158">
        <v>2</v>
      </c>
      <c r="O88" s="94"/>
      <c r="P88" s="94">
        <v>159755325</v>
      </c>
      <c r="Q88" s="94"/>
      <c r="R88" s="94"/>
      <c r="S88" s="94"/>
      <c r="T88" s="94"/>
      <c r="U88" s="94"/>
      <c r="V88" s="94"/>
      <c r="W88" s="94"/>
      <c r="X88" s="94"/>
      <c r="Y88" s="94"/>
      <c r="Z88" s="218"/>
      <c r="AA88" s="218"/>
      <c r="AB88" s="218"/>
      <c r="AC88" s="218"/>
      <c r="AD88" s="218"/>
      <c r="AE88" s="94">
        <f t="shared" si="11"/>
        <v>159755325</v>
      </c>
      <c r="AF88" s="94"/>
      <c r="AG88" s="94">
        <v>0</v>
      </c>
      <c r="AH88" s="94"/>
      <c r="AI88" s="94"/>
      <c r="AJ88" s="158">
        <f>AE88+AG88</f>
        <v>159755325</v>
      </c>
      <c r="AK88" s="233">
        <v>877</v>
      </c>
      <c r="AL88" s="94">
        <v>10</v>
      </c>
      <c r="AM88" s="158">
        <v>2</v>
      </c>
      <c r="AN88" s="158"/>
      <c r="AO88" s="158"/>
      <c r="AP88" s="158"/>
      <c r="AQ88" s="158"/>
      <c r="AR88" s="158"/>
      <c r="AS88" s="2">
        <v>0</v>
      </c>
      <c r="AT88" s="58" t="s">
        <v>521</v>
      </c>
      <c r="AU88" s="308" t="s">
        <v>1708</v>
      </c>
      <c r="AV88" s="158"/>
      <c r="AW88" s="158"/>
      <c r="AX88" s="158"/>
      <c r="AY88" s="158"/>
      <c r="AZ88" s="158"/>
      <c r="BA88" s="158"/>
      <c r="BB88" s="69"/>
      <c r="BC88" s="69"/>
      <c r="BD88" s="271"/>
      <c r="BE88" s="271">
        <v>2019</v>
      </c>
      <c r="BF88" s="271">
        <v>2020</v>
      </c>
    </row>
    <row r="89" spans="1:58" s="204" customFormat="1" ht="25.5" hidden="1" customHeight="1">
      <c r="A89" s="160" t="s">
        <v>501</v>
      </c>
      <c r="B89" s="256" t="s">
        <v>727</v>
      </c>
      <c r="C89" s="77" t="s">
        <v>1262</v>
      </c>
      <c r="D89" s="246" t="s">
        <v>1117</v>
      </c>
      <c r="E89" s="246"/>
      <c r="F89" s="246"/>
      <c r="G89" s="246"/>
      <c r="H89" s="46" t="s">
        <v>1116</v>
      </c>
      <c r="I89" s="30">
        <v>335</v>
      </c>
      <c r="J89" s="212">
        <v>43406</v>
      </c>
      <c r="K89" s="94">
        <v>26</v>
      </c>
      <c r="L89" s="94">
        <v>26</v>
      </c>
      <c r="M89" s="158"/>
      <c r="N89" s="158"/>
      <c r="O89" s="94"/>
      <c r="P89" s="94">
        <v>2086867753</v>
      </c>
      <c r="Q89" s="94"/>
      <c r="R89" s="94"/>
      <c r="S89" s="94"/>
      <c r="T89" s="94">
        <v>911271312</v>
      </c>
      <c r="U89" s="94">
        <v>10</v>
      </c>
      <c r="V89" s="94"/>
      <c r="W89" s="94"/>
      <c r="X89" s="94"/>
      <c r="Y89" s="94">
        <v>1175596441</v>
      </c>
      <c r="Z89" s="94">
        <v>10</v>
      </c>
      <c r="AA89" s="311">
        <v>43586</v>
      </c>
      <c r="AB89" s="584"/>
      <c r="AC89" s="252"/>
      <c r="AD89" s="252"/>
      <c r="AE89" s="252">
        <f t="shared" si="11"/>
        <v>0</v>
      </c>
      <c r="AF89" s="252"/>
      <c r="AG89" s="94">
        <v>0</v>
      </c>
      <c r="AH89" s="94"/>
      <c r="AI89" s="94"/>
      <c r="AJ89" s="94">
        <f t="shared" si="12"/>
        <v>0</v>
      </c>
      <c r="AK89" s="233">
        <v>877</v>
      </c>
      <c r="AL89" s="94">
        <v>10</v>
      </c>
      <c r="AM89" s="158"/>
      <c r="AN89" s="94"/>
      <c r="AO89" s="94"/>
      <c r="AP89" s="158"/>
      <c r="AQ89" s="158"/>
      <c r="AR89" s="158"/>
      <c r="AS89" s="2">
        <v>1</v>
      </c>
      <c r="AT89" s="58" t="s">
        <v>646</v>
      </c>
      <c r="AU89" s="104"/>
      <c r="AV89" s="158"/>
      <c r="AW89" s="158"/>
      <c r="AX89" s="158"/>
      <c r="AY89" s="158">
        <v>26</v>
      </c>
      <c r="AZ89" s="158"/>
      <c r="BA89" s="158"/>
      <c r="BB89" s="69">
        <v>26</v>
      </c>
      <c r="BC89" s="69"/>
      <c r="BD89" s="271">
        <v>2019</v>
      </c>
      <c r="BE89" s="271">
        <v>2019</v>
      </c>
      <c r="BF89" s="271"/>
    </row>
    <row r="90" spans="1:58" s="204" customFormat="1" ht="18" customHeight="1">
      <c r="A90" s="160" t="s">
        <v>501</v>
      </c>
      <c r="B90" s="58" t="s">
        <v>32</v>
      </c>
      <c r="C90" s="118" t="s">
        <v>722</v>
      </c>
      <c r="D90" s="58" t="s">
        <v>1133</v>
      </c>
      <c r="E90" s="58"/>
      <c r="F90" s="58"/>
      <c r="G90" s="58"/>
      <c r="H90" s="30" t="s">
        <v>1113</v>
      </c>
      <c r="I90" s="78">
        <v>732</v>
      </c>
      <c r="J90" s="212">
        <v>43453</v>
      </c>
      <c r="K90" s="94">
        <v>44</v>
      </c>
      <c r="L90" s="158">
        <v>44</v>
      </c>
      <c r="M90" s="158"/>
      <c r="N90" s="158">
        <v>44</v>
      </c>
      <c r="O90" s="158"/>
      <c r="P90" s="158">
        <v>3294258000</v>
      </c>
      <c r="Q90" s="158"/>
      <c r="R90" s="158"/>
      <c r="S90" s="158"/>
      <c r="T90" s="158">
        <v>1750415320</v>
      </c>
      <c r="U90" s="158">
        <v>10</v>
      </c>
      <c r="V90" s="158"/>
      <c r="W90" s="158"/>
      <c r="X90" s="158"/>
      <c r="Y90" s="94">
        <v>1543842680</v>
      </c>
      <c r="Z90" s="69">
        <v>20</v>
      </c>
      <c r="AA90" s="311">
        <v>43709</v>
      </c>
      <c r="AB90" s="577"/>
      <c r="AC90" s="69"/>
      <c r="AD90" s="69"/>
      <c r="AE90" s="94">
        <f t="shared" si="11"/>
        <v>0</v>
      </c>
      <c r="AF90" s="94"/>
      <c r="AG90" s="94">
        <v>0</v>
      </c>
      <c r="AH90" s="94"/>
      <c r="AI90" s="94"/>
      <c r="AJ90" s="94">
        <f t="shared" si="12"/>
        <v>0</v>
      </c>
      <c r="AK90" s="233">
        <v>877</v>
      </c>
      <c r="AL90" s="94">
        <v>20</v>
      </c>
      <c r="AM90" s="61"/>
      <c r="AN90" s="94">
        <v>44</v>
      </c>
      <c r="AO90" s="158"/>
      <c r="AP90" s="158"/>
      <c r="AQ90" s="158"/>
      <c r="AR90" s="158"/>
      <c r="AS90" s="2">
        <v>0.64259999999999995</v>
      </c>
      <c r="AT90" s="58" t="s">
        <v>38</v>
      </c>
      <c r="AU90" s="104"/>
      <c r="AV90" s="158"/>
      <c r="AW90" s="158"/>
      <c r="AX90" s="158"/>
      <c r="AY90" s="158"/>
      <c r="AZ90" s="158"/>
      <c r="BA90" s="158"/>
      <c r="BB90" s="69"/>
      <c r="BC90" s="69"/>
      <c r="BD90" s="271"/>
      <c r="BE90" s="271">
        <v>2019</v>
      </c>
      <c r="BF90" s="271">
        <v>2020</v>
      </c>
    </row>
    <row r="91" spans="1:58" s="204" customFormat="1" ht="18" hidden="1" customHeight="1">
      <c r="A91" s="160" t="s">
        <v>501</v>
      </c>
      <c r="B91" s="58" t="s">
        <v>28</v>
      </c>
      <c r="C91" s="118" t="s">
        <v>1131</v>
      </c>
      <c r="D91" s="58" t="s">
        <v>1134</v>
      </c>
      <c r="E91" s="58"/>
      <c r="F91" s="58"/>
      <c r="G91" s="58"/>
      <c r="H91" s="30" t="s">
        <v>1113</v>
      </c>
      <c r="I91" s="78">
        <v>733</v>
      </c>
      <c r="J91" s="212">
        <v>43453</v>
      </c>
      <c r="K91" s="158">
        <v>13</v>
      </c>
      <c r="L91" s="158">
        <v>13</v>
      </c>
      <c r="M91" s="158"/>
      <c r="N91" s="158"/>
      <c r="O91" s="158"/>
      <c r="P91" s="158">
        <v>855753835</v>
      </c>
      <c r="Q91" s="158"/>
      <c r="R91" s="158"/>
      <c r="S91" s="158"/>
      <c r="T91" s="158">
        <v>453730987</v>
      </c>
      <c r="U91" s="158">
        <v>10</v>
      </c>
      <c r="V91" s="311">
        <v>43525</v>
      </c>
      <c r="W91" s="311"/>
      <c r="X91" s="311"/>
      <c r="Y91" s="94">
        <v>402022848</v>
      </c>
      <c r="Z91" s="69">
        <v>10</v>
      </c>
      <c r="AA91" s="311">
        <v>43678</v>
      </c>
      <c r="AB91" s="577"/>
      <c r="AC91" s="69"/>
      <c r="AD91" s="69"/>
      <c r="AE91" s="94">
        <f t="shared" si="11"/>
        <v>0</v>
      </c>
      <c r="AF91" s="94"/>
      <c r="AG91" s="94">
        <v>0</v>
      </c>
      <c r="AH91" s="94"/>
      <c r="AI91" s="94"/>
      <c r="AJ91" s="94">
        <f t="shared" si="12"/>
        <v>0</v>
      </c>
      <c r="AK91" s="233">
        <v>877</v>
      </c>
      <c r="AL91" s="94">
        <v>10</v>
      </c>
      <c r="AM91" s="61"/>
      <c r="AN91" s="158"/>
      <c r="AO91" s="158"/>
      <c r="AP91" s="158"/>
      <c r="AQ91" s="158"/>
      <c r="AR91" s="158"/>
      <c r="AS91" s="2">
        <v>1</v>
      </c>
      <c r="AT91" s="58" t="s">
        <v>646</v>
      </c>
      <c r="AU91" s="104" t="s">
        <v>1841</v>
      </c>
      <c r="AV91" s="158"/>
      <c r="AW91" s="158"/>
      <c r="AX91" s="158"/>
      <c r="AY91" s="158">
        <v>13</v>
      </c>
      <c r="AZ91" s="158"/>
      <c r="BA91" s="158"/>
      <c r="BB91" s="69">
        <v>13</v>
      </c>
      <c r="BC91" s="69"/>
      <c r="BD91" s="271">
        <v>2019</v>
      </c>
      <c r="BE91" s="271">
        <v>2019</v>
      </c>
      <c r="BF91" s="271"/>
    </row>
    <row r="92" spans="1:58" s="204" customFormat="1" ht="18" hidden="1" customHeight="1">
      <c r="A92" s="248" t="s">
        <v>501</v>
      </c>
      <c r="B92" s="118" t="s">
        <v>727</v>
      </c>
      <c r="C92" s="253" t="s">
        <v>1132</v>
      </c>
      <c r="D92" s="58" t="s">
        <v>16</v>
      </c>
      <c r="E92" s="58"/>
      <c r="F92" s="58"/>
      <c r="G92" s="58"/>
      <c r="H92" s="30" t="s">
        <v>1113</v>
      </c>
      <c r="I92" s="30">
        <v>738</v>
      </c>
      <c r="J92" s="212">
        <v>43453</v>
      </c>
      <c r="K92" s="94">
        <v>34</v>
      </c>
      <c r="L92" s="158">
        <v>34</v>
      </c>
      <c r="M92" s="158"/>
      <c r="N92" s="158"/>
      <c r="O92" s="155"/>
      <c r="P92" s="158">
        <v>2627447492</v>
      </c>
      <c r="Q92" s="158"/>
      <c r="R92" s="158"/>
      <c r="S92" s="158"/>
      <c r="T92" s="158">
        <v>1412158834</v>
      </c>
      <c r="U92" s="158">
        <v>10</v>
      </c>
      <c r="V92" s="158"/>
      <c r="W92" s="158"/>
      <c r="X92" s="158"/>
      <c r="Y92" s="94">
        <v>1215288658</v>
      </c>
      <c r="Z92" s="158">
        <v>10</v>
      </c>
      <c r="AA92" s="311">
        <v>43586</v>
      </c>
      <c r="AB92" s="583"/>
      <c r="AC92" s="92"/>
      <c r="AD92" s="92"/>
      <c r="AE92" s="254">
        <f t="shared" si="11"/>
        <v>0</v>
      </c>
      <c r="AF92" s="254"/>
      <c r="AG92" s="94">
        <v>0</v>
      </c>
      <c r="AH92" s="94"/>
      <c r="AI92" s="94"/>
      <c r="AJ92" s="94">
        <f t="shared" si="12"/>
        <v>0</v>
      </c>
      <c r="AK92" s="233">
        <v>877</v>
      </c>
      <c r="AL92" s="94">
        <v>10</v>
      </c>
      <c r="AM92" s="155"/>
      <c r="AN92" s="94"/>
      <c r="AO92" s="94"/>
      <c r="AP92" s="158"/>
      <c r="AQ92" s="158"/>
      <c r="AR92" s="158"/>
      <c r="AS92" s="2">
        <v>1</v>
      </c>
      <c r="AT92" s="58" t="s">
        <v>646</v>
      </c>
      <c r="AU92" s="104"/>
      <c r="AV92" s="158"/>
      <c r="AW92" s="158"/>
      <c r="AX92" s="158"/>
      <c r="AY92" s="158">
        <v>34</v>
      </c>
      <c r="AZ92" s="158"/>
      <c r="BA92" s="158"/>
      <c r="BB92" s="69">
        <v>34</v>
      </c>
      <c r="BC92" s="69"/>
      <c r="BD92" s="271">
        <v>2019</v>
      </c>
      <c r="BE92" s="271">
        <v>2019</v>
      </c>
      <c r="BF92" s="271"/>
    </row>
    <row r="93" spans="1:58" s="204" customFormat="1" ht="18" hidden="1" customHeight="1">
      <c r="A93" s="230" t="s">
        <v>501</v>
      </c>
      <c r="B93" s="234" t="s">
        <v>727</v>
      </c>
      <c r="C93" s="234" t="s">
        <v>1215</v>
      </c>
      <c r="D93" s="28" t="s">
        <v>16</v>
      </c>
      <c r="E93" s="28"/>
      <c r="F93" s="28"/>
      <c r="G93" s="28"/>
      <c r="H93" s="44" t="s">
        <v>1116</v>
      </c>
      <c r="I93" s="30">
        <v>494</v>
      </c>
      <c r="J93" s="212">
        <v>43430</v>
      </c>
      <c r="K93" s="94">
        <v>50</v>
      </c>
      <c r="L93" s="94">
        <v>50</v>
      </c>
      <c r="M93" s="158"/>
      <c r="N93" s="158"/>
      <c r="O93" s="94"/>
      <c r="P93" s="94">
        <v>3893366738</v>
      </c>
      <c r="Q93" s="94"/>
      <c r="R93" s="94"/>
      <c r="S93" s="94"/>
      <c r="T93" s="94">
        <v>1643837032</v>
      </c>
      <c r="U93" s="94">
        <v>10</v>
      </c>
      <c r="V93" s="94"/>
      <c r="W93" s="94"/>
      <c r="X93" s="94"/>
      <c r="Y93" s="94">
        <v>2249529706</v>
      </c>
      <c r="Z93" s="94">
        <v>10</v>
      </c>
      <c r="AA93" s="311">
        <v>43586</v>
      </c>
      <c r="AB93" s="329"/>
      <c r="AC93" s="233"/>
      <c r="AD93" s="233"/>
      <c r="AE93" s="233">
        <f t="shared" si="11"/>
        <v>0</v>
      </c>
      <c r="AF93" s="233"/>
      <c r="AG93" s="94">
        <v>0</v>
      </c>
      <c r="AH93" s="94"/>
      <c r="AI93" s="94"/>
      <c r="AJ93" s="94">
        <f t="shared" si="12"/>
        <v>0</v>
      </c>
      <c r="AK93" s="233">
        <v>877</v>
      </c>
      <c r="AL93" s="94">
        <v>10</v>
      </c>
      <c r="AM93" s="158"/>
      <c r="AN93" s="94"/>
      <c r="AO93" s="94"/>
      <c r="AP93" s="158"/>
      <c r="AQ93" s="158"/>
      <c r="AR93" s="158"/>
      <c r="AS93" s="2">
        <v>1</v>
      </c>
      <c r="AT93" s="58" t="s">
        <v>646</v>
      </c>
      <c r="AU93" s="104"/>
      <c r="AV93" s="158"/>
      <c r="AW93" s="158"/>
      <c r="AX93" s="158"/>
      <c r="AY93" s="158">
        <v>50</v>
      </c>
      <c r="AZ93" s="158"/>
      <c r="BA93" s="158"/>
      <c r="BB93" s="69">
        <v>50</v>
      </c>
      <c r="BC93" s="69"/>
      <c r="BD93" s="271">
        <v>2019</v>
      </c>
      <c r="BE93" s="271">
        <v>2019</v>
      </c>
      <c r="BF93" s="271"/>
    </row>
    <row r="94" spans="1:58" s="204" customFormat="1" ht="18" hidden="1" customHeight="1">
      <c r="A94" s="160" t="s">
        <v>501</v>
      </c>
      <c r="B94" s="58" t="s">
        <v>31</v>
      </c>
      <c r="C94" s="118" t="s">
        <v>1238</v>
      </c>
      <c r="D94" s="58" t="s">
        <v>919</v>
      </c>
      <c r="E94" s="58"/>
      <c r="F94" s="58"/>
      <c r="G94" s="58"/>
      <c r="H94" s="30" t="s">
        <v>1232</v>
      </c>
      <c r="I94" s="30">
        <v>489</v>
      </c>
      <c r="J94" s="212">
        <v>43539</v>
      </c>
      <c r="K94" s="94"/>
      <c r="L94" s="94">
        <v>13</v>
      </c>
      <c r="M94" s="158"/>
      <c r="N94" s="158"/>
      <c r="O94" s="94"/>
      <c r="P94" s="94">
        <v>913149734</v>
      </c>
      <c r="Q94" s="94"/>
      <c r="R94" s="94"/>
      <c r="S94" s="94"/>
      <c r="T94" s="94">
        <v>478590119</v>
      </c>
      <c r="U94" s="94">
        <v>10</v>
      </c>
      <c r="V94" s="311">
        <v>43586</v>
      </c>
      <c r="W94" s="311"/>
      <c r="X94" s="311"/>
      <c r="Y94" s="94">
        <v>434559615</v>
      </c>
      <c r="Z94" s="218">
        <v>10</v>
      </c>
      <c r="AA94" s="311">
        <v>43678</v>
      </c>
      <c r="AB94" s="577"/>
      <c r="AC94" s="218"/>
      <c r="AD94" s="218"/>
      <c r="AE94" s="94">
        <f t="shared" si="11"/>
        <v>0</v>
      </c>
      <c r="AF94" s="94"/>
      <c r="AG94" s="94">
        <v>0</v>
      </c>
      <c r="AH94" s="94"/>
      <c r="AI94" s="94"/>
      <c r="AJ94" s="94">
        <f t="shared" si="12"/>
        <v>0</v>
      </c>
      <c r="AK94" s="233">
        <v>877</v>
      </c>
      <c r="AL94" s="94">
        <v>10</v>
      </c>
      <c r="AM94" s="61"/>
      <c r="AN94" s="158"/>
      <c r="AO94" s="158"/>
      <c r="AP94" s="158"/>
      <c r="AQ94" s="158"/>
      <c r="AR94" s="158"/>
      <c r="AS94" s="2">
        <v>1</v>
      </c>
      <c r="AT94" s="58" t="s">
        <v>646</v>
      </c>
      <c r="AU94" s="104"/>
      <c r="AV94" s="158"/>
      <c r="AW94" s="158"/>
      <c r="AX94" s="158"/>
      <c r="AY94" s="158">
        <v>13</v>
      </c>
      <c r="AZ94" s="158"/>
      <c r="BA94" s="158"/>
      <c r="BB94" s="69">
        <v>13</v>
      </c>
      <c r="BC94" s="69"/>
      <c r="BD94" s="271">
        <v>2019</v>
      </c>
      <c r="BE94" s="271">
        <v>2019</v>
      </c>
      <c r="BF94" s="271"/>
    </row>
    <row r="95" spans="1:58" s="204" customFormat="1" ht="18" customHeight="1">
      <c r="A95" s="243" t="s">
        <v>501</v>
      </c>
      <c r="B95" s="246" t="s">
        <v>1271</v>
      </c>
      <c r="C95" s="256" t="s">
        <v>1270</v>
      </c>
      <c r="D95" s="246" t="s">
        <v>772</v>
      </c>
      <c r="E95" s="246"/>
      <c r="F95" s="246"/>
      <c r="G95" s="246"/>
      <c r="H95" s="46" t="s">
        <v>1232</v>
      </c>
      <c r="I95" s="30">
        <v>728</v>
      </c>
      <c r="J95" s="212">
        <v>43579</v>
      </c>
      <c r="K95" s="94"/>
      <c r="L95" s="94"/>
      <c r="M95" s="158">
        <v>16</v>
      </c>
      <c r="N95" s="158">
        <v>16</v>
      </c>
      <c r="O95" s="94"/>
      <c r="P95" s="94">
        <v>1119591443</v>
      </c>
      <c r="Q95" s="94"/>
      <c r="R95" s="94"/>
      <c r="S95" s="94"/>
      <c r="T95" s="94">
        <v>574456206</v>
      </c>
      <c r="U95" s="94">
        <v>20</v>
      </c>
      <c r="V95" s="311">
        <v>43617</v>
      </c>
      <c r="W95" s="311"/>
      <c r="X95" s="311"/>
      <c r="Y95" s="94"/>
      <c r="Z95" s="94"/>
      <c r="AA95" s="252"/>
      <c r="AB95" s="252"/>
      <c r="AC95" s="252"/>
      <c r="AD95" s="252"/>
      <c r="AE95" s="252">
        <f t="shared" si="11"/>
        <v>545135237</v>
      </c>
      <c r="AF95" s="252"/>
      <c r="AG95" s="94"/>
      <c r="AH95" s="94"/>
      <c r="AI95" s="94"/>
      <c r="AJ95" s="158">
        <f>AE95+AG95</f>
        <v>545135237</v>
      </c>
      <c r="AK95" s="94">
        <v>877</v>
      </c>
      <c r="AL95" s="94">
        <v>20</v>
      </c>
      <c r="AM95" s="158">
        <v>16</v>
      </c>
      <c r="AN95" s="158"/>
      <c r="AO95" s="158"/>
      <c r="AP95" s="158"/>
      <c r="AQ95" s="158"/>
      <c r="AR95" s="158"/>
      <c r="AS95" s="2">
        <v>0</v>
      </c>
      <c r="AT95" s="58" t="s">
        <v>521</v>
      </c>
      <c r="AU95" s="104"/>
      <c r="AV95" s="158"/>
      <c r="AW95" s="158"/>
      <c r="AX95" s="158"/>
      <c r="AY95" s="158"/>
      <c r="AZ95" s="158"/>
      <c r="BA95" s="158"/>
      <c r="BB95" s="69"/>
      <c r="BC95" s="69"/>
      <c r="BD95" s="271"/>
      <c r="BE95" s="271">
        <v>2019</v>
      </c>
      <c r="BF95" s="271">
        <v>2020</v>
      </c>
    </row>
    <row r="96" spans="1:58" s="204" customFormat="1" ht="18" customHeight="1">
      <c r="A96" s="160" t="s">
        <v>501</v>
      </c>
      <c r="B96" s="58" t="s">
        <v>25</v>
      </c>
      <c r="C96" s="118" t="s">
        <v>1239</v>
      </c>
      <c r="D96" s="58" t="s">
        <v>16</v>
      </c>
      <c r="E96" s="58"/>
      <c r="F96" s="58"/>
      <c r="G96" s="58"/>
      <c r="H96" s="30" t="s">
        <v>1232</v>
      </c>
      <c r="I96" s="78">
        <v>525</v>
      </c>
      <c r="J96" s="212">
        <v>43544</v>
      </c>
      <c r="K96" s="94"/>
      <c r="L96" s="94"/>
      <c r="M96" s="158">
        <v>98</v>
      </c>
      <c r="N96" s="158">
        <v>98</v>
      </c>
      <c r="O96" s="94"/>
      <c r="P96" s="94">
        <v>7731574221</v>
      </c>
      <c r="Q96" s="94"/>
      <c r="R96" s="94"/>
      <c r="S96" s="94"/>
      <c r="T96" s="94">
        <v>3985486910</v>
      </c>
      <c r="U96" s="94">
        <v>10</v>
      </c>
      <c r="V96" s="311">
        <v>43525</v>
      </c>
      <c r="W96" s="311"/>
      <c r="X96" s="311"/>
      <c r="Y96" s="94">
        <v>3746087311</v>
      </c>
      <c r="Z96" s="218">
        <v>20</v>
      </c>
      <c r="AA96" s="311">
        <v>43709</v>
      </c>
      <c r="AB96" s="577"/>
      <c r="AC96" s="218"/>
      <c r="AD96" s="218"/>
      <c r="AE96" s="94">
        <f>P96-T96-Y96</f>
        <v>0</v>
      </c>
      <c r="AF96" s="94"/>
      <c r="AG96" s="94">
        <v>0</v>
      </c>
      <c r="AH96" s="94"/>
      <c r="AI96" s="94"/>
      <c r="AJ96" s="94">
        <f t="shared" si="12"/>
        <v>0</v>
      </c>
      <c r="AK96" s="233">
        <v>877</v>
      </c>
      <c r="AL96" s="94">
        <v>20</v>
      </c>
      <c r="AM96" s="61"/>
      <c r="AN96" s="158">
        <v>98</v>
      </c>
      <c r="AO96" s="158"/>
      <c r="AP96" s="158"/>
      <c r="AQ96" s="158"/>
      <c r="AR96" s="158"/>
      <c r="AS96" s="2">
        <v>0.75109999999999999</v>
      </c>
      <c r="AT96" s="58" t="s">
        <v>38</v>
      </c>
      <c r="AU96" s="104"/>
      <c r="AV96" s="158"/>
      <c r="AW96" s="158"/>
      <c r="AX96" s="158"/>
      <c r="AY96" s="158"/>
      <c r="AZ96" s="158"/>
      <c r="BA96" s="158"/>
      <c r="BB96" s="69"/>
      <c r="BC96" s="69"/>
      <c r="BD96" s="271"/>
      <c r="BE96" s="271">
        <v>2019</v>
      </c>
      <c r="BF96" s="271">
        <v>2020</v>
      </c>
    </row>
    <row r="97" spans="1:58 16340:16383" s="204" customFormat="1" ht="18" customHeight="1">
      <c r="A97" s="160" t="s">
        <v>501</v>
      </c>
      <c r="B97" s="58" t="s">
        <v>1644</v>
      </c>
      <c r="C97" s="118" t="s">
        <v>1643</v>
      </c>
      <c r="D97" s="58" t="s">
        <v>16</v>
      </c>
      <c r="E97" s="58"/>
      <c r="F97" s="58"/>
      <c r="G97" s="58"/>
      <c r="H97" s="30" t="s">
        <v>1605</v>
      </c>
      <c r="I97" s="78">
        <v>1369</v>
      </c>
      <c r="J97" s="212">
        <v>43685</v>
      </c>
      <c r="K97" s="94"/>
      <c r="L97" s="94"/>
      <c r="M97" s="158">
        <v>68</v>
      </c>
      <c r="N97" s="158">
        <v>68</v>
      </c>
      <c r="O97" s="94"/>
      <c r="P97" s="94">
        <f>5103184539-145805272</f>
        <v>4957379267</v>
      </c>
      <c r="Q97" s="94"/>
      <c r="R97" s="94"/>
      <c r="S97" s="94"/>
      <c r="T97" s="94">
        <v>2694793644</v>
      </c>
      <c r="U97" s="94">
        <v>20</v>
      </c>
      <c r="V97" s="311">
        <v>43678</v>
      </c>
      <c r="W97" s="311"/>
      <c r="X97" s="311"/>
      <c r="Y97" s="94">
        <v>2262585623</v>
      </c>
      <c r="Z97" s="218">
        <v>20</v>
      </c>
      <c r="AA97" s="311">
        <v>43800</v>
      </c>
      <c r="AB97" s="582"/>
      <c r="AC97" s="283"/>
      <c r="AD97" s="283"/>
      <c r="AE97" s="94">
        <f>P97-T97-Y97</f>
        <v>0</v>
      </c>
      <c r="AF97" s="94"/>
      <c r="AG97" s="94">
        <v>0</v>
      </c>
      <c r="AH97" s="94"/>
      <c r="AI97" s="94"/>
      <c r="AJ97" s="94">
        <f t="shared" si="12"/>
        <v>0</v>
      </c>
      <c r="AK97" s="94">
        <v>877</v>
      </c>
      <c r="AL97" s="94">
        <v>20</v>
      </c>
      <c r="AM97" s="61"/>
      <c r="AN97" s="158">
        <v>68</v>
      </c>
      <c r="AO97" s="158"/>
      <c r="AP97" s="158"/>
      <c r="AQ97" s="158"/>
      <c r="AR97" s="158"/>
      <c r="AS97" s="2">
        <v>0.5806</v>
      </c>
      <c r="AT97" s="58" t="s">
        <v>38</v>
      </c>
      <c r="AU97" s="104"/>
      <c r="AV97" s="158"/>
      <c r="AW97" s="158"/>
      <c r="AX97" s="158"/>
      <c r="AY97" s="158"/>
      <c r="AZ97" s="158"/>
      <c r="BA97" s="158"/>
      <c r="BB97" s="69"/>
      <c r="BC97" s="69"/>
      <c r="BD97" s="271"/>
      <c r="BE97" s="271">
        <v>2019</v>
      </c>
      <c r="BF97" s="271">
        <v>2020</v>
      </c>
    </row>
    <row r="98" spans="1:58 16340:16383" s="204" customFormat="1" ht="18" customHeight="1">
      <c r="A98" s="160" t="s">
        <v>501</v>
      </c>
      <c r="B98" s="58" t="s">
        <v>1644</v>
      </c>
      <c r="C98" s="118" t="s">
        <v>1643</v>
      </c>
      <c r="D98" s="58" t="s">
        <v>16</v>
      </c>
      <c r="E98" s="58"/>
      <c r="F98" s="58"/>
      <c r="G98" s="58"/>
      <c r="H98" s="30" t="s">
        <v>1605</v>
      </c>
      <c r="I98" s="78">
        <v>1369</v>
      </c>
      <c r="J98" s="212">
        <v>43685</v>
      </c>
      <c r="K98" s="94"/>
      <c r="L98" s="94"/>
      <c r="M98" s="158">
        <v>1</v>
      </c>
      <c r="N98" s="158">
        <v>1</v>
      </c>
      <c r="O98" s="94"/>
      <c r="P98" s="94">
        <v>72902636</v>
      </c>
      <c r="Q98" s="94"/>
      <c r="R98" s="94"/>
      <c r="S98" s="94"/>
      <c r="T98" s="94">
        <v>72902636</v>
      </c>
      <c r="U98" s="94">
        <v>20</v>
      </c>
      <c r="V98" s="311">
        <v>43800</v>
      </c>
      <c r="W98" s="311"/>
      <c r="X98" s="311"/>
      <c r="Y98" s="94"/>
      <c r="Z98" s="218"/>
      <c r="AA98" s="283"/>
      <c r="AB98" s="283"/>
      <c r="AC98" s="283"/>
      <c r="AD98" s="283"/>
      <c r="AE98" s="94">
        <f>P98-T98-Y98</f>
        <v>0</v>
      </c>
      <c r="AF98" s="94"/>
      <c r="AG98" s="94">
        <v>0</v>
      </c>
      <c r="AH98" s="94"/>
      <c r="AI98" s="94"/>
      <c r="AJ98" s="94">
        <f t="shared" si="12"/>
        <v>0</v>
      </c>
      <c r="AK98" s="94">
        <v>877</v>
      </c>
      <c r="AL98" s="94">
        <v>20</v>
      </c>
      <c r="AM98" s="61"/>
      <c r="AN98" s="158">
        <v>1</v>
      </c>
      <c r="AO98" s="158"/>
      <c r="AP98" s="158"/>
      <c r="AQ98" s="158"/>
      <c r="AR98" s="158"/>
      <c r="AS98" s="2">
        <v>0.57420000000000004</v>
      </c>
      <c r="AT98" s="58" t="s">
        <v>38</v>
      </c>
      <c r="AU98" s="104"/>
      <c r="AV98" s="158"/>
      <c r="AW98" s="158"/>
      <c r="AX98" s="158"/>
      <c r="AY98" s="158"/>
      <c r="AZ98" s="158"/>
      <c r="BA98" s="158"/>
      <c r="BB98" s="69"/>
      <c r="BC98" s="69"/>
      <c r="BD98" s="271"/>
      <c r="BE98" s="271">
        <v>2019</v>
      </c>
      <c r="BF98" s="271">
        <v>2020</v>
      </c>
    </row>
    <row r="99" spans="1:58 16340:16383" s="204" customFormat="1" ht="18" customHeight="1">
      <c r="A99" s="160" t="s">
        <v>501</v>
      </c>
      <c r="B99" s="58" t="s">
        <v>1644</v>
      </c>
      <c r="C99" s="118" t="s">
        <v>1643</v>
      </c>
      <c r="D99" s="58" t="s">
        <v>16</v>
      </c>
      <c r="E99" s="58"/>
      <c r="F99" s="58"/>
      <c r="G99" s="58"/>
      <c r="H99" s="30" t="s">
        <v>1605</v>
      </c>
      <c r="I99" s="78">
        <v>1369</v>
      </c>
      <c r="J99" s="212">
        <v>43685</v>
      </c>
      <c r="K99" s="94"/>
      <c r="L99" s="94"/>
      <c r="M99" s="158">
        <v>1</v>
      </c>
      <c r="N99" s="158">
        <v>1</v>
      </c>
      <c r="O99" s="94"/>
      <c r="P99" s="94">
        <f>145805272-72902636</f>
        <v>72902636</v>
      </c>
      <c r="Q99" s="94"/>
      <c r="R99" s="94"/>
      <c r="S99" s="94"/>
      <c r="T99" s="94"/>
      <c r="U99" s="94"/>
      <c r="V99" s="94"/>
      <c r="W99" s="94"/>
      <c r="X99" s="94"/>
      <c r="Y99" s="94"/>
      <c r="Z99" s="218"/>
      <c r="AA99" s="283"/>
      <c r="AB99" s="283"/>
      <c r="AC99" s="283"/>
      <c r="AD99" s="283"/>
      <c r="AE99" s="94">
        <f>P99-T99-Y99</f>
        <v>72902636</v>
      </c>
      <c r="AF99" s="94"/>
      <c r="AG99" s="94">
        <v>0</v>
      </c>
      <c r="AH99" s="94"/>
      <c r="AI99" s="94"/>
      <c r="AJ99" s="158">
        <f>AE99+AG99</f>
        <v>72902636</v>
      </c>
      <c r="AK99" s="94">
        <v>877</v>
      </c>
      <c r="AL99" s="94">
        <v>20</v>
      </c>
      <c r="AM99" s="61">
        <v>1</v>
      </c>
      <c r="AN99" s="158"/>
      <c r="AO99" s="158"/>
      <c r="AP99" s="158"/>
      <c r="AQ99" s="158"/>
      <c r="AR99" s="158"/>
      <c r="AS99" s="2">
        <v>0</v>
      </c>
      <c r="AT99" s="58" t="s">
        <v>521</v>
      </c>
      <c r="AU99" s="104"/>
      <c r="AV99" s="158"/>
      <c r="AW99" s="158"/>
      <c r="AX99" s="158"/>
      <c r="AY99" s="158"/>
      <c r="AZ99" s="158"/>
      <c r="BA99" s="158"/>
      <c r="BB99" s="69"/>
      <c r="BC99" s="69"/>
      <c r="BD99" s="271"/>
      <c r="BE99" s="271">
        <v>2019</v>
      </c>
      <c r="BF99" s="271">
        <v>2020</v>
      </c>
    </row>
    <row r="100" spans="1:58 16340:16383" s="204" customFormat="1" ht="21" customHeight="1">
      <c r="A100" s="160" t="s">
        <v>501</v>
      </c>
      <c r="B100" s="58" t="s">
        <v>1825</v>
      </c>
      <c r="C100" s="515" t="s">
        <v>1556</v>
      </c>
      <c r="D100" s="485" t="s">
        <v>1557</v>
      </c>
      <c r="E100" s="498"/>
      <c r="F100" s="498"/>
      <c r="G100" s="498"/>
      <c r="H100" s="44" t="s">
        <v>1553</v>
      </c>
      <c r="I100" s="78">
        <v>1659</v>
      </c>
      <c r="J100" s="212">
        <v>43731</v>
      </c>
      <c r="K100" s="94"/>
      <c r="L100" s="94"/>
      <c r="M100" s="158">
        <v>52</v>
      </c>
      <c r="N100" s="158">
        <v>52</v>
      </c>
      <c r="O100" s="94"/>
      <c r="P100" s="94">
        <v>4329916139</v>
      </c>
      <c r="Q100" s="94"/>
      <c r="R100" s="94"/>
      <c r="S100" s="94"/>
      <c r="T100" s="94">
        <v>2353731485</v>
      </c>
      <c r="U100" s="94">
        <v>20</v>
      </c>
      <c r="V100" s="311">
        <v>43739</v>
      </c>
      <c r="W100" s="311"/>
      <c r="X100" s="311"/>
      <c r="Y100" s="611">
        <v>1976184654</v>
      </c>
      <c r="Z100" s="492">
        <v>20</v>
      </c>
      <c r="AA100" s="484">
        <v>43951</v>
      </c>
      <c r="AB100" s="581"/>
      <c r="AC100" s="283"/>
      <c r="AD100" s="283"/>
      <c r="AE100" s="94">
        <f>P100-T100-Y100-AG100</f>
        <v>0</v>
      </c>
      <c r="AF100" s="94"/>
      <c r="AG100" s="94">
        <f>P100-T100-Y100</f>
        <v>0</v>
      </c>
      <c r="AH100" s="94"/>
      <c r="AI100" s="94"/>
      <c r="AJ100" s="158">
        <f t="shared" ref="AJ100:AJ101" si="13">AE100+AG100</f>
        <v>0</v>
      </c>
      <c r="AK100" s="94">
        <v>877</v>
      </c>
      <c r="AL100" s="94">
        <v>20</v>
      </c>
      <c r="AM100" s="61"/>
      <c r="AN100" s="61">
        <v>52</v>
      </c>
      <c r="AO100" s="158"/>
      <c r="AP100" s="158"/>
      <c r="AQ100" s="158"/>
      <c r="AR100" s="158"/>
      <c r="AS100" s="2">
        <v>0</v>
      </c>
      <c r="AT100" s="58" t="s">
        <v>38</v>
      </c>
      <c r="AU100" s="104" t="s">
        <v>1565</v>
      </c>
      <c r="AV100" s="158"/>
      <c r="AW100" s="158"/>
      <c r="AX100" s="158"/>
      <c r="AY100" s="158"/>
      <c r="AZ100" s="158"/>
      <c r="BA100" s="158"/>
      <c r="BB100" s="69"/>
      <c r="BC100" s="69"/>
      <c r="BD100" s="271"/>
      <c r="BE100" s="271">
        <v>2019</v>
      </c>
      <c r="BF100" s="271">
        <v>2020</v>
      </c>
    </row>
    <row r="101" spans="1:58 16340:16383" s="204" customFormat="1" ht="18" customHeight="1">
      <c r="A101" s="160" t="s">
        <v>501</v>
      </c>
      <c r="B101" s="58" t="s">
        <v>31</v>
      </c>
      <c r="C101" s="118" t="s">
        <v>1768</v>
      </c>
      <c r="D101" s="58" t="s">
        <v>1769</v>
      </c>
      <c r="E101" s="28"/>
      <c r="F101" s="28"/>
      <c r="G101" s="28"/>
      <c r="H101" s="44" t="s">
        <v>1763</v>
      </c>
      <c r="I101" s="78">
        <v>1861</v>
      </c>
      <c r="J101" s="212">
        <v>43766</v>
      </c>
      <c r="K101" s="94"/>
      <c r="L101" s="94"/>
      <c r="M101" s="158">
        <v>70</v>
      </c>
      <c r="N101" s="158">
        <v>70</v>
      </c>
      <c r="O101" s="94"/>
      <c r="P101" s="94">
        <v>5409922833</v>
      </c>
      <c r="Q101" s="94"/>
      <c r="R101" s="94"/>
      <c r="S101" s="94"/>
      <c r="T101" s="94">
        <v>2938442297</v>
      </c>
      <c r="U101" s="94">
        <v>20</v>
      </c>
      <c r="V101" s="311">
        <v>43770</v>
      </c>
      <c r="W101" s="311"/>
      <c r="X101" s="311"/>
      <c r="Y101" s="94"/>
      <c r="Z101" s="218"/>
      <c r="AA101" s="283"/>
      <c r="AB101" s="283"/>
      <c r="AC101" s="283"/>
      <c r="AD101" s="283"/>
      <c r="AE101" s="94">
        <f>P101-T101-Y101</f>
        <v>2471480536</v>
      </c>
      <c r="AF101" s="94"/>
      <c r="AG101" s="94">
        <v>0</v>
      </c>
      <c r="AH101" s="94"/>
      <c r="AI101" s="94"/>
      <c r="AJ101" s="158">
        <f t="shared" si="13"/>
        <v>2471480536</v>
      </c>
      <c r="AK101" s="252">
        <v>877</v>
      </c>
      <c r="AL101" s="94">
        <v>20</v>
      </c>
      <c r="AM101" s="94">
        <v>70</v>
      </c>
      <c r="AN101" s="158"/>
      <c r="AO101" s="158"/>
      <c r="AP101" s="158"/>
      <c r="AQ101" s="158"/>
      <c r="AR101" s="158"/>
      <c r="AS101" s="2">
        <v>0</v>
      </c>
      <c r="AT101" s="58" t="s">
        <v>521</v>
      </c>
      <c r="AU101" s="104" t="s">
        <v>1565</v>
      </c>
      <c r="AV101" s="158"/>
      <c r="AW101" s="158"/>
      <c r="AX101" s="158"/>
      <c r="AY101" s="158"/>
      <c r="AZ101" s="158"/>
      <c r="BA101" s="158"/>
      <c r="BB101" s="69"/>
      <c r="BC101" s="69"/>
      <c r="BD101" s="271"/>
      <c r="BE101" s="271">
        <v>2019</v>
      </c>
      <c r="BF101" s="271">
        <v>2020</v>
      </c>
    </row>
    <row r="102" spans="1:58 16340:16383" s="204" customFormat="1" ht="18" customHeight="1">
      <c r="A102" s="160" t="s">
        <v>501</v>
      </c>
      <c r="B102" s="58" t="s">
        <v>37</v>
      </c>
      <c r="C102" s="525" t="s">
        <v>2235</v>
      </c>
      <c r="D102" s="526" t="s">
        <v>16</v>
      </c>
      <c r="E102" s="535"/>
      <c r="F102" s="538">
        <v>4</v>
      </c>
      <c r="G102" s="579"/>
      <c r="H102" s="523" t="s">
        <v>2236</v>
      </c>
      <c r="I102" s="78">
        <v>265</v>
      </c>
      <c r="J102" s="459">
        <v>43899</v>
      </c>
      <c r="K102" s="225"/>
      <c r="L102" s="225"/>
      <c r="M102" s="61"/>
      <c r="N102" s="604">
        <v>46</v>
      </c>
      <c r="O102" s="225"/>
      <c r="P102" s="517">
        <f>(2097761100+1735321439)</f>
        <v>3833082539</v>
      </c>
      <c r="Q102" s="225"/>
      <c r="R102" s="225"/>
      <c r="S102" s="225"/>
      <c r="T102" s="586">
        <v>2097761100</v>
      </c>
      <c r="U102" s="517">
        <v>20</v>
      </c>
      <c r="V102" s="527">
        <v>43921</v>
      </c>
      <c r="W102" s="527"/>
      <c r="X102" s="527"/>
      <c r="Y102" s="225"/>
      <c r="Z102" s="521">
        <v>20</v>
      </c>
      <c r="AA102" s="94"/>
      <c r="AB102" s="94"/>
      <c r="AC102" s="94"/>
      <c r="AD102" s="94"/>
      <c r="AE102" s="94"/>
      <c r="AF102" s="225"/>
      <c r="AG102" s="225"/>
      <c r="AH102" s="225">
        <f>(2097761100+1735321439)</f>
        <v>3833082539</v>
      </c>
      <c r="AI102" s="225"/>
      <c r="AJ102" s="61">
        <f>(AH102-Q102-T102-Y102)</f>
        <v>1735321439</v>
      </c>
      <c r="AK102" s="522">
        <v>877</v>
      </c>
      <c r="AL102" s="61">
        <v>20</v>
      </c>
      <c r="AM102" s="225"/>
      <c r="AN102" s="524">
        <v>46</v>
      </c>
      <c r="AO102" s="61"/>
      <c r="AP102" s="61"/>
      <c r="AQ102" s="61"/>
      <c r="AR102" s="61"/>
      <c r="AS102" s="2">
        <v>0</v>
      </c>
      <c r="AT102" s="58" t="s">
        <v>38</v>
      </c>
      <c r="AU102" s="462"/>
      <c r="AV102" s="61"/>
      <c r="AW102" s="61"/>
      <c r="AX102" s="61"/>
      <c r="AY102" s="61"/>
      <c r="AZ102" s="61"/>
      <c r="BA102" s="61"/>
      <c r="BB102" s="461"/>
      <c r="BC102" s="461"/>
      <c r="BD102" s="464"/>
      <c r="BE102" s="464"/>
      <c r="BF102" s="464">
        <v>2020</v>
      </c>
    </row>
    <row r="103" spans="1:58 16340:16383" s="204" customFormat="1" ht="18" customHeight="1">
      <c r="A103" s="160" t="s">
        <v>501</v>
      </c>
      <c r="B103" s="520" t="s">
        <v>1068</v>
      </c>
      <c r="C103" s="525" t="s">
        <v>2245</v>
      </c>
      <c r="D103" s="526" t="s">
        <v>2246</v>
      </c>
      <c r="E103" s="540"/>
      <c r="F103" s="538">
        <v>4</v>
      </c>
      <c r="G103" s="579"/>
      <c r="H103" s="541" t="s">
        <v>2236</v>
      </c>
      <c r="I103" s="78">
        <v>272</v>
      </c>
      <c r="J103" s="459">
        <v>43900</v>
      </c>
      <c r="K103" s="225"/>
      <c r="L103" s="225"/>
      <c r="M103" s="61"/>
      <c r="N103" s="604">
        <v>54</v>
      </c>
      <c r="O103" s="225"/>
      <c r="P103" s="517">
        <f>(2473025734+2025928452)</f>
        <v>4498954186</v>
      </c>
      <c r="Q103" s="225"/>
      <c r="R103" s="225"/>
      <c r="S103" s="225"/>
      <c r="T103" s="586">
        <v>2473025734</v>
      </c>
      <c r="U103" s="517">
        <v>20</v>
      </c>
      <c r="V103" s="527">
        <v>43921</v>
      </c>
      <c r="W103" s="527"/>
      <c r="X103" s="527"/>
      <c r="Y103" s="225"/>
      <c r="Z103" s="521">
        <v>20</v>
      </c>
      <c r="AA103" s="94"/>
      <c r="AB103" s="94"/>
      <c r="AC103" s="94"/>
      <c r="AD103" s="94"/>
      <c r="AE103" s="94"/>
      <c r="AF103" s="225"/>
      <c r="AG103" s="225"/>
      <c r="AH103" s="225">
        <v>4498954186</v>
      </c>
      <c r="AI103" s="225"/>
      <c r="AJ103" s="61">
        <f>(AH103-Q103-T103-Y103)</f>
        <v>2025928452</v>
      </c>
      <c r="AK103" s="522">
        <v>877</v>
      </c>
      <c r="AL103" s="61">
        <v>20</v>
      </c>
      <c r="AM103" s="225"/>
      <c r="AN103" s="524">
        <v>54</v>
      </c>
      <c r="AO103" s="61"/>
      <c r="AP103" s="61"/>
      <c r="AQ103" s="61"/>
      <c r="AR103" s="61"/>
      <c r="AS103" s="2">
        <v>0</v>
      </c>
      <c r="AT103" s="58" t="s">
        <v>38</v>
      </c>
      <c r="AU103" s="462"/>
      <c r="AV103" s="61"/>
      <c r="AW103" s="61"/>
      <c r="AX103" s="61"/>
      <c r="AY103" s="61"/>
      <c r="AZ103" s="61"/>
      <c r="BA103" s="61"/>
      <c r="BB103" s="461"/>
      <c r="BC103" s="461"/>
      <c r="BD103" s="464"/>
      <c r="BE103" s="464"/>
      <c r="BF103" s="464">
        <v>2020</v>
      </c>
    </row>
    <row r="104" spans="1:58 16340:16383" s="204" customFormat="1" ht="18" customHeight="1">
      <c r="A104" s="160" t="s">
        <v>501</v>
      </c>
      <c r="B104" s="58" t="s">
        <v>1644</v>
      </c>
      <c r="C104" s="526" t="s">
        <v>2265</v>
      </c>
      <c r="D104" s="526" t="s">
        <v>2266</v>
      </c>
      <c r="E104" s="540"/>
      <c r="F104" s="538">
        <v>4</v>
      </c>
      <c r="G104" s="579"/>
      <c r="H104" s="541" t="s">
        <v>2236</v>
      </c>
      <c r="I104" s="78">
        <v>310</v>
      </c>
      <c r="J104" s="459">
        <v>43909</v>
      </c>
      <c r="K104" s="225"/>
      <c r="L104" s="225"/>
      <c r="M104" s="61"/>
      <c r="N104" s="604">
        <v>40</v>
      </c>
      <c r="O104" s="225"/>
      <c r="P104" s="517">
        <f>(1523730607+1285657178)</f>
        <v>2809387785</v>
      </c>
      <c r="Q104" s="225"/>
      <c r="R104" s="225"/>
      <c r="S104" s="225"/>
      <c r="T104" s="586">
        <v>1523730607</v>
      </c>
      <c r="U104" s="517">
        <v>20</v>
      </c>
      <c r="V104" s="527">
        <v>43951</v>
      </c>
      <c r="W104" s="527"/>
      <c r="X104" s="527"/>
      <c r="Y104" s="225"/>
      <c r="Z104" s="521">
        <v>20</v>
      </c>
      <c r="AA104" s="94"/>
      <c r="AB104" s="94"/>
      <c r="AC104" s="94"/>
      <c r="AD104" s="94"/>
      <c r="AE104" s="94"/>
      <c r="AF104" s="225"/>
      <c r="AG104" s="225"/>
      <c r="AH104" s="225">
        <v>2809387785</v>
      </c>
      <c r="AI104" s="225"/>
      <c r="AJ104" s="61">
        <f>(AH104-Q104-T104-Y104)</f>
        <v>1285657178</v>
      </c>
      <c r="AK104" s="522">
        <v>877</v>
      </c>
      <c r="AL104" s="61">
        <v>20</v>
      </c>
      <c r="AM104" s="225"/>
      <c r="AN104" s="524">
        <v>40</v>
      </c>
      <c r="AO104" s="61"/>
      <c r="AP104" s="61"/>
      <c r="AQ104" s="61"/>
      <c r="AR104" s="61"/>
      <c r="AS104" s="2">
        <v>0</v>
      </c>
      <c r="AT104" s="58" t="s">
        <v>38</v>
      </c>
      <c r="AU104" s="462"/>
      <c r="AV104" s="61"/>
      <c r="AW104" s="61"/>
      <c r="AX104" s="61"/>
      <c r="AY104" s="61"/>
      <c r="AZ104" s="61"/>
      <c r="BA104" s="61"/>
      <c r="BB104" s="461"/>
      <c r="BC104" s="461"/>
      <c r="BD104" s="464"/>
      <c r="BE104" s="464"/>
      <c r="BF104" s="464">
        <v>2020</v>
      </c>
    </row>
    <row r="105" spans="1:58 16340:16383" s="204" customFormat="1" ht="18" customHeight="1">
      <c r="A105" s="160" t="s">
        <v>501</v>
      </c>
      <c r="B105" s="520" t="s">
        <v>1068</v>
      </c>
      <c r="C105" s="526" t="s">
        <v>2271</v>
      </c>
      <c r="D105" s="526" t="s">
        <v>2272</v>
      </c>
      <c r="E105" s="540"/>
      <c r="F105" s="538">
        <v>4</v>
      </c>
      <c r="G105" s="579"/>
      <c r="H105" s="541" t="s">
        <v>2236</v>
      </c>
      <c r="I105" s="78">
        <v>337</v>
      </c>
      <c r="J105" s="459">
        <v>43920</v>
      </c>
      <c r="K105" s="225"/>
      <c r="L105" s="225"/>
      <c r="M105" s="61"/>
      <c r="N105" s="604">
        <v>79</v>
      </c>
      <c r="O105" s="225"/>
      <c r="P105" s="517">
        <f>(3446861421+2820615155)</f>
        <v>6267476576</v>
      </c>
      <c r="Q105" s="225"/>
      <c r="R105" s="225"/>
      <c r="S105" s="225"/>
      <c r="T105" s="586">
        <v>3446861421</v>
      </c>
      <c r="U105" s="517">
        <v>20</v>
      </c>
      <c r="V105" s="527">
        <v>43951</v>
      </c>
      <c r="W105" s="527"/>
      <c r="X105" s="527"/>
      <c r="Y105" s="225"/>
      <c r="Z105" s="521">
        <v>20</v>
      </c>
      <c r="AA105" s="94"/>
      <c r="AB105" s="94"/>
      <c r="AC105" s="94"/>
      <c r="AD105" s="94"/>
      <c r="AE105" s="94"/>
      <c r="AF105" s="225"/>
      <c r="AG105" s="225"/>
      <c r="AH105" s="225">
        <v>6267476576</v>
      </c>
      <c r="AI105" s="225"/>
      <c r="AJ105" s="61">
        <f>(AH105-Q105-T105-Y105)</f>
        <v>2820615155</v>
      </c>
      <c r="AK105" s="522">
        <v>877</v>
      </c>
      <c r="AL105" s="61">
        <v>20</v>
      </c>
      <c r="AM105" s="225"/>
      <c r="AN105" s="524">
        <v>79</v>
      </c>
      <c r="AO105" s="61"/>
      <c r="AP105" s="61"/>
      <c r="AQ105" s="61"/>
      <c r="AR105" s="61"/>
      <c r="AS105" s="2">
        <v>0</v>
      </c>
      <c r="AT105" s="58" t="s">
        <v>38</v>
      </c>
      <c r="AU105" s="462"/>
      <c r="AV105" s="61"/>
      <c r="AW105" s="61"/>
      <c r="AX105" s="61"/>
      <c r="AY105" s="61"/>
      <c r="AZ105" s="61"/>
      <c r="BA105" s="61"/>
      <c r="BB105" s="461"/>
      <c r="BC105" s="461"/>
      <c r="BD105" s="464"/>
      <c r="BE105" s="464"/>
      <c r="BF105" s="464">
        <v>2020</v>
      </c>
    </row>
    <row r="106" spans="1:58 16340:16383" ht="15" customHeight="1">
      <c r="A106" s="371" t="s">
        <v>502</v>
      </c>
      <c r="B106" s="371"/>
      <c r="C106" s="371"/>
      <c r="D106" s="371"/>
      <c r="E106" s="371"/>
      <c r="F106" s="371"/>
      <c r="G106" s="371"/>
      <c r="H106" s="371"/>
      <c r="I106" s="370"/>
      <c r="J106" s="370"/>
      <c r="K106" s="370">
        <f>SUM(K107:K135)</f>
        <v>178</v>
      </c>
      <c r="L106" s="370">
        <f t="shared" ref="L106:O106" si="14">SUM(L107:L135)</f>
        <v>228</v>
      </c>
      <c r="M106" s="370">
        <f t="shared" si="14"/>
        <v>207</v>
      </c>
      <c r="N106" s="424">
        <f>SUM(N107:N136)</f>
        <v>265</v>
      </c>
      <c r="O106" s="370">
        <f t="shared" si="14"/>
        <v>0</v>
      </c>
      <c r="P106" s="370"/>
      <c r="Q106" s="371"/>
      <c r="R106" s="371"/>
      <c r="S106" s="371"/>
      <c r="T106" s="371"/>
      <c r="U106" s="371"/>
      <c r="V106" s="371"/>
      <c r="W106" s="371"/>
      <c r="X106" s="371"/>
      <c r="Y106" s="371"/>
      <c r="Z106" s="371"/>
      <c r="AA106" s="371"/>
      <c r="AB106" s="371"/>
      <c r="AC106" s="370"/>
      <c r="AD106" s="370"/>
      <c r="AE106" s="370"/>
      <c r="AF106" s="370"/>
      <c r="AG106" s="370"/>
      <c r="AH106" s="370"/>
      <c r="AI106" s="370"/>
      <c r="AJ106" s="370"/>
      <c r="AK106" s="370"/>
      <c r="AL106" s="370"/>
      <c r="AM106" s="424">
        <f t="shared" ref="AM106:AR106" si="15">SUM(AM107:AM136)</f>
        <v>10</v>
      </c>
      <c r="AN106" s="424">
        <f t="shared" si="15"/>
        <v>255</v>
      </c>
      <c r="AO106" s="424">
        <f t="shared" si="15"/>
        <v>0</v>
      </c>
      <c r="AP106" s="424">
        <f t="shared" si="15"/>
        <v>0</v>
      </c>
      <c r="AQ106" s="424">
        <f t="shared" si="15"/>
        <v>0</v>
      </c>
      <c r="AR106" s="424">
        <f t="shared" si="15"/>
        <v>0</v>
      </c>
      <c r="AS106" s="371"/>
      <c r="AT106" s="371"/>
      <c r="AU106" s="385"/>
      <c r="AV106" s="370">
        <f t="shared" ref="AV106:BC106" si="16">SUM(AV107:AV135)</f>
        <v>283</v>
      </c>
      <c r="AW106" s="370">
        <f t="shared" si="16"/>
        <v>86</v>
      </c>
      <c r="AX106" s="370">
        <f t="shared" si="16"/>
        <v>106</v>
      </c>
      <c r="AY106" s="370">
        <f t="shared" si="16"/>
        <v>228</v>
      </c>
      <c r="AZ106" s="370"/>
      <c r="BA106" s="370">
        <f t="shared" si="16"/>
        <v>38</v>
      </c>
      <c r="BB106" s="370">
        <f t="shared" si="16"/>
        <v>296</v>
      </c>
      <c r="BC106" s="371">
        <f t="shared" si="16"/>
        <v>2</v>
      </c>
      <c r="BD106" s="371"/>
      <c r="BE106" s="371">
        <v>2019</v>
      </c>
      <c r="BF106" s="371">
        <v>2020</v>
      </c>
      <c r="XDL106" s="371"/>
      <c r="XDM106" s="371"/>
      <c r="XDN106" s="371"/>
      <c r="XDO106" s="371"/>
      <c r="XDP106" s="371"/>
      <c r="XDQ106" s="370"/>
      <c r="XDR106" s="370"/>
      <c r="XDS106" s="370"/>
      <c r="XDT106" s="370"/>
      <c r="XDU106" s="370"/>
      <c r="XDV106" s="370"/>
      <c r="XDW106" s="370"/>
      <c r="XDX106" s="370"/>
      <c r="XDY106" s="370"/>
      <c r="XDZ106" s="370"/>
      <c r="XEO106" s="371"/>
      <c r="XEP106" s="371"/>
      <c r="XEQ106" s="371"/>
      <c r="XER106" s="371"/>
      <c r="XES106" s="371"/>
      <c r="XET106" s="370"/>
      <c r="XEU106" s="370"/>
      <c r="XEV106" s="370"/>
      <c r="XEW106" s="370"/>
      <c r="XEX106" s="370"/>
      <c r="XEY106" s="370"/>
      <c r="XEZ106" s="371"/>
      <c r="XFA106" s="371"/>
      <c r="XFB106" s="371"/>
      <c r="XFC106" s="371"/>
    </row>
    <row r="107" spans="1:58 16340:16383" s="204" customFormat="1" ht="15" hidden="1" customHeight="1">
      <c r="A107" s="131" t="s">
        <v>502</v>
      </c>
      <c r="B107" s="122" t="s">
        <v>49</v>
      </c>
      <c r="C107" s="122" t="s">
        <v>47</v>
      </c>
      <c r="D107" s="122" t="s">
        <v>48</v>
      </c>
      <c r="E107" s="122"/>
      <c r="F107" s="122"/>
      <c r="G107" s="122"/>
      <c r="H107" s="122"/>
      <c r="I107" s="122"/>
      <c r="J107" s="212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58"/>
      <c r="Y107" s="94"/>
      <c r="Z107" s="158"/>
      <c r="AA107" s="158"/>
      <c r="AB107" s="158"/>
      <c r="AC107" s="158"/>
      <c r="AD107" s="158"/>
      <c r="AE107" s="158"/>
      <c r="AF107" s="158"/>
      <c r="AG107" s="158"/>
      <c r="AH107" s="158"/>
      <c r="AI107" s="158"/>
      <c r="AJ107" s="158"/>
      <c r="AK107" s="158"/>
      <c r="AL107" s="94"/>
      <c r="AM107" s="158"/>
      <c r="AN107" s="158"/>
      <c r="AO107" s="158"/>
      <c r="AP107" s="158"/>
      <c r="AQ107" s="158"/>
      <c r="AR107" s="158"/>
      <c r="AS107" s="2"/>
      <c r="AT107" s="58"/>
      <c r="AU107" s="102"/>
      <c r="AV107" s="158">
        <v>39</v>
      </c>
      <c r="AW107" s="158"/>
      <c r="AX107" s="158"/>
      <c r="AY107" s="158"/>
      <c r="AZ107" s="158"/>
      <c r="BA107" s="158"/>
      <c r="BB107" s="69"/>
      <c r="BC107" s="69"/>
      <c r="BD107" s="271">
        <v>2016</v>
      </c>
      <c r="BE107" s="271"/>
      <c r="BF107" s="271"/>
    </row>
    <row r="108" spans="1:58 16340:16383" s="204" customFormat="1" ht="15" hidden="1" customHeight="1">
      <c r="A108" s="131" t="s">
        <v>502</v>
      </c>
      <c r="B108" s="58" t="s">
        <v>55</v>
      </c>
      <c r="C108" s="58" t="s">
        <v>53</v>
      </c>
      <c r="D108" s="58" t="s">
        <v>54</v>
      </c>
      <c r="E108" s="58"/>
      <c r="F108" s="58"/>
      <c r="G108" s="58"/>
      <c r="H108" s="58"/>
      <c r="I108" s="58"/>
      <c r="J108" s="212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  <c r="Y108" s="94"/>
      <c r="Z108" s="158"/>
      <c r="AA108" s="158"/>
      <c r="AB108" s="158"/>
      <c r="AC108" s="158"/>
      <c r="AD108" s="158"/>
      <c r="AE108" s="158"/>
      <c r="AF108" s="158"/>
      <c r="AG108" s="158"/>
      <c r="AH108" s="158"/>
      <c r="AI108" s="158"/>
      <c r="AJ108" s="158"/>
      <c r="AK108" s="158"/>
      <c r="AL108" s="94"/>
      <c r="AM108" s="158"/>
      <c r="AN108" s="158"/>
      <c r="AO108" s="158"/>
      <c r="AP108" s="158"/>
      <c r="AQ108" s="158"/>
      <c r="AR108" s="158"/>
      <c r="AS108" s="2"/>
      <c r="AT108" s="58"/>
      <c r="AU108" s="104"/>
      <c r="AV108" s="158">
        <v>102</v>
      </c>
      <c r="AW108" s="158"/>
      <c r="AX108" s="158"/>
      <c r="AY108" s="158"/>
      <c r="AZ108" s="158"/>
      <c r="BA108" s="158"/>
      <c r="BB108" s="69"/>
      <c r="BC108" s="69"/>
      <c r="BD108" s="271">
        <v>2016</v>
      </c>
      <c r="BE108" s="271"/>
      <c r="BF108" s="271"/>
    </row>
    <row r="109" spans="1:58 16340:16383" s="204" customFormat="1" ht="15" hidden="1" customHeight="1">
      <c r="A109" s="131" t="s">
        <v>502</v>
      </c>
      <c r="B109" s="58" t="s">
        <v>50</v>
      </c>
      <c r="C109" s="58" t="s">
        <v>56</v>
      </c>
      <c r="D109" s="58" t="s">
        <v>57</v>
      </c>
      <c r="E109" s="58"/>
      <c r="F109" s="58"/>
      <c r="G109" s="58"/>
      <c r="H109" s="58"/>
      <c r="I109" s="58"/>
      <c r="J109" s="212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  <c r="Y109" s="94"/>
      <c r="Z109" s="158"/>
      <c r="AA109" s="158"/>
      <c r="AB109" s="158"/>
      <c r="AC109" s="158"/>
      <c r="AD109" s="158"/>
      <c r="AE109" s="158"/>
      <c r="AF109" s="158"/>
      <c r="AG109" s="158"/>
      <c r="AH109" s="158"/>
      <c r="AI109" s="158"/>
      <c r="AJ109" s="158"/>
      <c r="AK109" s="158"/>
      <c r="AL109" s="94"/>
      <c r="AM109" s="158"/>
      <c r="AN109" s="158"/>
      <c r="AO109" s="158"/>
      <c r="AP109" s="158"/>
      <c r="AQ109" s="158"/>
      <c r="AR109" s="158"/>
      <c r="AS109" s="2"/>
      <c r="AT109" s="58"/>
      <c r="AU109" s="104"/>
      <c r="AV109" s="158">
        <v>33</v>
      </c>
      <c r="AW109" s="158"/>
      <c r="AX109" s="158"/>
      <c r="AY109" s="158"/>
      <c r="AZ109" s="158"/>
      <c r="BA109" s="158"/>
      <c r="BB109" s="69"/>
      <c r="BC109" s="69"/>
      <c r="BD109" s="271">
        <v>2016</v>
      </c>
      <c r="BE109" s="271"/>
      <c r="BF109" s="271"/>
    </row>
    <row r="110" spans="1:58 16340:16383" s="204" customFormat="1" ht="15" hidden="1" customHeight="1">
      <c r="A110" s="131" t="s">
        <v>502</v>
      </c>
      <c r="B110" s="58" t="s">
        <v>51</v>
      </c>
      <c r="C110" s="58" t="s">
        <v>58</v>
      </c>
      <c r="D110" s="58" t="s">
        <v>54</v>
      </c>
      <c r="E110" s="58"/>
      <c r="F110" s="58"/>
      <c r="G110" s="58"/>
      <c r="H110" s="30" t="s">
        <v>653</v>
      </c>
      <c r="I110" s="30"/>
      <c r="J110" s="212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  <c r="Y110" s="94"/>
      <c r="Z110" s="158"/>
      <c r="AA110" s="158"/>
      <c r="AB110" s="158"/>
      <c r="AC110" s="158"/>
      <c r="AD110" s="158"/>
      <c r="AE110" s="158"/>
      <c r="AF110" s="158"/>
      <c r="AG110" s="158"/>
      <c r="AH110" s="158"/>
      <c r="AI110" s="158"/>
      <c r="AJ110" s="158"/>
      <c r="AK110" s="158"/>
      <c r="AL110" s="94"/>
      <c r="AM110" s="158"/>
      <c r="AN110" s="158"/>
      <c r="AO110" s="158"/>
      <c r="AP110" s="158"/>
      <c r="AQ110" s="158"/>
      <c r="AR110" s="158"/>
      <c r="AS110" s="2">
        <v>1</v>
      </c>
      <c r="AT110" s="58" t="s">
        <v>646</v>
      </c>
      <c r="AU110" s="104"/>
      <c r="AV110" s="158" t="s">
        <v>0</v>
      </c>
      <c r="AW110" s="11">
        <v>49</v>
      </c>
      <c r="AX110" s="158"/>
      <c r="AY110" s="158"/>
      <c r="AZ110" s="158"/>
      <c r="BA110" s="158"/>
      <c r="BB110" s="69"/>
      <c r="BC110" s="69"/>
      <c r="BD110" s="271">
        <v>2017</v>
      </c>
      <c r="BE110" s="268"/>
      <c r="BF110" s="271"/>
    </row>
    <row r="111" spans="1:58 16340:16383" s="204" customFormat="1" ht="15" hidden="1" customHeight="1">
      <c r="A111" s="131" t="s">
        <v>502</v>
      </c>
      <c r="B111" s="58" t="s">
        <v>51</v>
      </c>
      <c r="C111" s="122" t="s">
        <v>58</v>
      </c>
      <c r="D111" s="58" t="s">
        <v>54</v>
      </c>
      <c r="E111" s="58"/>
      <c r="F111" s="58"/>
      <c r="G111" s="58"/>
      <c r="H111" s="30" t="s">
        <v>653</v>
      </c>
      <c r="I111" s="30"/>
      <c r="J111" s="212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  <c r="Y111" s="94"/>
      <c r="Z111" s="158"/>
      <c r="AA111" s="158"/>
      <c r="AB111" s="158"/>
      <c r="AC111" s="158"/>
      <c r="AD111" s="158"/>
      <c r="AE111" s="158"/>
      <c r="AF111" s="158"/>
      <c r="AG111" s="158"/>
      <c r="AH111" s="158"/>
      <c r="AI111" s="158"/>
      <c r="AJ111" s="158"/>
      <c r="AK111" s="158"/>
      <c r="AL111" s="94"/>
      <c r="AM111" s="158"/>
      <c r="AN111" s="158"/>
      <c r="AO111" s="158"/>
      <c r="AP111" s="158"/>
      <c r="AQ111" s="158"/>
      <c r="AR111" s="158"/>
      <c r="AS111" s="2">
        <v>1</v>
      </c>
      <c r="AT111" s="58" t="s">
        <v>646</v>
      </c>
      <c r="AU111" s="7" t="s">
        <v>1061</v>
      </c>
      <c r="AV111" s="158" t="s">
        <v>0</v>
      </c>
      <c r="AW111" s="158"/>
      <c r="AX111" s="12">
        <v>38</v>
      </c>
      <c r="AY111" s="158"/>
      <c r="AZ111" s="158"/>
      <c r="BA111" s="158"/>
      <c r="BB111" s="69">
        <f>+AX111</f>
        <v>38</v>
      </c>
      <c r="BC111" s="69"/>
      <c r="BD111" s="271">
        <v>2018</v>
      </c>
      <c r="BE111" s="268"/>
      <c r="BF111" s="271"/>
    </row>
    <row r="112" spans="1:58 16340:16383" s="204" customFormat="1" ht="29.25" customHeight="1">
      <c r="A112" s="131" t="s">
        <v>502</v>
      </c>
      <c r="B112" s="58" t="s">
        <v>51</v>
      </c>
      <c r="C112" s="29" t="s">
        <v>58</v>
      </c>
      <c r="D112" s="58" t="s">
        <v>54</v>
      </c>
      <c r="E112" s="58"/>
      <c r="F112" s="58"/>
      <c r="G112" s="58"/>
      <c r="H112" s="30" t="s">
        <v>653</v>
      </c>
      <c r="I112" s="30">
        <v>2948</v>
      </c>
      <c r="J112" s="212">
        <v>42364</v>
      </c>
      <c r="K112" s="158"/>
      <c r="L112" s="158"/>
      <c r="M112" s="158">
        <v>10</v>
      </c>
      <c r="N112" s="158">
        <v>10</v>
      </c>
      <c r="O112" s="158"/>
      <c r="P112" s="158">
        <v>536686620</v>
      </c>
      <c r="Q112" s="158"/>
      <c r="R112" s="158"/>
      <c r="S112" s="158"/>
      <c r="T112" s="158"/>
      <c r="U112" s="158"/>
      <c r="V112" s="158"/>
      <c r="W112" s="158"/>
      <c r="X112" s="158"/>
      <c r="Y112" s="94"/>
      <c r="Z112" s="158"/>
      <c r="AA112" s="158"/>
      <c r="AB112" s="158"/>
      <c r="AC112" s="158"/>
      <c r="AD112" s="158"/>
      <c r="AE112" s="94">
        <f>P112-T112-Y112-536686620</f>
        <v>0</v>
      </c>
      <c r="AF112" s="94"/>
      <c r="AG112" s="94">
        <v>536686620</v>
      </c>
      <c r="AH112" s="94"/>
      <c r="AI112" s="94"/>
      <c r="AJ112" s="94">
        <f>AE112+AG112</f>
        <v>536686620</v>
      </c>
      <c r="AK112" s="94">
        <v>877</v>
      </c>
      <c r="AL112" s="94">
        <v>10</v>
      </c>
      <c r="AM112" s="158">
        <v>10</v>
      </c>
      <c r="AN112" s="158"/>
      <c r="AO112" s="158"/>
      <c r="AP112" s="158"/>
      <c r="AQ112" s="158"/>
      <c r="AR112" s="158"/>
      <c r="AS112" s="2">
        <v>0</v>
      </c>
      <c r="AT112" s="58" t="s">
        <v>521</v>
      </c>
      <c r="AU112" s="104"/>
      <c r="AV112" s="158" t="s">
        <v>0</v>
      </c>
      <c r="AW112" s="158"/>
      <c r="AX112" s="12"/>
      <c r="AY112" s="158"/>
      <c r="AZ112" s="158"/>
      <c r="BA112" s="158"/>
      <c r="BB112" s="69"/>
      <c r="BC112" s="69"/>
      <c r="BD112" s="271"/>
      <c r="BE112" s="271">
        <v>2019</v>
      </c>
      <c r="BF112" s="271">
        <v>2020</v>
      </c>
    </row>
    <row r="113" spans="1:58" s="204" customFormat="1" ht="15" hidden="1" customHeight="1">
      <c r="A113" s="131" t="s">
        <v>502</v>
      </c>
      <c r="B113" s="58" t="s">
        <v>51</v>
      </c>
      <c r="C113" s="58" t="s">
        <v>654</v>
      </c>
      <c r="D113" s="58" t="s">
        <v>8</v>
      </c>
      <c r="E113" s="58"/>
      <c r="F113" s="58"/>
      <c r="G113" s="58"/>
      <c r="H113" s="30" t="s">
        <v>655</v>
      </c>
      <c r="I113" s="30"/>
      <c r="J113" s="212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  <c r="Y113" s="94"/>
      <c r="Z113" s="158"/>
      <c r="AA113" s="158"/>
      <c r="AB113" s="158"/>
      <c r="AC113" s="158"/>
      <c r="AD113" s="158"/>
      <c r="AE113" s="158"/>
      <c r="AF113" s="158"/>
      <c r="AG113" s="158"/>
      <c r="AH113" s="158"/>
      <c r="AI113" s="158"/>
      <c r="AJ113" s="158"/>
      <c r="AK113" s="158"/>
      <c r="AL113" s="94"/>
      <c r="AM113" s="158"/>
      <c r="AN113" s="158"/>
      <c r="AO113" s="158"/>
      <c r="AP113" s="158"/>
      <c r="AQ113" s="158"/>
      <c r="AR113" s="158"/>
      <c r="AS113" s="2">
        <v>1</v>
      </c>
      <c r="AT113" s="58" t="s">
        <v>646</v>
      </c>
      <c r="AU113" s="104" t="s">
        <v>1291</v>
      </c>
      <c r="AV113" s="158" t="s">
        <v>0</v>
      </c>
      <c r="AW113" s="158"/>
      <c r="AX113" s="12"/>
      <c r="AY113" s="158"/>
      <c r="AZ113" s="158"/>
      <c r="BA113" s="158"/>
      <c r="BB113" s="69"/>
      <c r="BC113" s="69"/>
      <c r="BD113" s="271">
        <v>2015</v>
      </c>
      <c r="BE113" s="268"/>
      <c r="BF113" s="271"/>
    </row>
    <row r="114" spans="1:58" s="204" customFormat="1" ht="15" hidden="1" customHeight="1">
      <c r="A114" s="131" t="s">
        <v>502</v>
      </c>
      <c r="B114" s="58" t="s">
        <v>51</v>
      </c>
      <c r="C114" s="58" t="s">
        <v>59</v>
      </c>
      <c r="D114" s="58" t="s">
        <v>40</v>
      </c>
      <c r="E114" s="58"/>
      <c r="F114" s="58"/>
      <c r="G114" s="58"/>
      <c r="H114" s="58"/>
      <c r="I114" s="58"/>
      <c r="J114" s="212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94"/>
      <c r="Z114" s="158"/>
      <c r="AA114" s="158"/>
      <c r="AB114" s="158"/>
      <c r="AC114" s="158"/>
      <c r="AD114" s="158"/>
      <c r="AE114" s="158"/>
      <c r="AF114" s="158"/>
      <c r="AG114" s="158"/>
      <c r="AH114" s="158"/>
      <c r="AI114" s="158"/>
      <c r="AJ114" s="158"/>
      <c r="AK114" s="158"/>
      <c r="AL114" s="94"/>
      <c r="AM114" s="158"/>
      <c r="AN114" s="158"/>
      <c r="AO114" s="158"/>
      <c r="AP114" s="158"/>
      <c r="AQ114" s="158"/>
      <c r="AR114" s="158"/>
      <c r="AS114" s="2"/>
      <c r="AT114" s="58"/>
      <c r="AU114" s="105"/>
      <c r="AV114" s="158">
        <v>30</v>
      </c>
      <c r="AW114" s="158"/>
      <c r="AX114" s="12"/>
      <c r="AY114" s="158"/>
      <c r="AZ114" s="158"/>
      <c r="BA114" s="158"/>
      <c r="BB114" s="69"/>
      <c r="BC114" s="69"/>
      <c r="BD114" s="271">
        <v>2016</v>
      </c>
      <c r="BE114" s="271"/>
      <c r="BF114" s="271"/>
    </row>
    <row r="115" spans="1:58" s="204" customFormat="1" ht="29.25" hidden="1" customHeight="1">
      <c r="A115" s="131" t="s">
        <v>502</v>
      </c>
      <c r="B115" s="1" t="s">
        <v>552</v>
      </c>
      <c r="C115" s="1" t="s">
        <v>1062</v>
      </c>
      <c r="D115" s="1" t="s">
        <v>46</v>
      </c>
      <c r="E115" s="1"/>
      <c r="F115" s="1"/>
      <c r="G115" s="1"/>
      <c r="H115" s="30" t="s">
        <v>647</v>
      </c>
      <c r="I115" s="115" t="s">
        <v>1834</v>
      </c>
      <c r="J115" s="215" t="s">
        <v>1835</v>
      </c>
      <c r="K115" s="158"/>
      <c r="L115" s="158"/>
      <c r="M115" s="158"/>
      <c r="N115" s="158"/>
      <c r="O115" s="158"/>
      <c r="P115" s="158">
        <f>2249088420-56227211-56227210</f>
        <v>2136633999</v>
      </c>
      <c r="Q115" s="158"/>
      <c r="R115" s="158"/>
      <c r="S115" s="158"/>
      <c r="T115" s="158">
        <f>919103559-23566758</f>
        <v>895536801</v>
      </c>
      <c r="U115" s="158"/>
      <c r="V115" s="158"/>
      <c r="W115" s="158"/>
      <c r="X115" s="158"/>
      <c r="Y115" s="158">
        <f>1273757651-32660453</f>
        <v>1241097198</v>
      </c>
      <c r="Z115" s="158"/>
      <c r="AA115" s="158"/>
      <c r="AB115" s="158"/>
      <c r="AC115" s="158"/>
      <c r="AD115" s="158"/>
      <c r="AE115" s="94">
        <f>P115-T115-Y115-AC115</f>
        <v>0</v>
      </c>
      <c r="AF115" s="94"/>
      <c r="AG115" s="158"/>
      <c r="AH115" s="158"/>
      <c r="AI115" s="158"/>
      <c r="AJ115" s="158"/>
      <c r="AK115" s="158"/>
      <c r="AL115" s="94"/>
      <c r="AM115" s="158"/>
      <c r="AN115" s="158"/>
      <c r="AO115" s="158"/>
      <c r="AP115" s="158"/>
      <c r="AQ115" s="158"/>
      <c r="AR115" s="158"/>
      <c r="AS115" s="2">
        <v>1</v>
      </c>
      <c r="AT115" s="58" t="s">
        <v>646</v>
      </c>
      <c r="AU115" s="105" t="s">
        <v>1836</v>
      </c>
      <c r="AV115" s="158"/>
      <c r="AW115" s="158"/>
      <c r="AX115" s="158">
        <v>38</v>
      </c>
      <c r="AY115" s="158"/>
      <c r="AZ115" s="158"/>
      <c r="BA115" s="158">
        <v>38</v>
      </c>
      <c r="BB115" s="69"/>
      <c r="BC115" s="69"/>
      <c r="BD115" s="271">
        <v>2018</v>
      </c>
      <c r="BE115" s="268"/>
      <c r="BF115" s="271"/>
    </row>
    <row r="116" spans="1:58" s="204" customFormat="1" ht="18" hidden="1" customHeight="1">
      <c r="A116" s="131" t="s">
        <v>502</v>
      </c>
      <c r="B116" s="1" t="s">
        <v>552</v>
      </c>
      <c r="C116" s="1" t="s">
        <v>1062</v>
      </c>
      <c r="D116" s="1" t="s">
        <v>46</v>
      </c>
      <c r="E116" s="1"/>
      <c r="F116" s="1"/>
      <c r="G116" s="1"/>
      <c r="H116" s="30" t="s">
        <v>647</v>
      </c>
      <c r="I116" s="115" t="s">
        <v>1834</v>
      </c>
      <c r="J116" s="215" t="s">
        <v>1835</v>
      </c>
      <c r="K116" s="158"/>
      <c r="L116" s="158"/>
      <c r="M116" s="158">
        <v>1</v>
      </c>
      <c r="N116" s="158"/>
      <c r="O116" s="158"/>
      <c r="P116" s="158">
        <v>56227211</v>
      </c>
      <c r="Q116" s="158"/>
      <c r="R116" s="158"/>
      <c r="S116" s="158"/>
      <c r="T116" s="158">
        <v>23566758</v>
      </c>
      <c r="U116" s="158"/>
      <c r="V116" s="158"/>
      <c r="W116" s="158"/>
      <c r="X116" s="158"/>
      <c r="Y116" s="158">
        <v>32660453</v>
      </c>
      <c r="Z116" s="158"/>
      <c r="AA116" s="158"/>
      <c r="AB116" s="158"/>
      <c r="AC116" s="158">
        <v>56227211</v>
      </c>
      <c r="AD116" s="158"/>
      <c r="AE116" s="94">
        <f>P116-T116-Y116-AC116+56227211</f>
        <v>0</v>
      </c>
      <c r="AF116" s="94"/>
      <c r="AG116" s="94">
        <v>0</v>
      </c>
      <c r="AH116" s="94"/>
      <c r="AI116" s="94"/>
      <c r="AJ116" s="94">
        <f t="shared" ref="AJ116:AJ117" si="17">AE116+AG116</f>
        <v>0</v>
      </c>
      <c r="AK116" s="158"/>
      <c r="AL116" s="94"/>
      <c r="AM116" s="158"/>
      <c r="AN116" s="158"/>
      <c r="AO116" s="158"/>
      <c r="AP116" s="158"/>
      <c r="AQ116" s="158"/>
      <c r="AR116" s="158"/>
      <c r="AS116" s="2">
        <v>0</v>
      </c>
      <c r="AT116" s="58" t="s">
        <v>687</v>
      </c>
      <c r="AU116" s="386" t="s">
        <v>1837</v>
      </c>
      <c r="AV116" s="158"/>
      <c r="AW116" s="158"/>
      <c r="AX116" s="158"/>
      <c r="AY116" s="158"/>
      <c r="AZ116" s="158"/>
      <c r="BA116" s="158"/>
      <c r="BB116" s="69"/>
      <c r="BC116" s="69">
        <v>1</v>
      </c>
      <c r="BD116" s="271" t="s">
        <v>1706</v>
      </c>
      <c r="BE116" s="271">
        <v>2019</v>
      </c>
      <c r="BF116" s="271"/>
    </row>
    <row r="117" spans="1:58" s="204" customFormat="1" ht="18" hidden="1" customHeight="1">
      <c r="A117" s="131" t="s">
        <v>502</v>
      </c>
      <c r="B117" s="1" t="s">
        <v>552</v>
      </c>
      <c r="C117" s="1" t="s">
        <v>1062</v>
      </c>
      <c r="D117" s="1" t="s">
        <v>46</v>
      </c>
      <c r="E117" s="1"/>
      <c r="F117" s="1"/>
      <c r="G117" s="1"/>
      <c r="H117" s="30" t="s">
        <v>647</v>
      </c>
      <c r="I117" s="30">
        <v>210</v>
      </c>
      <c r="J117" s="212">
        <v>41688</v>
      </c>
      <c r="K117" s="158"/>
      <c r="L117" s="158"/>
      <c r="M117" s="158">
        <v>1</v>
      </c>
      <c r="N117" s="158"/>
      <c r="O117" s="158"/>
      <c r="P117" s="158">
        <v>56227210</v>
      </c>
      <c r="Q117" s="158"/>
      <c r="R117" s="158"/>
      <c r="S117" s="158"/>
      <c r="T117" s="158"/>
      <c r="U117" s="158"/>
      <c r="V117" s="158"/>
      <c r="W117" s="158"/>
      <c r="X117" s="158"/>
      <c r="Y117" s="94"/>
      <c r="Z117" s="158"/>
      <c r="AA117" s="158"/>
      <c r="AB117" s="158"/>
      <c r="AC117" s="158">
        <v>56227210</v>
      </c>
      <c r="AD117" s="158"/>
      <c r="AE117" s="94">
        <f>P117-T117-Y117-AC117</f>
        <v>0</v>
      </c>
      <c r="AF117" s="94"/>
      <c r="AG117" s="94">
        <v>0</v>
      </c>
      <c r="AH117" s="94"/>
      <c r="AI117" s="94"/>
      <c r="AJ117" s="94">
        <f t="shared" si="17"/>
        <v>0</v>
      </c>
      <c r="AK117" s="94"/>
      <c r="AL117" s="94"/>
      <c r="AM117" s="158">
        <f>1-1</f>
        <v>0</v>
      </c>
      <c r="AN117" s="158"/>
      <c r="AO117" s="158"/>
      <c r="AP117" s="158"/>
      <c r="AQ117" s="158"/>
      <c r="AR117" s="158"/>
      <c r="AS117" s="2">
        <v>0</v>
      </c>
      <c r="AT117" s="58" t="s">
        <v>687</v>
      </c>
      <c r="AU117" s="387" t="s">
        <v>1365</v>
      </c>
      <c r="AV117" s="158"/>
      <c r="AW117" s="158"/>
      <c r="AX117" s="158"/>
      <c r="AY117" s="158"/>
      <c r="AZ117" s="158"/>
      <c r="BA117" s="158"/>
      <c r="BB117" s="69"/>
      <c r="BC117" s="69">
        <v>1</v>
      </c>
      <c r="BD117" s="271" t="s">
        <v>1706</v>
      </c>
      <c r="BE117" s="271">
        <v>2019</v>
      </c>
      <c r="BF117" s="271"/>
    </row>
    <row r="118" spans="1:58" s="204" customFormat="1" ht="15" hidden="1" customHeight="1">
      <c r="A118" s="131" t="s">
        <v>502</v>
      </c>
      <c r="B118" s="58" t="s">
        <v>52</v>
      </c>
      <c r="C118" s="58" t="s">
        <v>550</v>
      </c>
      <c r="D118" s="58" t="s">
        <v>46</v>
      </c>
      <c r="E118" s="58"/>
      <c r="F118" s="58"/>
      <c r="G118" s="58"/>
      <c r="H118" s="58"/>
      <c r="I118" s="58"/>
      <c r="J118" s="212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94"/>
      <c r="Z118" s="158"/>
      <c r="AA118" s="158"/>
      <c r="AB118" s="158"/>
      <c r="AC118" s="158"/>
      <c r="AD118" s="158"/>
      <c r="AE118" s="158"/>
      <c r="AF118" s="158"/>
      <c r="AG118" s="158"/>
      <c r="AH118" s="158"/>
      <c r="AI118" s="158"/>
      <c r="AJ118" s="158"/>
      <c r="AK118" s="158"/>
      <c r="AL118" s="94"/>
      <c r="AM118" s="158"/>
      <c r="AN118" s="158"/>
      <c r="AO118" s="158"/>
      <c r="AP118" s="158"/>
      <c r="AQ118" s="158"/>
      <c r="AR118" s="158"/>
      <c r="AS118" s="2"/>
      <c r="AT118" s="58"/>
      <c r="AU118" s="349"/>
      <c r="AV118" s="158">
        <v>39</v>
      </c>
      <c r="AW118" s="158"/>
      <c r="AX118" s="158"/>
      <c r="AY118" s="158"/>
      <c r="AZ118" s="158"/>
      <c r="BA118" s="158"/>
      <c r="BB118" s="69"/>
      <c r="BC118" s="69"/>
      <c r="BD118" s="271">
        <v>2016</v>
      </c>
      <c r="BE118" s="271"/>
      <c r="BF118" s="271"/>
    </row>
    <row r="119" spans="1:58" s="204" customFormat="1" ht="15" hidden="1" customHeight="1">
      <c r="A119" s="131" t="s">
        <v>502</v>
      </c>
      <c r="B119" s="1" t="s">
        <v>51</v>
      </c>
      <c r="C119" s="1" t="s">
        <v>937</v>
      </c>
      <c r="D119" s="1" t="s">
        <v>54</v>
      </c>
      <c r="E119" s="1"/>
      <c r="F119" s="1"/>
      <c r="G119" s="1"/>
      <c r="H119" s="1"/>
      <c r="I119" s="1"/>
      <c r="J119" s="212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94"/>
      <c r="Z119" s="158"/>
      <c r="AA119" s="158"/>
      <c r="AB119" s="158"/>
      <c r="AC119" s="158"/>
      <c r="AD119" s="158"/>
      <c r="AE119" s="158"/>
      <c r="AF119" s="158"/>
      <c r="AG119" s="158"/>
      <c r="AH119" s="158"/>
      <c r="AI119" s="158"/>
      <c r="AJ119" s="158"/>
      <c r="AK119" s="158"/>
      <c r="AL119" s="94"/>
      <c r="AM119" s="158"/>
      <c r="AN119" s="158"/>
      <c r="AO119" s="158"/>
      <c r="AP119" s="158"/>
      <c r="AQ119" s="158"/>
      <c r="AR119" s="158"/>
      <c r="AS119" s="2"/>
      <c r="AT119" s="58"/>
      <c r="AU119" s="349"/>
      <c r="AV119" s="158">
        <v>40</v>
      </c>
      <c r="AW119" s="158"/>
      <c r="AX119" s="158"/>
      <c r="AY119" s="158"/>
      <c r="AZ119" s="158"/>
      <c r="BA119" s="158"/>
      <c r="BB119" s="69"/>
      <c r="BC119" s="69"/>
      <c r="BD119" s="271">
        <v>2016</v>
      </c>
      <c r="BE119" s="271"/>
      <c r="BF119" s="271"/>
    </row>
    <row r="120" spans="1:58" s="204" customFormat="1" ht="15" hidden="1" customHeight="1">
      <c r="A120" s="131" t="s">
        <v>502</v>
      </c>
      <c r="B120" s="58" t="s">
        <v>51</v>
      </c>
      <c r="C120" s="58" t="s">
        <v>60</v>
      </c>
      <c r="D120" s="58" t="s">
        <v>54</v>
      </c>
      <c r="E120" s="58"/>
      <c r="F120" s="58"/>
      <c r="G120" s="58"/>
      <c r="H120" s="30" t="s">
        <v>636</v>
      </c>
      <c r="I120" s="30"/>
      <c r="J120" s="212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94"/>
      <c r="Z120" s="158"/>
      <c r="AA120" s="158"/>
      <c r="AB120" s="158"/>
      <c r="AC120" s="158"/>
      <c r="AD120" s="158"/>
      <c r="AE120" s="158"/>
      <c r="AF120" s="158"/>
      <c r="AG120" s="158"/>
      <c r="AH120" s="158"/>
      <c r="AI120" s="158"/>
      <c r="AJ120" s="158"/>
      <c r="AK120" s="158"/>
      <c r="AL120" s="94"/>
      <c r="AM120" s="158"/>
      <c r="AN120" s="158"/>
      <c r="AO120" s="158"/>
      <c r="AP120" s="158"/>
      <c r="AQ120" s="158"/>
      <c r="AR120" s="158"/>
      <c r="AS120" s="2">
        <v>1</v>
      </c>
      <c r="AT120" s="58" t="s">
        <v>646</v>
      </c>
      <c r="AU120" s="105"/>
      <c r="AV120" s="158"/>
      <c r="AW120" s="158">
        <v>20</v>
      </c>
      <c r="AX120" s="158"/>
      <c r="AY120" s="158"/>
      <c r="AZ120" s="158"/>
      <c r="BA120" s="158"/>
      <c r="BB120" s="69"/>
      <c r="BC120" s="69"/>
      <c r="BD120" s="271">
        <v>2017</v>
      </c>
      <c r="BE120" s="268"/>
      <c r="BF120" s="271"/>
    </row>
    <row r="121" spans="1:58" s="204" customFormat="1" ht="15" hidden="1" customHeight="1">
      <c r="A121" s="131" t="s">
        <v>502</v>
      </c>
      <c r="B121" s="58" t="s">
        <v>732</v>
      </c>
      <c r="C121" s="58" t="s">
        <v>920</v>
      </c>
      <c r="D121" s="58" t="s">
        <v>61</v>
      </c>
      <c r="E121" s="58"/>
      <c r="F121" s="58"/>
      <c r="G121" s="58"/>
      <c r="H121" s="30" t="s">
        <v>650</v>
      </c>
      <c r="I121" s="30"/>
      <c r="J121" s="212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94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94"/>
      <c r="AM121" s="158"/>
      <c r="AN121" s="158"/>
      <c r="AO121" s="158"/>
      <c r="AP121" s="158"/>
      <c r="AQ121" s="158"/>
      <c r="AR121" s="158"/>
      <c r="AS121" s="2">
        <v>1</v>
      </c>
      <c r="AT121" s="58" t="s">
        <v>646</v>
      </c>
      <c r="AU121" s="105"/>
      <c r="AV121" s="158"/>
      <c r="AW121" s="158">
        <v>17</v>
      </c>
      <c r="AX121" s="158"/>
      <c r="AY121" s="158"/>
      <c r="AZ121" s="158"/>
      <c r="BA121" s="158"/>
      <c r="BB121" s="69"/>
      <c r="BC121" s="69"/>
      <c r="BD121" s="271">
        <v>2017</v>
      </c>
      <c r="BE121" s="268"/>
      <c r="BF121" s="271"/>
    </row>
    <row r="122" spans="1:58" s="204" customFormat="1" ht="18" hidden="1" customHeight="1">
      <c r="A122" s="131" t="s">
        <v>502</v>
      </c>
      <c r="B122" s="58" t="s">
        <v>52</v>
      </c>
      <c r="C122" s="1" t="s">
        <v>733</v>
      </c>
      <c r="D122" s="58" t="s">
        <v>734</v>
      </c>
      <c r="E122" s="58"/>
      <c r="F122" s="58"/>
      <c r="G122" s="58"/>
      <c r="H122" s="30" t="s">
        <v>713</v>
      </c>
      <c r="I122" s="30">
        <v>1793</v>
      </c>
      <c r="J122" s="212">
        <v>42971</v>
      </c>
      <c r="K122" s="158"/>
      <c r="L122" s="158">
        <v>24</v>
      </c>
      <c r="M122" s="158"/>
      <c r="N122" s="158"/>
      <c r="O122" s="158"/>
      <c r="P122" s="158">
        <v>1452740905</v>
      </c>
      <c r="Q122" s="158"/>
      <c r="R122" s="158"/>
      <c r="S122" s="158"/>
      <c r="T122" s="158">
        <v>551138845</v>
      </c>
      <c r="U122" s="158"/>
      <c r="V122" s="158"/>
      <c r="W122" s="158"/>
      <c r="X122" s="158"/>
      <c r="Y122" s="94">
        <v>901602060</v>
      </c>
      <c r="Z122" s="158">
        <v>10</v>
      </c>
      <c r="AA122" s="158"/>
      <c r="AB122" s="158"/>
      <c r="AC122" s="158"/>
      <c r="AD122" s="158"/>
      <c r="AE122" s="94">
        <f>P122-T122-Y122</f>
        <v>0</v>
      </c>
      <c r="AF122" s="94"/>
      <c r="AG122" s="94">
        <v>0</v>
      </c>
      <c r="AH122" s="94"/>
      <c r="AI122" s="94"/>
      <c r="AJ122" s="94">
        <f t="shared" ref="AJ122" si="18">AE122+AG122</f>
        <v>0</v>
      </c>
      <c r="AK122" s="94">
        <v>877</v>
      </c>
      <c r="AL122" s="94">
        <v>10</v>
      </c>
      <c r="AM122" s="158"/>
      <c r="AN122" s="158"/>
      <c r="AO122" s="158"/>
      <c r="AP122" s="158"/>
      <c r="AQ122" s="158"/>
      <c r="AR122" s="158"/>
      <c r="AS122" s="2">
        <v>1</v>
      </c>
      <c r="AT122" s="58" t="s">
        <v>646</v>
      </c>
      <c r="AU122" s="388" t="s">
        <v>1710</v>
      </c>
      <c r="AV122" s="158"/>
      <c r="AW122" s="158"/>
      <c r="AX122" s="158"/>
      <c r="AY122" s="158">
        <v>24</v>
      </c>
      <c r="AZ122" s="158"/>
      <c r="BA122" s="158"/>
      <c r="BB122" s="69">
        <v>24</v>
      </c>
      <c r="BC122" s="69"/>
      <c r="BD122" s="271">
        <v>2019</v>
      </c>
      <c r="BE122" s="271">
        <v>2019</v>
      </c>
      <c r="BF122" s="271"/>
    </row>
    <row r="123" spans="1:58" s="204" customFormat="1" ht="15" hidden="1" customHeight="1">
      <c r="A123" s="131" t="s">
        <v>502</v>
      </c>
      <c r="B123" s="58" t="s">
        <v>736</v>
      </c>
      <c r="C123" s="1" t="s">
        <v>1063</v>
      </c>
      <c r="D123" s="58" t="s">
        <v>735</v>
      </c>
      <c r="E123" s="58"/>
      <c r="F123" s="58"/>
      <c r="G123" s="58"/>
      <c r="H123" s="30" t="s">
        <v>715</v>
      </c>
      <c r="I123" s="30">
        <v>2611</v>
      </c>
      <c r="J123" s="212">
        <v>43054</v>
      </c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94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94"/>
      <c r="AM123" s="158"/>
      <c r="AN123" s="158"/>
      <c r="AO123" s="158"/>
      <c r="AP123" s="158"/>
      <c r="AQ123" s="158"/>
      <c r="AR123" s="158"/>
      <c r="AS123" s="2">
        <v>1</v>
      </c>
      <c r="AT123" s="58" t="s">
        <v>646</v>
      </c>
      <c r="AU123" s="105"/>
      <c r="AV123" s="158"/>
      <c r="AW123" s="158"/>
      <c r="AX123" s="12">
        <v>25</v>
      </c>
      <c r="AY123" s="158"/>
      <c r="AZ123" s="158"/>
      <c r="BA123" s="158"/>
      <c r="BB123" s="69">
        <f>+AX123</f>
        <v>25</v>
      </c>
      <c r="BC123" s="69"/>
      <c r="BD123" s="271">
        <v>2018</v>
      </c>
      <c r="BE123" s="268"/>
      <c r="BF123" s="271"/>
    </row>
    <row r="124" spans="1:58" s="204" customFormat="1" ht="18" hidden="1" customHeight="1">
      <c r="A124" s="131" t="s">
        <v>502</v>
      </c>
      <c r="B124" s="251" t="s">
        <v>1552</v>
      </c>
      <c r="C124" s="1" t="s">
        <v>1063</v>
      </c>
      <c r="D124" s="58" t="s">
        <v>735</v>
      </c>
      <c r="E124" s="58"/>
      <c r="F124" s="58"/>
      <c r="G124" s="58"/>
      <c r="H124" s="30" t="s">
        <v>715</v>
      </c>
      <c r="I124" s="30">
        <v>2611</v>
      </c>
      <c r="J124" s="212">
        <v>43054</v>
      </c>
      <c r="K124" s="158"/>
      <c r="L124" s="158">
        <v>2</v>
      </c>
      <c r="M124" s="158"/>
      <c r="N124" s="158"/>
      <c r="O124" s="158"/>
      <c r="P124" s="158">
        <v>149425500</v>
      </c>
      <c r="Q124" s="158"/>
      <c r="R124" s="158"/>
      <c r="S124" s="158"/>
      <c r="T124" s="158">
        <v>67221216</v>
      </c>
      <c r="U124" s="158">
        <v>10</v>
      </c>
      <c r="V124" s="218"/>
      <c r="W124" s="218"/>
      <c r="X124" s="218"/>
      <c r="Y124" s="94">
        <v>82204284</v>
      </c>
      <c r="Z124" s="158">
        <v>10</v>
      </c>
      <c r="AA124" s="311">
        <v>43497</v>
      </c>
      <c r="AB124" s="311"/>
      <c r="AC124" s="158"/>
      <c r="AD124" s="158"/>
      <c r="AE124" s="94">
        <f>P124-T124-Y124</f>
        <v>0</v>
      </c>
      <c r="AF124" s="94"/>
      <c r="AG124" s="94">
        <v>0</v>
      </c>
      <c r="AH124" s="94"/>
      <c r="AI124" s="94"/>
      <c r="AJ124" s="94">
        <f t="shared" ref="AJ124:AJ125" si="19">AE124+AG124</f>
        <v>0</v>
      </c>
      <c r="AK124" s="233">
        <v>877</v>
      </c>
      <c r="AL124" s="94">
        <v>10</v>
      </c>
      <c r="AM124" s="158"/>
      <c r="AN124" s="158"/>
      <c r="AO124" s="158"/>
      <c r="AP124" s="158"/>
      <c r="AQ124" s="158"/>
      <c r="AR124" s="158"/>
      <c r="AS124" s="2">
        <v>1</v>
      </c>
      <c r="AT124" s="58" t="s">
        <v>646</v>
      </c>
      <c r="AU124" s="386"/>
      <c r="AV124" s="158"/>
      <c r="AW124" s="158"/>
      <c r="AX124" s="12"/>
      <c r="AY124" s="158">
        <v>2</v>
      </c>
      <c r="AZ124" s="158"/>
      <c r="BA124" s="158"/>
      <c r="BB124" s="69">
        <f>+AY124</f>
        <v>2</v>
      </c>
      <c r="BC124" s="69"/>
      <c r="BD124" s="271">
        <v>2019</v>
      </c>
      <c r="BE124" s="271">
        <v>2019</v>
      </c>
      <c r="BF124" s="271"/>
    </row>
    <row r="125" spans="1:58" s="204" customFormat="1" ht="18" hidden="1" customHeight="1">
      <c r="A125" s="131" t="s">
        <v>502</v>
      </c>
      <c r="B125" s="58" t="s">
        <v>552</v>
      </c>
      <c r="C125" s="1" t="s">
        <v>932</v>
      </c>
      <c r="D125" s="58" t="s">
        <v>919</v>
      </c>
      <c r="E125" s="58"/>
      <c r="F125" s="58"/>
      <c r="G125" s="58"/>
      <c r="H125" s="30" t="s">
        <v>720</v>
      </c>
      <c r="I125" s="30">
        <v>3033</v>
      </c>
      <c r="J125" s="212">
        <v>43091</v>
      </c>
      <c r="K125" s="158"/>
      <c r="L125" s="158">
        <v>24</v>
      </c>
      <c r="M125" s="158"/>
      <c r="N125" s="158"/>
      <c r="O125" s="158"/>
      <c r="P125" s="158">
        <v>1526340524</v>
      </c>
      <c r="Q125" s="158"/>
      <c r="R125" s="158"/>
      <c r="S125" s="158"/>
      <c r="T125" s="158">
        <f>642588484</f>
        <v>642588484</v>
      </c>
      <c r="U125" s="158"/>
      <c r="V125" s="158"/>
      <c r="W125" s="158"/>
      <c r="X125" s="158"/>
      <c r="Y125" s="94">
        <v>883752040</v>
      </c>
      <c r="Z125" s="158">
        <v>10</v>
      </c>
      <c r="AA125" s="158"/>
      <c r="AB125" s="158"/>
      <c r="AC125" s="158"/>
      <c r="AD125" s="158"/>
      <c r="AE125" s="94">
        <f>P125-T125-Y125</f>
        <v>0</v>
      </c>
      <c r="AF125" s="94"/>
      <c r="AG125" s="94">
        <v>0</v>
      </c>
      <c r="AH125" s="94"/>
      <c r="AI125" s="94"/>
      <c r="AJ125" s="94">
        <f t="shared" si="19"/>
        <v>0</v>
      </c>
      <c r="AK125" s="233">
        <v>877</v>
      </c>
      <c r="AL125" s="94">
        <v>10</v>
      </c>
      <c r="AM125" s="158"/>
      <c r="AN125" s="158"/>
      <c r="AO125" s="158"/>
      <c r="AP125" s="158"/>
      <c r="AQ125" s="158"/>
      <c r="AR125" s="158"/>
      <c r="AS125" s="2">
        <v>1</v>
      </c>
      <c r="AT125" s="58" t="s">
        <v>646</v>
      </c>
      <c r="AU125" s="386"/>
      <c r="AV125" s="158"/>
      <c r="AW125" s="158"/>
      <c r="AX125" s="12"/>
      <c r="AY125" s="158">
        <v>24</v>
      </c>
      <c r="AZ125" s="158"/>
      <c r="BA125" s="158"/>
      <c r="BB125" s="69">
        <v>24</v>
      </c>
      <c r="BC125" s="69"/>
      <c r="BD125" s="271">
        <v>2019</v>
      </c>
      <c r="BE125" s="271">
        <v>2019</v>
      </c>
      <c r="BF125" s="271"/>
    </row>
    <row r="126" spans="1:58" s="204" customFormat="1" ht="15" hidden="1" customHeight="1">
      <c r="A126" s="131" t="s">
        <v>502</v>
      </c>
      <c r="B126" s="58" t="s">
        <v>732</v>
      </c>
      <c r="C126" s="1" t="s">
        <v>737</v>
      </c>
      <c r="D126" s="58" t="s">
        <v>61</v>
      </c>
      <c r="E126" s="58"/>
      <c r="F126" s="58"/>
      <c r="G126" s="58"/>
      <c r="H126" s="30" t="s">
        <v>720</v>
      </c>
      <c r="I126" s="30"/>
      <c r="J126" s="212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94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94"/>
      <c r="AM126" s="158"/>
      <c r="AN126" s="158"/>
      <c r="AO126" s="158"/>
      <c r="AP126" s="158"/>
      <c r="AQ126" s="158"/>
      <c r="AR126" s="158"/>
      <c r="AS126" s="2">
        <v>1</v>
      </c>
      <c r="AT126" s="58" t="s">
        <v>646</v>
      </c>
      <c r="AU126" s="105"/>
      <c r="AV126" s="158"/>
      <c r="AW126" s="158"/>
      <c r="AX126" s="12">
        <v>5</v>
      </c>
      <c r="AY126" s="158"/>
      <c r="AZ126" s="158"/>
      <c r="BA126" s="158"/>
      <c r="BB126" s="69">
        <f>+AX126</f>
        <v>5</v>
      </c>
      <c r="BC126" s="69"/>
      <c r="BD126" s="271">
        <v>2018</v>
      </c>
      <c r="BE126" s="268"/>
      <c r="BF126" s="271"/>
    </row>
    <row r="127" spans="1:58" s="204" customFormat="1" ht="18" hidden="1" customHeight="1">
      <c r="A127" s="131" t="s">
        <v>502</v>
      </c>
      <c r="B127" s="58" t="s">
        <v>1984</v>
      </c>
      <c r="C127" s="1" t="s">
        <v>943</v>
      </c>
      <c r="D127" s="58" t="s">
        <v>54</v>
      </c>
      <c r="E127" s="58"/>
      <c r="F127" s="58"/>
      <c r="G127" s="58"/>
      <c r="H127" s="30" t="s">
        <v>968</v>
      </c>
      <c r="I127" s="30">
        <v>626</v>
      </c>
      <c r="J127" s="212">
        <v>43182</v>
      </c>
      <c r="K127" s="158">
        <v>44</v>
      </c>
      <c r="L127" s="158">
        <v>44</v>
      </c>
      <c r="M127" s="158"/>
      <c r="N127" s="158"/>
      <c r="O127" s="158"/>
      <c r="P127" s="158">
        <v>2960975313</v>
      </c>
      <c r="Q127" s="158">
        <v>321200000</v>
      </c>
      <c r="R127" s="158">
        <v>10</v>
      </c>
      <c r="S127" s="158"/>
      <c r="T127" s="94">
        <v>1103085233</v>
      </c>
      <c r="U127" s="158">
        <v>10</v>
      </c>
      <c r="V127" s="158"/>
      <c r="W127" s="158"/>
      <c r="X127" s="158"/>
      <c r="Y127" s="94">
        <v>1536690080</v>
      </c>
      <c r="Z127" s="158">
        <v>10</v>
      </c>
      <c r="AA127" s="311">
        <v>43556</v>
      </c>
      <c r="AB127" s="311"/>
      <c r="AC127" s="158"/>
      <c r="AD127" s="158"/>
      <c r="AE127" s="94">
        <f>P127-Q127-T127-Y127</f>
        <v>0</v>
      </c>
      <c r="AF127" s="94"/>
      <c r="AG127" s="94">
        <v>0</v>
      </c>
      <c r="AH127" s="94"/>
      <c r="AI127" s="94"/>
      <c r="AJ127" s="94">
        <f t="shared" ref="AJ127:AJ133" si="20">AE127+AG127</f>
        <v>0</v>
      </c>
      <c r="AK127" s="233">
        <v>877</v>
      </c>
      <c r="AL127" s="94">
        <v>10</v>
      </c>
      <c r="AM127" s="158"/>
      <c r="AN127" s="158"/>
      <c r="AO127" s="158"/>
      <c r="AP127" s="158"/>
      <c r="AQ127" s="158"/>
      <c r="AR127" s="158"/>
      <c r="AS127" s="2">
        <v>1</v>
      </c>
      <c r="AT127" s="58" t="s">
        <v>646</v>
      </c>
      <c r="AU127" s="386"/>
      <c r="AV127" s="158"/>
      <c r="AW127" s="158"/>
      <c r="AX127" s="158"/>
      <c r="AY127" s="158">
        <v>44</v>
      </c>
      <c r="AZ127" s="158"/>
      <c r="BA127" s="158"/>
      <c r="BB127" s="69">
        <v>44</v>
      </c>
      <c r="BC127" s="69"/>
      <c r="BD127" s="271">
        <v>2019</v>
      </c>
      <c r="BE127" s="271">
        <v>2019</v>
      </c>
      <c r="BF127" s="271"/>
    </row>
    <row r="128" spans="1:58" s="204" customFormat="1" ht="18" hidden="1" customHeight="1">
      <c r="A128" s="131" t="s">
        <v>502</v>
      </c>
      <c r="B128" s="58" t="s">
        <v>1017</v>
      </c>
      <c r="C128" s="58" t="s">
        <v>1016</v>
      </c>
      <c r="D128" s="58" t="s">
        <v>45</v>
      </c>
      <c r="E128" s="58"/>
      <c r="F128" s="58"/>
      <c r="G128" s="58"/>
      <c r="H128" s="30" t="s">
        <v>968</v>
      </c>
      <c r="I128" s="30">
        <v>1298</v>
      </c>
      <c r="J128" s="212">
        <v>43263</v>
      </c>
      <c r="K128" s="158">
        <v>87</v>
      </c>
      <c r="L128" s="158">
        <v>87</v>
      </c>
      <c r="M128" s="158"/>
      <c r="N128" s="158"/>
      <c r="O128" s="158"/>
      <c r="P128" s="158">
        <v>6264551500</v>
      </c>
      <c r="Q128" s="158"/>
      <c r="R128" s="158"/>
      <c r="S128" s="158"/>
      <c r="T128" s="158">
        <v>2656695490</v>
      </c>
      <c r="U128" s="158">
        <v>20</v>
      </c>
      <c r="V128" s="218"/>
      <c r="W128" s="218"/>
      <c r="X128" s="218"/>
      <c r="Y128" s="94">
        <v>3607856010</v>
      </c>
      <c r="Z128" s="158">
        <v>10</v>
      </c>
      <c r="AA128" s="311">
        <v>43497</v>
      </c>
      <c r="AB128" s="311"/>
      <c r="AC128" s="158"/>
      <c r="AD128" s="158"/>
      <c r="AE128" s="94">
        <f>P128-T128-Y128</f>
        <v>0</v>
      </c>
      <c r="AF128" s="94"/>
      <c r="AG128" s="94">
        <v>0</v>
      </c>
      <c r="AH128" s="94"/>
      <c r="AI128" s="94"/>
      <c r="AJ128" s="94">
        <f t="shared" si="20"/>
        <v>0</v>
      </c>
      <c r="AK128" s="233">
        <v>877</v>
      </c>
      <c r="AL128" s="94">
        <v>10</v>
      </c>
      <c r="AM128" s="158"/>
      <c r="AN128" s="158"/>
      <c r="AO128" s="158"/>
      <c r="AP128" s="158"/>
      <c r="AQ128" s="158"/>
      <c r="AR128" s="158"/>
      <c r="AS128" s="2">
        <v>1</v>
      </c>
      <c r="AT128" s="58" t="s">
        <v>646</v>
      </c>
      <c r="AU128" s="386" t="s">
        <v>1709</v>
      </c>
      <c r="AV128" s="158"/>
      <c r="AW128" s="158"/>
      <c r="AX128" s="158"/>
      <c r="AY128" s="158">
        <v>87</v>
      </c>
      <c r="AZ128" s="158"/>
      <c r="BA128" s="158"/>
      <c r="BB128" s="69">
        <v>87</v>
      </c>
      <c r="BC128" s="69"/>
      <c r="BD128" s="271">
        <v>2019</v>
      </c>
      <c r="BE128" s="271">
        <v>2019</v>
      </c>
      <c r="BF128" s="271"/>
    </row>
    <row r="129" spans="1:58 16311:16373" s="204" customFormat="1" ht="18" hidden="1" customHeight="1">
      <c r="A129" s="235" t="s">
        <v>502</v>
      </c>
      <c r="B129" s="58" t="s">
        <v>1137</v>
      </c>
      <c r="C129" s="58" t="s">
        <v>1135</v>
      </c>
      <c r="D129" s="28" t="s">
        <v>566</v>
      </c>
      <c r="E129" s="28"/>
      <c r="F129" s="28"/>
      <c r="G129" s="28"/>
      <c r="H129" s="30" t="s">
        <v>1113</v>
      </c>
      <c r="I129" s="30">
        <v>731</v>
      </c>
      <c r="J129" s="212">
        <v>43453</v>
      </c>
      <c r="K129" s="158">
        <v>14</v>
      </c>
      <c r="L129" s="158">
        <v>14</v>
      </c>
      <c r="M129" s="158"/>
      <c r="N129" s="158"/>
      <c r="O129" s="158"/>
      <c r="P129" s="158">
        <v>912750655</v>
      </c>
      <c r="Q129" s="158"/>
      <c r="R129" s="158"/>
      <c r="S129" s="158"/>
      <c r="T129" s="158">
        <v>473555172</v>
      </c>
      <c r="U129" s="158">
        <v>10</v>
      </c>
      <c r="V129" s="311">
        <v>43497</v>
      </c>
      <c r="W129" s="311"/>
      <c r="X129" s="311"/>
      <c r="Y129" s="94">
        <v>439195483</v>
      </c>
      <c r="Z129" s="158">
        <v>10</v>
      </c>
      <c r="AA129" s="311">
        <v>43617</v>
      </c>
      <c r="AB129" s="311"/>
      <c r="AC129" s="158"/>
      <c r="AD129" s="158"/>
      <c r="AE129" s="94">
        <f>P129-T129-Y129</f>
        <v>0</v>
      </c>
      <c r="AF129" s="94"/>
      <c r="AG129" s="94">
        <v>0</v>
      </c>
      <c r="AH129" s="94"/>
      <c r="AI129" s="94"/>
      <c r="AJ129" s="94">
        <f t="shared" si="20"/>
        <v>0</v>
      </c>
      <c r="AK129" s="233">
        <v>877</v>
      </c>
      <c r="AL129" s="94">
        <v>10</v>
      </c>
      <c r="AM129" s="158"/>
      <c r="AN129" s="158"/>
      <c r="AO129" s="158"/>
      <c r="AP129" s="158"/>
      <c r="AQ129" s="158"/>
      <c r="AR129" s="158"/>
      <c r="AS129" s="2">
        <v>1</v>
      </c>
      <c r="AT129" s="58" t="s">
        <v>646</v>
      </c>
      <c r="AU129" s="386"/>
      <c r="AV129" s="158"/>
      <c r="AW129" s="158"/>
      <c r="AX129" s="158"/>
      <c r="AY129" s="158">
        <v>14</v>
      </c>
      <c r="AZ129" s="158"/>
      <c r="BA129" s="158"/>
      <c r="BB129" s="69">
        <v>14</v>
      </c>
      <c r="BC129" s="69"/>
      <c r="BD129" s="271">
        <v>2019</v>
      </c>
      <c r="BE129" s="271">
        <v>2019</v>
      </c>
      <c r="BF129" s="271"/>
    </row>
    <row r="130" spans="1:58 16311:16373" s="204" customFormat="1" ht="18" hidden="1" customHeight="1">
      <c r="A130" s="131" t="s">
        <v>502</v>
      </c>
      <c r="B130" s="58" t="s">
        <v>1017</v>
      </c>
      <c r="C130" s="58" t="s">
        <v>1136</v>
      </c>
      <c r="D130" s="58" t="s">
        <v>1138</v>
      </c>
      <c r="E130" s="58"/>
      <c r="F130" s="58"/>
      <c r="G130" s="58"/>
      <c r="H130" s="30" t="s">
        <v>1113</v>
      </c>
      <c r="I130" s="78">
        <v>766</v>
      </c>
      <c r="J130" s="212">
        <v>43455</v>
      </c>
      <c r="K130" s="158">
        <v>33</v>
      </c>
      <c r="L130" s="158">
        <v>33</v>
      </c>
      <c r="M130" s="158"/>
      <c r="N130" s="158"/>
      <c r="O130" s="158"/>
      <c r="P130" s="158">
        <v>2538168306</v>
      </c>
      <c r="Q130" s="158"/>
      <c r="R130" s="158"/>
      <c r="S130" s="158"/>
      <c r="T130" s="158">
        <v>1368281051</v>
      </c>
      <c r="U130" s="158">
        <v>10</v>
      </c>
      <c r="V130" s="311">
        <v>43497</v>
      </c>
      <c r="W130" s="311"/>
      <c r="X130" s="311"/>
      <c r="Y130" s="94">
        <v>1169887255</v>
      </c>
      <c r="Z130" s="158">
        <v>10</v>
      </c>
      <c r="AA130" s="311">
        <v>43647</v>
      </c>
      <c r="AB130" s="577"/>
      <c r="AC130" s="69"/>
      <c r="AD130" s="69"/>
      <c r="AE130" s="94">
        <f>P130-T130-Y130</f>
        <v>0</v>
      </c>
      <c r="AF130" s="94"/>
      <c r="AG130" s="94">
        <v>0</v>
      </c>
      <c r="AH130" s="94"/>
      <c r="AI130" s="94"/>
      <c r="AJ130" s="94">
        <f t="shared" si="20"/>
        <v>0</v>
      </c>
      <c r="AK130" s="94">
        <v>877</v>
      </c>
      <c r="AL130" s="94">
        <v>10</v>
      </c>
      <c r="AM130" s="61"/>
      <c r="AN130" s="158"/>
      <c r="AO130" s="158"/>
      <c r="AP130" s="158"/>
      <c r="AQ130" s="158"/>
      <c r="AR130" s="158"/>
      <c r="AS130" s="2">
        <v>1</v>
      </c>
      <c r="AT130" s="58" t="s">
        <v>646</v>
      </c>
      <c r="AU130" s="386" t="s">
        <v>1839</v>
      </c>
      <c r="AV130" s="158"/>
      <c r="AW130" s="158"/>
      <c r="AX130" s="158"/>
      <c r="AY130" s="158">
        <v>33</v>
      </c>
      <c r="AZ130" s="158"/>
      <c r="BA130" s="158"/>
      <c r="BB130" s="69">
        <v>33</v>
      </c>
      <c r="BC130" s="69"/>
      <c r="BD130" s="271">
        <v>2019</v>
      </c>
      <c r="BE130" s="271">
        <v>2019</v>
      </c>
      <c r="BF130" s="271"/>
    </row>
    <row r="131" spans="1:58 16311:16373" s="204" customFormat="1" ht="18" customHeight="1">
      <c r="A131" s="257" t="s">
        <v>502</v>
      </c>
      <c r="B131" s="251" t="s">
        <v>1017</v>
      </c>
      <c r="C131" s="251" t="s">
        <v>1240</v>
      </c>
      <c r="D131" s="251" t="s">
        <v>1320</v>
      </c>
      <c r="E131" s="251"/>
      <c r="F131" s="251"/>
      <c r="G131" s="251"/>
      <c r="H131" s="47" t="s">
        <v>1232</v>
      </c>
      <c r="I131" s="30">
        <v>483</v>
      </c>
      <c r="J131" s="212">
        <v>43538</v>
      </c>
      <c r="K131" s="158"/>
      <c r="L131" s="158"/>
      <c r="M131" s="158">
        <v>49</v>
      </c>
      <c r="N131" s="158">
        <v>49</v>
      </c>
      <c r="O131" s="158"/>
      <c r="P131" s="158">
        <v>3881035984</v>
      </c>
      <c r="Q131" s="158"/>
      <c r="R131" s="158"/>
      <c r="S131" s="158"/>
      <c r="T131" s="158">
        <v>2090832553</v>
      </c>
      <c r="U131" s="158">
        <v>20</v>
      </c>
      <c r="V131" s="311">
        <v>43586</v>
      </c>
      <c r="W131" s="311"/>
      <c r="X131" s="311"/>
      <c r="Y131" s="94">
        <v>1790203431</v>
      </c>
      <c r="Z131" s="158">
        <v>20</v>
      </c>
      <c r="AA131" s="311">
        <v>43709</v>
      </c>
      <c r="AB131" s="583"/>
      <c r="AC131" s="92"/>
      <c r="AD131" s="92"/>
      <c r="AE131" s="254">
        <f>P131-T131-Y131</f>
        <v>0</v>
      </c>
      <c r="AF131" s="252"/>
      <c r="AG131" s="233">
        <f>P131-T131-Y131</f>
        <v>0</v>
      </c>
      <c r="AH131" s="233"/>
      <c r="AI131" s="233"/>
      <c r="AJ131" s="94">
        <f t="shared" si="20"/>
        <v>0</v>
      </c>
      <c r="AK131" s="254">
        <v>877</v>
      </c>
      <c r="AL131" s="94">
        <v>20</v>
      </c>
      <c r="AM131" s="158"/>
      <c r="AN131" s="158">
        <v>49</v>
      </c>
      <c r="AO131" s="158"/>
      <c r="AP131" s="158"/>
      <c r="AQ131" s="158"/>
      <c r="AR131" s="158"/>
      <c r="AS131" s="2">
        <v>0.69059999999999999</v>
      </c>
      <c r="AT131" s="58" t="s">
        <v>38</v>
      </c>
      <c r="AU131" s="386"/>
      <c r="AV131" s="158"/>
      <c r="AW131" s="158"/>
      <c r="AX131" s="158"/>
      <c r="AY131" s="158"/>
      <c r="AZ131" s="158"/>
      <c r="BA131" s="158"/>
      <c r="BB131" s="69"/>
      <c r="BC131" s="69"/>
      <c r="BD131" s="271"/>
      <c r="BE131" s="271">
        <v>2019</v>
      </c>
      <c r="BF131" s="271">
        <v>2020</v>
      </c>
    </row>
    <row r="132" spans="1:58 16311:16373" s="204" customFormat="1" ht="18" customHeight="1">
      <c r="A132" s="257" t="s">
        <v>502</v>
      </c>
      <c r="B132" s="251" t="s">
        <v>49</v>
      </c>
      <c r="C132" s="501" t="s">
        <v>1554</v>
      </c>
      <c r="D132" s="501" t="s">
        <v>1555</v>
      </c>
      <c r="E132" s="501"/>
      <c r="F132" s="501"/>
      <c r="G132" s="501"/>
      <c r="H132" s="47" t="s">
        <v>1553</v>
      </c>
      <c r="I132" s="78">
        <v>1662</v>
      </c>
      <c r="J132" s="212">
        <v>43731</v>
      </c>
      <c r="K132" s="158"/>
      <c r="L132" s="158"/>
      <c r="M132" s="158">
        <v>46</v>
      </c>
      <c r="N132" s="158">
        <v>46</v>
      </c>
      <c r="O132" s="158"/>
      <c r="P132" s="158">
        <v>3353947119</v>
      </c>
      <c r="Q132" s="158"/>
      <c r="R132" s="158"/>
      <c r="S132" s="158"/>
      <c r="T132" s="158">
        <v>1836525971</v>
      </c>
      <c r="U132" s="158">
        <v>20</v>
      </c>
      <c r="V132" s="311">
        <v>43739</v>
      </c>
      <c r="W132" s="311"/>
      <c r="X132" s="311"/>
      <c r="Y132" s="625">
        <v>1517421148</v>
      </c>
      <c r="Z132" s="72">
        <v>20</v>
      </c>
      <c r="AA132" s="488">
        <v>43888</v>
      </c>
      <c r="AB132" s="618"/>
      <c r="AC132" s="92"/>
      <c r="AD132" s="92"/>
      <c r="AE132" s="94">
        <f>P132-T132-Y132-AG132</f>
        <v>0</v>
      </c>
      <c r="AF132" s="233"/>
      <c r="AG132" s="233">
        <f>P132-T132-Y132</f>
        <v>0</v>
      </c>
      <c r="AH132" s="233"/>
      <c r="AI132" s="233"/>
      <c r="AJ132" s="158">
        <f t="shared" si="20"/>
        <v>0</v>
      </c>
      <c r="AK132" s="94">
        <v>877</v>
      </c>
      <c r="AL132" s="94">
        <v>20</v>
      </c>
      <c r="AM132" s="158"/>
      <c r="AN132" s="158">
        <v>46</v>
      </c>
      <c r="AO132" s="158"/>
      <c r="AP132" s="158"/>
      <c r="AQ132" s="158"/>
      <c r="AR132" s="158"/>
      <c r="AS132" s="493">
        <v>0.1114</v>
      </c>
      <c r="AT132" s="485" t="s">
        <v>38</v>
      </c>
      <c r="AU132" s="104" t="s">
        <v>1565</v>
      </c>
      <c r="AV132" s="158"/>
      <c r="AW132" s="158"/>
      <c r="AX132" s="158"/>
      <c r="AY132" s="158"/>
      <c r="AZ132" s="158"/>
      <c r="BA132" s="158"/>
      <c r="BB132" s="69"/>
      <c r="BC132" s="69"/>
      <c r="BD132" s="271"/>
      <c r="BE132" s="271">
        <v>2019</v>
      </c>
      <c r="BF132" s="271">
        <v>2020</v>
      </c>
    </row>
    <row r="133" spans="1:58 16311:16373" s="204" customFormat="1" ht="18" customHeight="1">
      <c r="A133" s="331" t="s">
        <v>502</v>
      </c>
      <c r="B133" s="246" t="s">
        <v>1552</v>
      </c>
      <c r="C133" s="491" t="s">
        <v>1551</v>
      </c>
      <c r="D133" s="491" t="s">
        <v>214</v>
      </c>
      <c r="E133" s="491"/>
      <c r="F133" s="491"/>
      <c r="G133" s="491"/>
      <c r="H133" s="46" t="s">
        <v>1553</v>
      </c>
      <c r="I133" s="332">
        <v>1646</v>
      </c>
      <c r="J133" s="212">
        <v>43728</v>
      </c>
      <c r="K133" s="5"/>
      <c r="L133" s="5"/>
      <c r="M133" s="158">
        <v>38</v>
      </c>
      <c r="N133" s="158">
        <v>38</v>
      </c>
      <c r="O133" s="5"/>
      <c r="P133" s="5">
        <v>2766086780</v>
      </c>
      <c r="Q133" s="5"/>
      <c r="R133" s="5"/>
      <c r="S133" s="5"/>
      <c r="T133" s="5">
        <f>1509026534+7583048</f>
        <v>1516609582</v>
      </c>
      <c r="U133" s="5">
        <v>20</v>
      </c>
      <c r="V133" s="329">
        <v>43739</v>
      </c>
      <c r="W133" s="329"/>
      <c r="X133" s="329"/>
      <c r="Y133" s="627">
        <v>1249477198</v>
      </c>
      <c r="Z133" s="496">
        <v>20</v>
      </c>
      <c r="AA133" s="488">
        <v>43861</v>
      </c>
      <c r="AB133" s="618"/>
      <c r="AC133" s="247"/>
      <c r="AD133" s="247"/>
      <c r="AE133" s="233">
        <f>P133-T133-Y133-AG133</f>
        <v>0</v>
      </c>
      <c r="AF133" s="233"/>
      <c r="AG133" s="233">
        <f>P133-T133-Y133</f>
        <v>0</v>
      </c>
      <c r="AH133" s="233"/>
      <c r="AI133" s="233"/>
      <c r="AJ133" s="233">
        <f t="shared" si="20"/>
        <v>0</v>
      </c>
      <c r="AK133" s="233">
        <v>877</v>
      </c>
      <c r="AL133" s="94">
        <v>20</v>
      </c>
      <c r="AM133" s="5"/>
      <c r="AN133" s="5">
        <v>38</v>
      </c>
      <c r="AO133" s="5"/>
      <c r="AP133" s="5"/>
      <c r="AQ133" s="5"/>
      <c r="AR133" s="5"/>
      <c r="AS133" s="497">
        <v>0.15679999999999999</v>
      </c>
      <c r="AT133" s="498" t="s">
        <v>38</v>
      </c>
      <c r="AU133" s="330" t="s">
        <v>1565</v>
      </c>
      <c r="AV133" s="5"/>
      <c r="AW133" s="5"/>
      <c r="AX133" s="5"/>
      <c r="AY133" s="5"/>
      <c r="AZ133" s="5"/>
      <c r="BA133" s="5"/>
      <c r="BB133" s="276"/>
      <c r="BC133" s="276"/>
      <c r="BD133" s="470"/>
      <c r="BE133" s="470">
        <v>2019</v>
      </c>
      <c r="BF133" s="271">
        <v>2020</v>
      </c>
    </row>
    <row r="134" spans="1:58 16311:16373" s="204" customFormat="1" ht="18" customHeight="1">
      <c r="A134" s="131" t="s">
        <v>502</v>
      </c>
      <c r="B134" s="58" t="s">
        <v>1942</v>
      </c>
      <c r="C134" s="485" t="s">
        <v>1941</v>
      </c>
      <c r="D134" s="485" t="s">
        <v>157</v>
      </c>
      <c r="E134" s="485"/>
      <c r="F134" s="485"/>
      <c r="G134" s="485"/>
      <c r="H134" s="30" t="s">
        <v>1920</v>
      </c>
      <c r="I134" s="30">
        <v>2047</v>
      </c>
      <c r="J134" s="212">
        <v>43797</v>
      </c>
      <c r="K134" s="158"/>
      <c r="L134" s="158"/>
      <c r="M134" s="158">
        <v>43</v>
      </c>
      <c r="N134" s="158">
        <v>43</v>
      </c>
      <c r="O134" s="158"/>
      <c r="P134" s="158">
        <v>3131621746</v>
      </c>
      <c r="Q134" s="158"/>
      <c r="R134" s="158"/>
      <c r="S134" s="158"/>
      <c r="T134" s="623">
        <v>1624931742</v>
      </c>
      <c r="U134" s="72">
        <v>10</v>
      </c>
      <c r="V134" s="488">
        <v>43831</v>
      </c>
      <c r="W134" s="488"/>
      <c r="X134" s="488"/>
      <c r="Y134" s="94"/>
      <c r="Z134" s="158"/>
      <c r="AA134" s="158"/>
      <c r="AB134" s="156"/>
      <c r="AC134" s="158"/>
      <c r="AD134" s="158">
        <v>10</v>
      </c>
      <c r="AE134" s="233">
        <f>P134-T134-Y134-AG134</f>
        <v>82411098</v>
      </c>
      <c r="AF134" s="233"/>
      <c r="AG134" s="158">
        <v>1424278906</v>
      </c>
      <c r="AH134" s="158"/>
      <c r="AI134" s="158"/>
      <c r="AJ134" s="158">
        <f>AE134+AG134</f>
        <v>1506690004</v>
      </c>
      <c r="AK134" s="158">
        <v>877</v>
      </c>
      <c r="AL134" s="94">
        <v>10</v>
      </c>
      <c r="AN134" s="72">
        <v>43</v>
      </c>
      <c r="AO134" s="158"/>
      <c r="AP134" s="158"/>
      <c r="AQ134" s="158"/>
      <c r="AR134" s="158"/>
      <c r="AS134" s="493">
        <v>0</v>
      </c>
      <c r="AT134" s="498" t="s">
        <v>38</v>
      </c>
      <c r="AU134" s="104" t="s">
        <v>1565</v>
      </c>
      <c r="AV134" s="158"/>
      <c r="AW134" s="158"/>
      <c r="AX134" s="158"/>
      <c r="AY134" s="158"/>
      <c r="AZ134" s="158"/>
      <c r="BA134" s="158"/>
      <c r="BB134" s="158"/>
      <c r="BC134" s="158"/>
      <c r="BD134" s="271"/>
      <c r="BE134" s="430">
        <v>2019</v>
      </c>
      <c r="BF134" s="430">
        <v>2020</v>
      </c>
    </row>
    <row r="135" spans="1:58 16311:16373" s="204" customFormat="1" ht="26.25" customHeight="1">
      <c r="A135" s="131" t="s">
        <v>502</v>
      </c>
      <c r="B135" s="58" t="s">
        <v>1944</v>
      </c>
      <c r="C135" s="487" t="s">
        <v>2157</v>
      </c>
      <c r="D135" s="487" t="s">
        <v>1943</v>
      </c>
      <c r="E135" s="487"/>
      <c r="F135" s="487"/>
      <c r="G135" s="487"/>
      <c r="H135" s="30" t="s">
        <v>1920</v>
      </c>
      <c r="I135" s="78">
        <v>2050</v>
      </c>
      <c r="J135" s="212">
        <v>43797</v>
      </c>
      <c r="K135" s="269"/>
      <c r="L135" s="374"/>
      <c r="M135" s="158">
        <v>19</v>
      </c>
      <c r="N135" s="158">
        <v>19</v>
      </c>
      <c r="O135" s="158"/>
      <c r="P135" s="158">
        <v>1581775186</v>
      </c>
      <c r="Q135" s="269"/>
      <c r="R135" s="158"/>
      <c r="S135" s="269"/>
      <c r="T135" s="623">
        <v>856992620</v>
      </c>
      <c r="U135" s="72">
        <v>10</v>
      </c>
      <c r="V135" s="488">
        <v>43831</v>
      </c>
      <c r="W135" s="488"/>
      <c r="X135" s="488"/>
      <c r="Y135" s="268"/>
      <c r="Z135" s="268"/>
      <c r="AA135" s="268"/>
      <c r="AB135" s="619"/>
      <c r="AC135" s="268"/>
      <c r="AD135" s="158">
        <v>10</v>
      </c>
      <c r="AE135" s="233">
        <f>P135-T135-Y135-AG135</f>
        <v>0</v>
      </c>
      <c r="AF135" s="233"/>
      <c r="AG135" s="158">
        <v>724782566</v>
      </c>
      <c r="AH135" s="158"/>
      <c r="AI135" s="158"/>
      <c r="AJ135" s="158">
        <f>AE135+AG135</f>
        <v>724782566</v>
      </c>
      <c r="AK135" s="158">
        <v>877</v>
      </c>
      <c r="AL135" s="94">
        <v>10</v>
      </c>
      <c r="AM135" s="158"/>
      <c r="AN135" s="72">
        <v>19</v>
      </c>
      <c r="AO135" s="471"/>
      <c r="AP135" s="471"/>
      <c r="AQ135" s="471"/>
      <c r="AR135" s="471"/>
      <c r="AS135" s="493">
        <v>0</v>
      </c>
      <c r="AT135" s="498" t="s">
        <v>38</v>
      </c>
      <c r="AU135" s="104" t="s">
        <v>1565</v>
      </c>
      <c r="AV135" s="268"/>
      <c r="AW135" s="268"/>
      <c r="AX135" s="268"/>
      <c r="AY135" s="268"/>
      <c r="AZ135" s="268"/>
      <c r="BA135" s="268"/>
      <c r="BB135" s="268"/>
      <c r="BC135" s="268"/>
      <c r="BD135" s="268"/>
      <c r="BE135" s="271">
        <v>2019</v>
      </c>
      <c r="BF135" s="271">
        <v>2020</v>
      </c>
    </row>
    <row r="136" spans="1:58 16311:16373" s="204" customFormat="1" ht="26.25" customHeight="1">
      <c r="A136" s="131" t="s">
        <v>502</v>
      </c>
      <c r="B136" s="520" t="s">
        <v>2275</v>
      </c>
      <c r="C136" s="526" t="s">
        <v>2276</v>
      </c>
      <c r="D136" s="526" t="s">
        <v>1234</v>
      </c>
      <c r="E136" s="562"/>
      <c r="F136" s="538">
        <v>4</v>
      </c>
      <c r="G136" s="538"/>
      <c r="H136" s="533" t="s">
        <v>2236</v>
      </c>
      <c r="I136" s="78">
        <v>309</v>
      </c>
      <c r="J136" s="459">
        <v>43909</v>
      </c>
      <c r="K136" s="529"/>
      <c r="L136" s="530"/>
      <c r="M136" s="61"/>
      <c r="N136" s="604">
        <v>60</v>
      </c>
      <c r="O136" s="61"/>
      <c r="P136" s="524">
        <f>(655717165+4340285463)</f>
        <v>4996002628</v>
      </c>
      <c r="Q136" s="72">
        <v>655717165</v>
      </c>
      <c r="R136" s="524">
        <v>20</v>
      </c>
      <c r="S136" s="484">
        <v>43951</v>
      </c>
      <c r="T136" s="61"/>
      <c r="U136" s="61">
        <v>20</v>
      </c>
      <c r="V136" s="563"/>
      <c r="W136" s="563"/>
      <c r="X136" s="563"/>
      <c r="Y136" s="531"/>
      <c r="Z136" s="521">
        <v>20</v>
      </c>
      <c r="AA136" s="268"/>
      <c r="AB136" s="268"/>
      <c r="AC136" s="268"/>
      <c r="AD136" s="158"/>
      <c r="AE136" s="94"/>
      <c r="AF136" s="544"/>
      <c r="AG136" s="61"/>
      <c r="AH136" s="61">
        <v>4996002628</v>
      </c>
      <c r="AI136" s="61"/>
      <c r="AJ136" s="61">
        <f>(AH136-Q136-T136-Y136)</f>
        <v>4340285463</v>
      </c>
      <c r="AK136" s="61">
        <v>877</v>
      </c>
      <c r="AL136" s="225">
        <v>20</v>
      </c>
      <c r="AM136" s="61"/>
      <c r="AN136" s="524">
        <v>60</v>
      </c>
      <c r="AO136" s="532"/>
      <c r="AP136" s="532"/>
      <c r="AQ136" s="532"/>
      <c r="AR136" s="532"/>
      <c r="AS136" s="493">
        <v>0</v>
      </c>
      <c r="AT136" s="498" t="s">
        <v>38</v>
      </c>
      <c r="AU136" s="462"/>
      <c r="AV136" s="531"/>
      <c r="AW136" s="531"/>
      <c r="AX136" s="531"/>
      <c r="AY136" s="531"/>
      <c r="AZ136" s="531"/>
      <c r="BA136" s="531"/>
      <c r="BB136" s="531"/>
      <c r="BC136" s="531"/>
      <c r="BD136" s="531"/>
      <c r="BE136" s="464"/>
      <c r="BF136" s="464">
        <v>2020</v>
      </c>
    </row>
    <row r="137" spans="1:58 16311:16373" ht="15" customHeight="1">
      <c r="A137" s="371" t="s">
        <v>503</v>
      </c>
      <c r="B137" s="371"/>
      <c r="C137" s="371"/>
      <c r="D137" s="371"/>
      <c r="E137" s="371"/>
      <c r="F137" s="371"/>
      <c r="G137" s="371"/>
      <c r="H137" s="371"/>
      <c r="I137" s="370"/>
      <c r="J137" s="370"/>
      <c r="K137" s="371">
        <f>SUM(K138:K167)</f>
        <v>187</v>
      </c>
      <c r="L137" s="370">
        <f t="shared" ref="L137:O137" si="21">SUM(L138:L167)</f>
        <v>559</v>
      </c>
      <c r="M137" s="370">
        <f t="shared" si="21"/>
        <v>268</v>
      </c>
      <c r="N137" s="370">
        <f t="shared" si="21"/>
        <v>235</v>
      </c>
      <c r="O137" s="370">
        <f t="shared" si="21"/>
        <v>33</v>
      </c>
      <c r="P137" s="371"/>
      <c r="Q137" s="371"/>
      <c r="R137" s="371"/>
      <c r="S137" s="371"/>
      <c r="T137" s="371"/>
      <c r="U137" s="371"/>
      <c r="V137" s="371"/>
      <c r="W137" s="371"/>
      <c r="X137" s="371"/>
      <c r="Y137" s="371"/>
      <c r="Z137" s="371"/>
      <c r="AA137" s="371"/>
      <c r="AB137" s="371"/>
      <c r="AC137" s="370"/>
      <c r="AD137" s="370"/>
      <c r="AE137" s="371"/>
      <c r="AF137" s="371"/>
      <c r="AG137" s="371"/>
      <c r="AH137" s="371"/>
      <c r="AI137" s="371"/>
      <c r="AJ137" s="371"/>
      <c r="AK137" s="371"/>
      <c r="AL137" s="371"/>
      <c r="AM137" s="370">
        <f t="shared" ref="AM137:AR137" si="22">SUM(AM138:AM167)</f>
        <v>73</v>
      </c>
      <c r="AN137" s="370">
        <f t="shared" si="22"/>
        <v>164</v>
      </c>
      <c r="AO137" s="370">
        <f t="shared" si="22"/>
        <v>0</v>
      </c>
      <c r="AP137" s="370">
        <f t="shared" si="22"/>
        <v>0</v>
      </c>
      <c r="AQ137" s="370">
        <f t="shared" si="22"/>
        <v>31</v>
      </c>
      <c r="AR137" s="370">
        <f t="shared" si="22"/>
        <v>0</v>
      </c>
      <c r="AS137" s="371"/>
      <c r="AT137" s="371"/>
      <c r="AU137" s="385"/>
      <c r="AV137" s="370">
        <f t="shared" ref="AV137:BC137" si="23">SUM(AV138:AV164)</f>
        <v>148</v>
      </c>
      <c r="AW137" s="370">
        <f t="shared" si="23"/>
        <v>78</v>
      </c>
      <c r="AX137" s="370">
        <f t="shared" si="23"/>
        <v>17</v>
      </c>
      <c r="AY137" s="370">
        <f t="shared" si="23"/>
        <v>559</v>
      </c>
      <c r="AZ137" s="371"/>
      <c r="BA137" s="371">
        <f t="shared" si="23"/>
        <v>0</v>
      </c>
      <c r="BB137" s="370">
        <f t="shared" si="23"/>
        <v>576</v>
      </c>
      <c r="BC137" s="371">
        <f t="shared" si="23"/>
        <v>1</v>
      </c>
      <c r="BD137" s="371"/>
      <c r="BE137" s="371">
        <v>2019</v>
      </c>
      <c r="BF137" s="371">
        <v>2020</v>
      </c>
      <c r="XCI137" s="371"/>
      <c r="XCJ137" s="371"/>
      <c r="XCK137" s="371"/>
      <c r="XCL137" s="371"/>
      <c r="XCM137" s="371"/>
      <c r="XCN137" s="370"/>
      <c r="XCO137" s="370"/>
      <c r="XCP137" s="370"/>
      <c r="XCQ137" s="370"/>
      <c r="XCR137" s="370"/>
      <c r="XCS137" s="370"/>
      <c r="XCT137" s="370"/>
      <c r="XCU137" s="370"/>
      <c r="XCV137" s="370"/>
      <c r="XCW137" s="370"/>
      <c r="XDL137" s="371"/>
      <c r="XDM137" s="371"/>
      <c r="XDN137" s="371"/>
      <c r="XDO137" s="371"/>
      <c r="XDP137" s="371"/>
      <c r="XDQ137" s="370"/>
      <c r="XDR137" s="370"/>
      <c r="XEO137" s="371"/>
      <c r="XEP137" s="371"/>
      <c r="XEQ137" s="371"/>
      <c r="XER137" s="371"/>
      <c r="XES137" s="371"/>
    </row>
    <row r="138" spans="1:58 16311:16373" s="204" customFormat="1" ht="15" hidden="1" customHeight="1">
      <c r="A138" s="160" t="s">
        <v>503</v>
      </c>
      <c r="B138" s="58" t="s">
        <v>62</v>
      </c>
      <c r="C138" s="58" t="s">
        <v>656</v>
      </c>
      <c r="D138" s="58" t="s">
        <v>61</v>
      </c>
      <c r="E138" s="58"/>
      <c r="F138" s="58"/>
      <c r="G138" s="58"/>
      <c r="H138" s="30" t="s">
        <v>657</v>
      </c>
      <c r="I138" s="30"/>
      <c r="J138" s="212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94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94">
        <v>10</v>
      </c>
      <c r="AM138" s="158"/>
      <c r="AN138" s="158"/>
      <c r="AO138" s="158"/>
      <c r="AP138" s="158"/>
      <c r="AQ138" s="158"/>
      <c r="AR138" s="158"/>
      <c r="AS138" s="2">
        <v>1</v>
      </c>
      <c r="AT138" s="58" t="s">
        <v>646</v>
      </c>
      <c r="AU138" s="185">
        <f>SUM(AU139:AU168)</f>
        <v>0</v>
      </c>
      <c r="AV138" s="158"/>
      <c r="AW138" s="158">
        <v>28</v>
      </c>
      <c r="AX138" s="158"/>
      <c r="AY138" s="158"/>
      <c r="AZ138" s="158"/>
      <c r="BA138" s="158"/>
      <c r="BB138" s="69"/>
      <c r="BC138" s="69"/>
      <c r="BD138" s="271">
        <v>2017</v>
      </c>
      <c r="BE138" s="271"/>
      <c r="BF138" s="271"/>
    </row>
    <row r="139" spans="1:58 16311:16373" s="204" customFormat="1" ht="15" hidden="1" customHeight="1">
      <c r="A139" s="160" t="s">
        <v>503</v>
      </c>
      <c r="B139" s="58" t="s">
        <v>62</v>
      </c>
      <c r="C139" s="122" t="s">
        <v>64</v>
      </c>
      <c r="D139" s="58" t="s">
        <v>65</v>
      </c>
      <c r="E139" s="58"/>
      <c r="F139" s="58"/>
      <c r="G139" s="58"/>
      <c r="H139" s="30"/>
      <c r="I139" s="58"/>
      <c r="J139" s="212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94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94">
        <v>10</v>
      </c>
      <c r="AM139" s="158"/>
      <c r="AN139" s="158"/>
      <c r="AO139" s="158"/>
      <c r="AP139" s="158"/>
      <c r="AQ139" s="158"/>
      <c r="AR139" s="158"/>
      <c r="AS139" s="2"/>
      <c r="AT139" s="58"/>
      <c r="AU139" s="104"/>
      <c r="AV139" s="158">
        <v>43</v>
      </c>
      <c r="AW139" s="158"/>
      <c r="AX139" s="158"/>
      <c r="AY139" s="158"/>
      <c r="AZ139" s="158"/>
      <c r="BA139" s="158"/>
      <c r="BB139" s="69"/>
      <c r="BC139" s="69"/>
      <c r="BD139" s="271">
        <v>2016</v>
      </c>
      <c r="BE139" s="271"/>
      <c r="BF139" s="271"/>
    </row>
    <row r="140" spans="1:58 16311:16373" s="204" customFormat="1" ht="15" hidden="1" customHeight="1">
      <c r="A140" s="160" t="s">
        <v>503</v>
      </c>
      <c r="B140" s="58" t="s">
        <v>63</v>
      </c>
      <c r="C140" s="122" t="s">
        <v>66</v>
      </c>
      <c r="D140" s="58" t="s">
        <v>67</v>
      </c>
      <c r="E140" s="58"/>
      <c r="F140" s="58"/>
      <c r="G140" s="58"/>
      <c r="H140" s="30"/>
      <c r="I140" s="58"/>
      <c r="J140" s="212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94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94">
        <v>20</v>
      </c>
      <c r="AM140" s="158"/>
      <c r="AN140" s="158"/>
      <c r="AO140" s="158"/>
      <c r="AP140" s="158"/>
      <c r="AQ140" s="158"/>
      <c r="AR140" s="158"/>
      <c r="AS140" s="2"/>
      <c r="AT140" s="58"/>
      <c r="AU140" s="104"/>
      <c r="AV140" s="158">
        <v>66</v>
      </c>
      <c r="AW140" s="158"/>
      <c r="AX140" s="158"/>
      <c r="AY140" s="158"/>
      <c r="AZ140" s="158"/>
      <c r="BA140" s="158"/>
      <c r="BB140" s="69"/>
      <c r="BC140" s="69"/>
      <c r="BD140" s="271">
        <v>2016</v>
      </c>
      <c r="BE140" s="271"/>
      <c r="BF140" s="271"/>
    </row>
    <row r="141" spans="1:58 16311:16373" s="204" customFormat="1" ht="15" hidden="1" customHeight="1">
      <c r="A141" s="160" t="s">
        <v>503</v>
      </c>
      <c r="B141" s="58" t="s">
        <v>70</v>
      </c>
      <c r="C141" s="123" t="s">
        <v>68</v>
      </c>
      <c r="D141" s="1" t="s">
        <v>69</v>
      </c>
      <c r="E141" s="1"/>
      <c r="F141" s="1"/>
      <c r="G141" s="1"/>
      <c r="H141" s="30"/>
      <c r="I141" s="58"/>
      <c r="J141" s="212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94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94">
        <v>20</v>
      </c>
      <c r="AM141" s="158"/>
      <c r="AN141" s="158"/>
      <c r="AO141" s="158"/>
      <c r="AP141" s="158"/>
      <c r="AQ141" s="158"/>
      <c r="AR141" s="158"/>
      <c r="AS141" s="2"/>
      <c r="AT141" s="58"/>
      <c r="AU141" s="104"/>
      <c r="AV141" s="158">
        <v>39</v>
      </c>
      <c r="AW141" s="158"/>
      <c r="AX141" s="158"/>
      <c r="AY141" s="158"/>
      <c r="AZ141" s="158"/>
      <c r="BA141" s="158"/>
      <c r="BB141" s="69"/>
      <c r="BC141" s="69"/>
      <c r="BD141" s="271">
        <v>2016</v>
      </c>
      <c r="BE141" s="271"/>
      <c r="BF141" s="271"/>
    </row>
    <row r="142" spans="1:58 16311:16373" s="204" customFormat="1" ht="15" hidden="1" customHeight="1">
      <c r="A142" s="160" t="s">
        <v>503</v>
      </c>
      <c r="B142" s="58" t="s">
        <v>70</v>
      </c>
      <c r="C142" s="123" t="s">
        <v>68</v>
      </c>
      <c r="D142" s="1" t="s">
        <v>69</v>
      </c>
      <c r="E142" s="1"/>
      <c r="F142" s="1"/>
      <c r="G142" s="1"/>
      <c r="H142" s="30" t="s">
        <v>658</v>
      </c>
      <c r="I142" s="30"/>
      <c r="J142" s="212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94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94">
        <v>20</v>
      </c>
      <c r="AM142" s="158"/>
      <c r="AN142" s="158"/>
      <c r="AO142" s="158"/>
      <c r="AP142" s="158"/>
      <c r="AQ142" s="158"/>
      <c r="AR142" s="158"/>
      <c r="AS142" s="2">
        <v>0</v>
      </c>
      <c r="AT142" s="58" t="s">
        <v>687</v>
      </c>
      <c r="AU142" s="58" t="s">
        <v>916</v>
      </c>
      <c r="AV142" s="158"/>
      <c r="AW142" s="158">
        <f>1-1</f>
        <v>0</v>
      </c>
      <c r="AX142" s="158"/>
      <c r="AY142" s="158"/>
      <c r="AZ142" s="158"/>
      <c r="BA142" s="158"/>
      <c r="BB142" s="69"/>
      <c r="BC142" s="69">
        <v>1</v>
      </c>
      <c r="BD142" s="271" t="s">
        <v>1703</v>
      </c>
      <c r="BE142" s="271"/>
      <c r="BF142" s="271"/>
    </row>
    <row r="143" spans="1:58 16311:16373" s="204" customFormat="1" ht="15" hidden="1" customHeight="1">
      <c r="A143" s="160" t="s">
        <v>503</v>
      </c>
      <c r="B143" s="58" t="s">
        <v>63</v>
      </c>
      <c r="C143" s="122" t="s">
        <v>71</v>
      </c>
      <c r="D143" s="58" t="s">
        <v>16</v>
      </c>
      <c r="E143" s="58"/>
      <c r="F143" s="58"/>
      <c r="G143" s="58"/>
      <c r="H143" s="30" t="s">
        <v>650</v>
      </c>
      <c r="I143" s="30"/>
      <c r="J143" s="212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94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94">
        <v>20</v>
      </c>
      <c r="AM143" s="158"/>
      <c r="AN143" s="158"/>
      <c r="AO143" s="158"/>
      <c r="AP143" s="158"/>
      <c r="AQ143" s="158"/>
      <c r="AR143" s="158"/>
      <c r="AS143" s="2">
        <v>1</v>
      </c>
      <c r="AT143" s="58" t="s">
        <v>646</v>
      </c>
      <c r="AU143" s="104"/>
      <c r="AV143" s="158"/>
      <c r="AW143" s="158">
        <v>50</v>
      </c>
      <c r="AX143" s="158"/>
      <c r="AY143" s="158"/>
      <c r="AZ143" s="158"/>
      <c r="BA143" s="158"/>
      <c r="BB143" s="69"/>
      <c r="BC143" s="69"/>
      <c r="BD143" s="271">
        <v>2017</v>
      </c>
      <c r="BE143" s="271"/>
      <c r="BF143" s="271"/>
    </row>
    <row r="144" spans="1:58 16311:16373" s="204" customFormat="1" ht="18.75" hidden="1" customHeight="1">
      <c r="A144" s="160" t="s">
        <v>503</v>
      </c>
      <c r="B144" s="58" t="s">
        <v>62</v>
      </c>
      <c r="C144" s="58" t="s">
        <v>1064</v>
      </c>
      <c r="D144" s="118" t="s">
        <v>157</v>
      </c>
      <c r="E144" s="118"/>
      <c r="F144" s="118"/>
      <c r="G144" s="118"/>
      <c r="H144" s="30" t="s">
        <v>713</v>
      </c>
      <c r="I144" s="82">
        <v>1973</v>
      </c>
      <c r="J144" s="212">
        <v>42992</v>
      </c>
      <c r="K144" s="158"/>
      <c r="L144" s="158">
        <v>22</v>
      </c>
      <c r="M144" s="158"/>
      <c r="N144" s="158"/>
      <c r="O144" s="158"/>
      <c r="P144" s="158">
        <v>1358046513</v>
      </c>
      <c r="Q144" s="158"/>
      <c r="R144" s="158"/>
      <c r="S144" s="158"/>
      <c r="T144" s="158">
        <v>556187413</v>
      </c>
      <c r="U144" s="158"/>
      <c r="V144" s="158"/>
      <c r="W144" s="158"/>
      <c r="X144" s="158"/>
      <c r="Y144" s="158">
        <v>801859100</v>
      </c>
      <c r="Z144" s="158">
        <v>10</v>
      </c>
      <c r="AA144" s="158"/>
      <c r="AB144" s="158"/>
      <c r="AC144" s="158"/>
      <c r="AD144" s="158"/>
      <c r="AE144" s="94">
        <f t="shared" ref="AE144:AE150" si="24">P144-T144-Y144</f>
        <v>0</v>
      </c>
      <c r="AF144" s="94"/>
      <c r="AG144" s="94">
        <v>0</v>
      </c>
      <c r="AH144" s="94"/>
      <c r="AI144" s="94"/>
      <c r="AJ144" s="94">
        <f t="shared" ref="AJ144:AJ150" si="25">AE144+AG144</f>
        <v>0</v>
      </c>
      <c r="AK144" s="158">
        <v>877</v>
      </c>
      <c r="AL144" s="94">
        <v>20</v>
      </c>
      <c r="AM144" s="158"/>
      <c r="AN144" s="158"/>
      <c r="AO144" s="158"/>
      <c r="AP144" s="11"/>
      <c r="AQ144" s="158"/>
      <c r="AR144" s="11"/>
      <c r="AS144" s="2">
        <v>1</v>
      </c>
      <c r="AT144" s="58" t="s">
        <v>646</v>
      </c>
      <c r="AU144" s="104" t="s">
        <v>1223</v>
      </c>
      <c r="AV144" s="158"/>
      <c r="AW144" s="11"/>
      <c r="AX144" s="11"/>
      <c r="AY144" s="158">
        <v>22</v>
      </c>
      <c r="AZ144" s="158"/>
      <c r="BA144" s="158"/>
      <c r="BB144" s="69">
        <f>+AY144</f>
        <v>22</v>
      </c>
      <c r="BC144" s="69"/>
      <c r="BD144" s="271">
        <v>2019</v>
      </c>
      <c r="BE144" s="271">
        <v>2019</v>
      </c>
      <c r="BF144" s="271"/>
    </row>
    <row r="145" spans="1:58" s="204" customFormat="1" ht="18.75" hidden="1" customHeight="1">
      <c r="A145" s="160" t="s">
        <v>503</v>
      </c>
      <c r="B145" s="58" t="s">
        <v>63</v>
      </c>
      <c r="C145" s="122" t="s">
        <v>745</v>
      </c>
      <c r="D145" s="148" t="s">
        <v>738</v>
      </c>
      <c r="E145" s="148"/>
      <c r="F145" s="148"/>
      <c r="G145" s="148"/>
      <c r="H145" s="30" t="s">
        <v>715</v>
      </c>
      <c r="I145" s="30">
        <v>2677</v>
      </c>
      <c r="J145" s="212">
        <v>43062</v>
      </c>
      <c r="K145" s="158"/>
      <c r="L145" s="158">
        <v>78</v>
      </c>
      <c r="M145" s="158"/>
      <c r="N145" s="158"/>
      <c r="O145" s="158"/>
      <c r="P145" s="158">
        <v>5827594500</v>
      </c>
      <c r="Q145" s="158"/>
      <c r="R145" s="158"/>
      <c r="S145" s="158"/>
      <c r="T145" s="158">
        <v>2619172500</v>
      </c>
      <c r="U145" s="158"/>
      <c r="V145" s="158"/>
      <c r="W145" s="158"/>
      <c r="X145" s="158"/>
      <c r="Y145" s="158">
        <v>3208422000</v>
      </c>
      <c r="Z145" s="158">
        <v>10</v>
      </c>
      <c r="AA145" s="158"/>
      <c r="AB145" s="158"/>
      <c r="AC145" s="158"/>
      <c r="AD145" s="158"/>
      <c r="AE145" s="94">
        <f t="shared" si="24"/>
        <v>0</v>
      </c>
      <c r="AF145" s="94"/>
      <c r="AG145" s="94">
        <v>0</v>
      </c>
      <c r="AH145" s="94"/>
      <c r="AI145" s="94"/>
      <c r="AJ145" s="94">
        <f t="shared" si="25"/>
        <v>0</v>
      </c>
      <c r="AK145" s="158">
        <v>877</v>
      </c>
      <c r="AL145" s="94">
        <v>20</v>
      </c>
      <c r="AM145" s="158"/>
      <c r="AN145" s="158"/>
      <c r="AO145" s="158"/>
      <c r="AP145" s="158"/>
      <c r="AQ145" s="158"/>
      <c r="AR145" s="158"/>
      <c r="AS145" s="2">
        <v>1</v>
      </c>
      <c r="AT145" s="58" t="s">
        <v>646</v>
      </c>
      <c r="AU145" s="104"/>
      <c r="AV145" s="51"/>
      <c r="AW145" s="158"/>
      <c r="AX145" s="158"/>
      <c r="AY145" s="158">
        <v>78</v>
      </c>
      <c r="AZ145" s="158"/>
      <c r="BA145" s="158"/>
      <c r="BB145" s="69">
        <v>78</v>
      </c>
      <c r="BC145" s="69"/>
      <c r="BD145" s="271">
        <v>2019</v>
      </c>
      <c r="BE145" s="271">
        <v>2019</v>
      </c>
      <c r="BF145" s="271"/>
    </row>
    <row r="146" spans="1:58" s="204" customFormat="1" ht="18.75" hidden="1" customHeight="1">
      <c r="A146" s="160" t="s">
        <v>503</v>
      </c>
      <c r="B146" s="58" t="s">
        <v>63</v>
      </c>
      <c r="C146" s="122" t="s">
        <v>739</v>
      </c>
      <c r="D146" s="148" t="s">
        <v>740</v>
      </c>
      <c r="E146" s="148"/>
      <c r="F146" s="148"/>
      <c r="G146" s="148"/>
      <c r="H146" s="30" t="s">
        <v>715</v>
      </c>
      <c r="I146" s="30">
        <v>2837</v>
      </c>
      <c r="J146" s="212">
        <v>42918</v>
      </c>
      <c r="K146" s="158"/>
      <c r="L146" s="158">
        <v>69</v>
      </c>
      <c r="M146" s="158"/>
      <c r="N146" s="158"/>
      <c r="O146" s="158"/>
      <c r="P146" s="158">
        <f>5229892500-74712750</f>
        <v>5155179750</v>
      </c>
      <c r="Q146" s="158"/>
      <c r="R146" s="158"/>
      <c r="S146" s="158"/>
      <c r="T146" s="158">
        <v>2319763259</v>
      </c>
      <c r="U146" s="158"/>
      <c r="V146" s="158"/>
      <c r="W146" s="158"/>
      <c r="X146" s="158"/>
      <c r="Y146" s="158">
        <v>2835416491</v>
      </c>
      <c r="Z146" s="158">
        <v>10</v>
      </c>
      <c r="AA146" s="158"/>
      <c r="AB146" s="158"/>
      <c r="AC146" s="158"/>
      <c r="AD146" s="158"/>
      <c r="AE146" s="94">
        <f t="shared" si="24"/>
        <v>0</v>
      </c>
      <c r="AF146" s="94"/>
      <c r="AG146" s="94">
        <v>0</v>
      </c>
      <c r="AH146" s="94"/>
      <c r="AI146" s="94"/>
      <c r="AJ146" s="94">
        <f t="shared" si="25"/>
        <v>0</v>
      </c>
      <c r="AK146" s="158">
        <v>877</v>
      </c>
      <c r="AL146" s="94">
        <v>20</v>
      </c>
      <c r="AM146" s="158"/>
      <c r="AN146" s="158"/>
      <c r="AO146" s="158"/>
      <c r="AP146" s="11"/>
      <c r="AQ146" s="11"/>
      <c r="AR146" s="11"/>
      <c r="AS146" s="2">
        <v>1</v>
      </c>
      <c r="AT146" s="58" t="s">
        <v>646</v>
      </c>
      <c r="AU146" s="104"/>
      <c r="AV146" s="51"/>
      <c r="AW146" s="11"/>
      <c r="AX146" s="11"/>
      <c r="AY146" s="158">
        <v>69</v>
      </c>
      <c r="AZ146" s="158"/>
      <c r="BA146" s="158"/>
      <c r="BB146" s="69">
        <v>69</v>
      </c>
      <c r="BC146" s="69"/>
      <c r="BD146" s="271">
        <v>2019</v>
      </c>
      <c r="BE146" s="271">
        <v>2019</v>
      </c>
      <c r="BF146" s="271"/>
    </row>
    <row r="147" spans="1:58" s="204" customFormat="1" ht="18.75" hidden="1" customHeight="1">
      <c r="A147" s="160" t="s">
        <v>503</v>
      </c>
      <c r="B147" s="58" t="s">
        <v>63</v>
      </c>
      <c r="C147" s="122" t="s">
        <v>739</v>
      </c>
      <c r="D147" s="148" t="s">
        <v>740</v>
      </c>
      <c r="E147" s="148"/>
      <c r="F147" s="148"/>
      <c r="G147" s="148"/>
      <c r="H147" s="30" t="s">
        <v>715</v>
      </c>
      <c r="I147" s="30">
        <v>2837</v>
      </c>
      <c r="J147" s="212">
        <v>42918</v>
      </c>
      <c r="K147" s="158"/>
      <c r="L147" s="158">
        <v>1</v>
      </c>
      <c r="M147" s="158"/>
      <c r="N147" s="158"/>
      <c r="O147" s="158"/>
      <c r="P147" s="158">
        <v>74712750</v>
      </c>
      <c r="Q147" s="158"/>
      <c r="R147" s="158"/>
      <c r="S147" s="158"/>
      <c r="T147" s="158">
        <v>33635585</v>
      </c>
      <c r="U147" s="158"/>
      <c r="V147" s="158"/>
      <c r="W147" s="158"/>
      <c r="X147" s="158"/>
      <c r="Y147" s="158">
        <v>41077165</v>
      </c>
      <c r="Z147" s="158">
        <v>10</v>
      </c>
      <c r="AA147" s="158"/>
      <c r="AB147" s="158"/>
      <c r="AC147" s="158"/>
      <c r="AD147" s="158"/>
      <c r="AE147" s="94">
        <f t="shared" si="24"/>
        <v>0</v>
      </c>
      <c r="AF147" s="94"/>
      <c r="AG147" s="94">
        <v>0</v>
      </c>
      <c r="AH147" s="94"/>
      <c r="AI147" s="94"/>
      <c r="AJ147" s="94">
        <f t="shared" si="25"/>
        <v>0</v>
      </c>
      <c r="AK147" s="158">
        <v>877</v>
      </c>
      <c r="AL147" s="94">
        <v>20</v>
      </c>
      <c r="AM147" s="158"/>
      <c r="AN147" s="158"/>
      <c r="AO147" s="158"/>
      <c r="AP147" s="11"/>
      <c r="AQ147" s="11"/>
      <c r="AR147" s="11"/>
      <c r="AS147" s="2">
        <v>1</v>
      </c>
      <c r="AT147" s="58" t="s">
        <v>646</v>
      </c>
      <c r="AU147" s="104"/>
      <c r="AV147" s="51"/>
      <c r="AW147" s="11"/>
      <c r="AX147" s="11"/>
      <c r="AY147" s="158">
        <v>1</v>
      </c>
      <c r="AZ147" s="158"/>
      <c r="BA147" s="158"/>
      <c r="BB147" s="69">
        <v>1</v>
      </c>
      <c r="BC147" s="69"/>
      <c r="BD147" s="271">
        <v>2019</v>
      </c>
      <c r="BE147" s="271">
        <v>2019</v>
      </c>
      <c r="BF147" s="271"/>
    </row>
    <row r="148" spans="1:58" s="204" customFormat="1" ht="18.75" hidden="1" customHeight="1">
      <c r="A148" s="230" t="s">
        <v>503</v>
      </c>
      <c r="B148" s="58" t="s">
        <v>1351</v>
      </c>
      <c r="C148" s="236" t="s">
        <v>741</v>
      </c>
      <c r="D148" s="237" t="s">
        <v>740</v>
      </c>
      <c r="E148" s="237"/>
      <c r="F148" s="237"/>
      <c r="G148" s="237"/>
      <c r="H148" s="30" t="s">
        <v>715</v>
      </c>
      <c r="I148" s="272" t="s">
        <v>1645</v>
      </c>
      <c r="J148" s="215" t="s">
        <v>1646</v>
      </c>
      <c r="K148" s="158"/>
      <c r="L148" s="158">
        <v>101</v>
      </c>
      <c r="M148" s="158"/>
      <c r="N148" s="158"/>
      <c r="O148" s="158"/>
      <c r="P148" s="158">
        <f>7695413250-149425500</f>
        <v>7545987750</v>
      </c>
      <c r="Q148" s="158"/>
      <c r="R148" s="158"/>
      <c r="S148" s="158"/>
      <c r="T148" s="158">
        <v>3329583896</v>
      </c>
      <c r="U148" s="158"/>
      <c r="V148" s="158"/>
      <c r="W148" s="158"/>
      <c r="X148" s="158"/>
      <c r="Y148" s="94">
        <v>4216403854</v>
      </c>
      <c r="Z148" s="158">
        <v>20</v>
      </c>
      <c r="AA148" s="5"/>
      <c r="AB148" s="5"/>
      <c r="AC148" s="5"/>
      <c r="AD148" s="158"/>
      <c r="AE148" s="94">
        <f t="shared" si="24"/>
        <v>0</v>
      </c>
      <c r="AF148" s="94"/>
      <c r="AG148" s="94">
        <v>0</v>
      </c>
      <c r="AH148" s="94"/>
      <c r="AI148" s="94"/>
      <c r="AJ148" s="94">
        <f t="shared" si="25"/>
        <v>0</v>
      </c>
      <c r="AK148" s="158">
        <v>877</v>
      </c>
      <c r="AL148" s="94">
        <v>10</v>
      </c>
      <c r="AM148" s="158"/>
      <c r="AN148" s="158"/>
      <c r="AO148" s="158"/>
      <c r="AP148" s="11"/>
      <c r="AQ148" s="11"/>
      <c r="AR148" s="11"/>
      <c r="AS148" s="2">
        <v>1</v>
      </c>
      <c r="AT148" s="58" t="s">
        <v>646</v>
      </c>
      <c r="AU148" s="104"/>
      <c r="AV148" s="51"/>
      <c r="AW148" s="11"/>
      <c r="AX148" s="11"/>
      <c r="AY148" s="158">
        <v>101</v>
      </c>
      <c r="AZ148" s="158"/>
      <c r="BA148" s="158"/>
      <c r="BB148" s="69">
        <v>101</v>
      </c>
      <c r="BC148" s="69"/>
      <c r="BD148" s="271">
        <v>2019</v>
      </c>
      <c r="BE148" s="271">
        <v>2019</v>
      </c>
      <c r="BF148" s="271"/>
    </row>
    <row r="149" spans="1:58" s="204" customFormat="1" ht="18.75" hidden="1" customHeight="1">
      <c r="A149" s="160" t="s">
        <v>503</v>
      </c>
      <c r="B149" s="58" t="s">
        <v>1351</v>
      </c>
      <c r="C149" s="122" t="s">
        <v>741</v>
      </c>
      <c r="D149" s="148" t="s">
        <v>740</v>
      </c>
      <c r="E149" s="148"/>
      <c r="F149" s="148"/>
      <c r="G149" s="148"/>
      <c r="H149" s="30" t="s">
        <v>715</v>
      </c>
      <c r="I149" s="272" t="s">
        <v>1645</v>
      </c>
      <c r="J149" s="215" t="s">
        <v>1646</v>
      </c>
      <c r="K149" s="158"/>
      <c r="L149" s="158">
        <v>2</v>
      </c>
      <c r="M149" s="158"/>
      <c r="N149" s="158"/>
      <c r="O149" s="158"/>
      <c r="P149" s="158">
        <v>149425500</v>
      </c>
      <c r="Q149" s="158"/>
      <c r="R149" s="158"/>
      <c r="S149" s="158"/>
      <c r="T149" s="158">
        <v>65932354</v>
      </c>
      <c r="U149" s="158">
        <v>20</v>
      </c>
      <c r="V149" s="158"/>
      <c r="W149" s="158"/>
      <c r="X149" s="158"/>
      <c r="Y149" s="94">
        <v>83493146</v>
      </c>
      <c r="Z149" s="158">
        <v>10</v>
      </c>
      <c r="AA149" s="311">
        <v>43678</v>
      </c>
      <c r="AB149" s="577"/>
      <c r="AC149" s="69"/>
      <c r="AD149" s="158"/>
      <c r="AE149" s="94">
        <f t="shared" si="24"/>
        <v>0</v>
      </c>
      <c r="AF149" s="94"/>
      <c r="AG149" s="94">
        <v>0</v>
      </c>
      <c r="AH149" s="94"/>
      <c r="AI149" s="94"/>
      <c r="AJ149" s="94">
        <f t="shared" si="25"/>
        <v>0</v>
      </c>
      <c r="AK149" s="158">
        <v>877</v>
      </c>
      <c r="AL149" s="94">
        <v>20</v>
      </c>
      <c r="AM149" s="158"/>
      <c r="AN149" s="158"/>
      <c r="AO149" s="158"/>
      <c r="AP149" s="11"/>
      <c r="AQ149" s="11"/>
      <c r="AR149" s="11"/>
      <c r="AS149" s="2">
        <v>1</v>
      </c>
      <c r="AT149" s="58" t="s">
        <v>646</v>
      </c>
      <c r="AU149" s="104"/>
      <c r="AV149" s="51"/>
      <c r="AW149" s="11"/>
      <c r="AX149" s="11"/>
      <c r="AY149" s="158">
        <v>2</v>
      </c>
      <c r="AZ149" s="158"/>
      <c r="BA149" s="158"/>
      <c r="BB149" s="69">
        <v>2</v>
      </c>
      <c r="BC149" s="69"/>
      <c r="BD149" s="271">
        <v>2019</v>
      </c>
      <c r="BE149" s="271">
        <v>2019</v>
      </c>
      <c r="BF149" s="271"/>
    </row>
    <row r="150" spans="1:58" s="204" customFormat="1" ht="18.75" hidden="1" customHeight="1">
      <c r="A150" s="248" t="s">
        <v>503</v>
      </c>
      <c r="B150" s="58" t="s">
        <v>1351</v>
      </c>
      <c r="C150" s="258" t="s">
        <v>742</v>
      </c>
      <c r="D150" s="259" t="s">
        <v>746</v>
      </c>
      <c r="E150" s="259"/>
      <c r="F150" s="259"/>
      <c r="G150" s="259"/>
      <c r="H150" s="30" t="s">
        <v>720</v>
      </c>
      <c r="I150" s="30">
        <v>3009</v>
      </c>
      <c r="J150" s="212">
        <v>43091</v>
      </c>
      <c r="K150" s="158"/>
      <c r="L150" s="158">
        <v>37</v>
      </c>
      <c r="M150" s="158"/>
      <c r="N150" s="158"/>
      <c r="O150" s="158"/>
      <c r="P150" s="158">
        <v>2352238161</v>
      </c>
      <c r="Q150" s="158"/>
      <c r="R150" s="158"/>
      <c r="S150" s="158"/>
      <c r="T150" s="158">
        <v>998547697</v>
      </c>
      <c r="U150" s="158"/>
      <c r="V150" s="158"/>
      <c r="W150" s="158"/>
      <c r="X150" s="158"/>
      <c r="Y150" s="94">
        <v>1353690464</v>
      </c>
      <c r="Z150" s="158">
        <v>10</v>
      </c>
      <c r="AA150" s="92"/>
      <c r="AB150" s="92"/>
      <c r="AC150" s="92"/>
      <c r="AD150" s="158"/>
      <c r="AE150" s="94">
        <f t="shared" si="24"/>
        <v>0</v>
      </c>
      <c r="AF150" s="94"/>
      <c r="AG150" s="94">
        <v>0</v>
      </c>
      <c r="AH150" s="94"/>
      <c r="AI150" s="94"/>
      <c r="AJ150" s="94">
        <f t="shared" si="25"/>
        <v>0</v>
      </c>
      <c r="AK150" s="158">
        <v>877</v>
      </c>
      <c r="AL150" s="94">
        <v>20</v>
      </c>
      <c r="AM150" s="158"/>
      <c r="AN150" s="158"/>
      <c r="AO150" s="158"/>
      <c r="AP150" s="158"/>
      <c r="AQ150" s="158"/>
      <c r="AR150" s="158"/>
      <c r="AS150" s="2">
        <v>1</v>
      </c>
      <c r="AT150" s="58" t="s">
        <v>646</v>
      </c>
      <c r="AU150" s="104"/>
      <c r="AV150" s="51"/>
      <c r="AW150" s="158"/>
      <c r="AX150" s="158"/>
      <c r="AY150" s="158">
        <v>37</v>
      </c>
      <c r="AZ150" s="158"/>
      <c r="BA150" s="158"/>
      <c r="BB150" s="69">
        <v>37</v>
      </c>
      <c r="BC150" s="69"/>
      <c r="BD150" s="271">
        <v>2019</v>
      </c>
      <c r="BE150" s="271">
        <v>2019</v>
      </c>
      <c r="BF150" s="271"/>
    </row>
    <row r="151" spans="1:58" s="204" customFormat="1" ht="15" hidden="1" customHeight="1">
      <c r="A151" s="160" t="s">
        <v>503</v>
      </c>
      <c r="B151" s="58" t="s">
        <v>915</v>
      </c>
      <c r="C151" s="29" t="s">
        <v>1372</v>
      </c>
      <c r="D151" s="148" t="s">
        <v>746</v>
      </c>
      <c r="E151" s="148"/>
      <c r="F151" s="148"/>
      <c r="G151" s="148"/>
      <c r="H151" s="30" t="s">
        <v>720</v>
      </c>
      <c r="I151" s="30"/>
      <c r="J151" s="212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94"/>
      <c r="Z151" s="158"/>
      <c r="AA151" s="158"/>
      <c r="AB151" s="158"/>
      <c r="AC151" s="158"/>
      <c r="AD151" s="158"/>
      <c r="AE151" s="94"/>
      <c r="AF151" s="94"/>
      <c r="AG151" s="158"/>
      <c r="AH151" s="158"/>
      <c r="AI151" s="158"/>
      <c r="AJ151" s="158"/>
      <c r="AK151" s="158"/>
      <c r="AL151" s="94">
        <v>10</v>
      </c>
      <c r="AM151" s="158"/>
      <c r="AN151" s="158"/>
      <c r="AO151" s="158"/>
      <c r="AP151" s="158"/>
      <c r="AQ151" s="158"/>
      <c r="AR151" s="158"/>
      <c r="AS151" s="2">
        <v>1</v>
      </c>
      <c r="AT151" s="58" t="s">
        <v>646</v>
      </c>
      <c r="AU151" s="104"/>
      <c r="AV151" s="51"/>
      <c r="AW151" s="158"/>
      <c r="AX151" s="12">
        <v>17</v>
      </c>
      <c r="AY151" s="158"/>
      <c r="AZ151" s="158"/>
      <c r="BA151" s="158"/>
      <c r="BB151" s="69">
        <f>+AX151</f>
        <v>17</v>
      </c>
      <c r="BC151" s="69"/>
      <c r="BD151" s="271">
        <v>2018</v>
      </c>
      <c r="BE151" s="271"/>
      <c r="BF151" s="444">
        <v>2019</v>
      </c>
    </row>
    <row r="152" spans="1:58" s="204" customFormat="1" ht="18.75" hidden="1" customHeight="1">
      <c r="A152" s="160" t="s">
        <v>503</v>
      </c>
      <c r="B152" s="58" t="s">
        <v>1351</v>
      </c>
      <c r="C152" s="122" t="s">
        <v>744</v>
      </c>
      <c r="D152" s="148" t="s">
        <v>746</v>
      </c>
      <c r="E152" s="148"/>
      <c r="F152" s="148"/>
      <c r="G152" s="148"/>
      <c r="H152" s="30" t="s">
        <v>720</v>
      </c>
      <c r="I152" s="82">
        <v>3024</v>
      </c>
      <c r="J152" s="212">
        <v>43091</v>
      </c>
      <c r="K152" s="158"/>
      <c r="L152" s="158">
        <v>20</v>
      </c>
      <c r="M152" s="158"/>
      <c r="N152" s="158"/>
      <c r="O152" s="158"/>
      <c r="P152" s="158">
        <v>1271997787</v>
      </c>
      <c r="Q152" s="158"/>
      <c r="R152" s="158"/>
      <c r="S152" s="158"/>
      <c r="T152" s="158">
        <v>545398519</v>
      </c>
      <c r="U152" s="158"/>
      <c r="V152" s="158"/>
      <c r="W152" s="158"/>
      <c r="X152" s="158"/>
      <c r="Y152" s="94">
        <v>726599268</v>
      </c>
      <c r="Z152" s="158">
        <v>10</v>
      </c>
      <c r="AA152" s="158"/>
      <c r="AB152" s="158"/>
      <c r="AC152" s="158"/>
      <c r="AD152" s="158"/>
      <c r="AE152" s="94">
        <f t="shared" ref="AE152:AE160" si="26">P152-T152-Y152</f>
        <v>0</v>
      </c>
      <c r="AF152" s="94"/>
      <c r="AG152" s="94">
        <v>0</v>
      </c>
      <c r="AH152" s="94"/>
      <c r="AI152" s="94"/>
      <c r="AJ152" s="94">
        <f t="shared" ref="AJ152:AJ155" si="27">AE152+AG152</f>
        <v>0</v>
      </c>
      <c r="AK152" s="158">
        <v>877</v>
      </c>
      <c r="AL152" s="94">
        <v>10</v>
      </c>
      <c r="AM152" s="158"/>
      <c r="AN152" s="158"/>
      <c r="AO152" s="158"/>
      <c r="AP152" s="158"/>
      <c r="AQ152" s="158"/>
      <c r="AR152" s="158"/>
      <c r="AS152" s="2">
        <v>1</v>
      </c>
      <c r="AT152" s="58" t="s">
        <v>646</v>
      </c>
      <c r="AU152" s="104" t="s">
        <v>1343</v>
      </c>
      <c r="AV152" s="51"/>
      <c r="AW152" s="158"/>
      <c r="AX152" s="158"/>
      <c r="AY152" s="158">
        <v>20</v>
      </c>
      <c r="AZ152" s="158"/>
      <c r="BA152" s="158"/>
      <c r="BB152" s="69">
        <v>20</v>
      </c>
      <c r="BC152" s="69"/>
      <c r="BD152" s="271">
        <v>2019</v>
      </c>
      <c r="BE152" s="271">
        <v>2019</v>
      </c>
      <c r="BF152" s="271"/>
    </row>
    <row r="153" spans="1:58" s="204" customFormat="1" ht="18.75" hidden="1" customHeight="1">
      <c r="A153" s="160" t="s">
        <v>503</v>
      </c>
      <c r="B153" s="58" t="s">
        <v>1351</v>
      </c>
      <c r="C153" s="122" t="s">
        <v>744</v>
      </c>
      <c r="D153" s="148" t="s">
        <v>746</v>
      </c>
      <c r="E153" s="148"/>
      <c r="F153" s="148"/>
      <c r="G153" s="148"/>
      <c r="H153" s="30" t="s">
        <v>720</v>
      </c>
      <c r="I153" s="82">
        <v>3024</v>
      </c>
      <c r="J153" s="212">
        <v>43091</v>
      </c>
      <c r="K153" s="158"/>
      <c r="L153" s="158">
        <v>2</v>
      </c>
      <c r="M153" s="158"/>
      <c r="N153" s="158"/>
      <c r="O153" s="158"/>
      <c r="P153" s="158">
        <v>127199779</v>
      </c>
      <c r="Q153" s="158"/>
      <c r="R153" s="158"/>
      <c r="S153" s="158"/>
      <c r="T153" s="158">
        <v>54539852</v>
      </c>
      <c r="U153" s="158"/>
      <c r="V153" s="158"/>
      <c r="W153" s="158"/>
      <c r="X153" s="158"/>
      <c r="Y153" s="94">
        <v>72659927</v>
      </c>
      <c r="Z153" s="158"/>
      <c r="AA153" s="158"/>
      <c r="AB153" s="158"/>
      <c r="AC153" s="158"/>
      <c r="AD153" s="158"/>
      <c r="AE153" s="94">
        <f t="shared" si="26"/>
        <v>0</v>
      </c>
      <c r="AF153" s="94"/>
      <c r="AG153" s="94">
        <v>0</v>
      </c>
      <c r="AH153" s="94"/>
      <c r="AI153" s="94"/>
      <c r="AJ153" s="94">
        <f t="shared" si="27"/>
        <v>0</v>
      </c>
      <c r="AK153" s="158">
        <v>877</v>
      </c>
      <c r="AL153" s="94">
        <v>10</v>
      </c>
      <c r="AM153" s="158"/>
      <c r="AN153" s="158"/>
      <c r="AO153" s="158"/>
      <c r="AP153" s="158"/>
      <c r="AQ153" s="158"/>
      <c r="AR153" s="158"/>
      <c r="AS153" s="2">
        <v>1</v>
      </c>
      <c r="AT153" s="58" t="s">
        <v>646</v>
      </c>
      <c r="AU153" s="104" t="s">
        <v>1343</v>
      </c>
      <c r="AV153" s="51"/>
      <c r="AW153" s="158"/>
      <c r="AX153" s="158"/>
      <c r="AY153" s="158">
        <v>2</v>
      </c>
      <c r="AZ153" s="158"/>
      <c r="BA153" s="158"/>
      <c r="BB153" s="69">
        <v>2</v>
      </c>
      <c r="BC153" s="69"/>
      <c r="BD153" s="271">
        <v>2019</v>
      </c>
      <c r="BE153" s="271">
        <v>2019</v>
      </c>
      <c r="BF153" s="271"/>
    </row>
    <row r="154" spans="1:58" s="204" customFormat="1" ht="18.75" customHeight="1">
      <c r="A154" s="160" t="s">
        <v>503</v>
      </c>
      <c r="B154" s="58" t="s">
        <v>63</v>
      </c>
      <c r="C154" s="122" t="s">
        <v>747</v>
      </c>
      <c r="D154" s="148" t="s">
        <v>69</v>
      </c>
      <c r="E154" s="148"/>
      <c r="F154" s="148"/>
      <c r="G154" s="148"/>
      <c r="H154" s="30" t="s">
        <v>731</v>
      </c>
      <c r="I154" s="30">
        <v>3129</v>
      </c>
      <c r="J154" s="212">
        <v>43098</v>
      </c>
      <c r="K154" s="158"/>
      <c r="L154" s="158"/>
      <c r="M154" s="158">
        <v>31</v>
      </c>
      <c r="N154" s="158"/>
      <c r="O154" s="158">
        <v>31</v>
      </c>
      <c r="P154" s="158">
        <v>2147169031</v>
      </c>
      <c r="Q154" s="158"/>
      <c r="R154" s="158"/>
      <c r="S154" s="158"/>
      <c r="T154" s="158">
        <v>943652044</v>
      </c>
      <c r="U154" s="158"/>
      <c r="V154" s="158"/>
      <c r="W154" s="158"/>
      <c r="X154" s="158"/>
      <c r="Y154" s="94">
        <v>1203516987</v>
      </c>
      <c r="Z154" s="158"/>
      <c r="AA154" s="158"/>
      <c r="AB154" s="158"/>
      <c r="AC154" s="158"/>
      <c r="AD154" s="158"/>
      <c r="AE154" s="94">
        <f t="shared" si="26"/>
        <v>0</v>
      </c>
      <c r="AF154" s="94"/>
      <c r="AG154" s="94">
        <v>0</v>
      </c>
      <c r="AH154" s="94"/>
      <c r="AI154" s="94"/>
      <c r="AJ154" s="94">
        <f t="shared" si="27"/>
        <v>0</v>
      </c>
      <c r="AK154" s="158">
        <v>877</v>
      </c>
      <c r="AL154" s="94"/>
      <c r="AM154" s="158"/>
      <c r="AN154" s="158"/>
      <c r="AO154" s="158"/>
      <c r="AP154" s="158"/>
      <c r="AQ154" s="158">
        <v>31</v>
      </c>
      <c r="AR154" s="158"/>
      <c r="AS154" s="2">
        <v>0.63519999999999999</v>
      </c>
      <c r="AT154" s="58" t="s">
        <v>986</v>
      </c>
      <c r="AU154" s="104"/>
      <c r="AV154" s="51"/>
      <c r="AW154" s="158"/>
      <c r="AX154" s="158"/>
      <c r="AY154" s="158"/>
      <c r="AZ154" s="158"/>
      <c r="BA154" s="158"/>
      <c r="BB154" s="69"/>
      <c r="BC154" s="69"/>
      <c r="BD154" s="271"/>
      <c r="BE154" s="271">
        <v>2019</v>
      </c>
      <c r="BF154" s="271">
        <v>2020</v>
      </c>
    </row>
    <row r="155" spans="1:58" s="204" customFormat="1" ht="18.75" hidden="1" customHeight="1">
      <c r="A155" s="230" t="s">
        <v>503</v>
      </c>
      <c r="B155" s="58" t="s">
        <v>63</v>
      </c>
      <c r="C155" s="28" t="s">
        <v>989</v>
      </c>
      <c r="D155" s="237" t="s">
        <v>67</v>
      </c>
      <c r="E155" s="237"/>
      <c r="F155" s="237"/>
      <c r="G155" s="237"/>
      <c r="H155" s="30" t="s">
        <v>968</v>
      </c>
      <c r="I155" s="30">
        <v>561</v>
      </c>
      <c r="J155" s="212">
        <v>43175</v>
      </c>
      <c r="K155" s="158">
        <f>99-2</f>
        <v>97</v>
      </c>
      <c r="L155" s="158">
        <v>97</v>
      </c>
      <c r="M155" s="158"/>
      <c r="N155" s="158"/>
      <c r="O155" s="158"/>
      <c r="P155" s="158">
        <f>6226530874-125788503</f>
        <v>6100742371</v>
      </c>
      <c r="Q155" s="158"/>
      <c r="R155" s="158"/>
      <c r="S155" s="158"/>
      <c r="T155" s="158">
        <v>2706125777</v>
      </c>
      <c r="U155" s="158">
        <v>10</v>
      </c>
      <c r="V155" s="158"/>
      <c r="W155" s="158"/>
      <c r="X155" s="158"/>
      <c r="Y155" s="94">
        <v>3394616594</v>
      </c>
      <c r="Z155" s="158">
        <v>10</v>
      </c>
      <c r="AA155" s="5"/>
      <c r="AB155" s="5"/>
      <c r="AC155" s="5"/>
      <c r="AD155" s="158"/>
      <c r="AE155" s="94">
        <f t="shared" si="26"/>
        <v>0</v>
      </c>
      <c r="AF155" s="94"/>
      <c r="AG155" s="94">
        <v>0</v>
      </c>
      <c r="AH155" s="94"/>
      <c r="AI155" s="94"/>
      <c r="AJ155" s="94">
        <f t="shared" si="27"/>
        <v>0</v>
      </c>
      <c r="AK155" s="158">
        <v>877</v>
      </c>
      <c r="AL155" s="94">
        <v>10</v>
      </c>
      <c r="AM155" s="158"/>
      <c r="AN155" s="158"/>
      <c r="AO155" s="158"/>
      <c r="AP155" s="158"/>
      <c r="AQ155" s="158"/>
      <c r="AR155" s="158"/>
      <c r="AS155" s="2">
        <v>1</v>
      </c>
      <c r="AT155" s="58" t="s">
        <v>646</v>
      </c>
      <c r="AU155" s="104"/>
      <c r="AV155" s="51"/>
      <c r="AW155" s="158"/>
      <c r="AX155" s="158"/>
      <c r="AY155" s="158">
        <v>97</v>
      </c>
      <c r="AZ155" s="158"/>
      <c r="BA155" s="158"/>
      <c r="BB155" s="69">
        <v>97</v>
      </c>
      <c r="BC155" s="69"/>
      <c r="BD155" s="271">
        <v>2019</v>
      </c>
      <c r="BE155" s="271">
        <v>2019</v>
      </c>
      <c r="BF155" s="271"/>
    </row>
    <row r="156" spans="1:58" s="204" customFormat="1" ht="18.75" customHeight="1">
      <c r="A156" s="160" t="s">
        <v>503</v>
      </c>
      <c r="B156" s="58" t="s">
        <v>63</v>
      </c>
      <c r="C156" s="58" t="s">
        <v>989</v>
      </c>
      <c r="D156" s="148" t="s">
        <v>67</v>
      </c>
      <c r="E156" s="148"/>
      <c r="F156" s="148"/>
      <c r="G156" s="148"/>
      <c r="H156" s="30" t="s">
        <v>968</v>
      </c>
      <c r="I156" s="226">
        <v>561</v>
      </c>
      <c r="J156" s="212">
        <v>43175</v>
      </c>
      <c r="K156" s="158"/>
      <c r="L156" s="158"/>
      <c r="M156" s="158">
        <v>1</v>
      </c>
      <c r="N156" s="158"/>
      <c r="O156" s="158">
        <v>1</v>
      </c>
      <c r="P156" s="158">
        <v>62894251</v>
      </c>
      <c r="Q156" s="158"/>
      <c r="R156" s="158"/>
      <c r="S156" s="158"/>
      <c r="T156" s="158"/>
      <c r="U156" s="158"/>
      <c r="V156" s="158"/>
      <c r="W156" s="158"/>
      <c r="X156" s="158"/>
      <c r="Y156" s="94"/>
      <c r="Z156" s="69">
        <v>10</v>
      </c>
      <c r="AA156" s="69"/>
      <c r="AB156" s="69"/>
      <c r="AC156" s="69"/>
      <c r="AD156" s="158"/>
      <c r="AE156" s="158">
        <f t="shared" si="26"/>
        <v>62894251</v>
      </c>
      <c r="AF156" s="158"/>
      <c r="AG156" s="94">
        <v>0</v>
      </c>
      <c r="AH156" s="94"/>
      <c r="AI156" s="94"/>
      <c r="AJ156" s="158">
        <f>AE156+AG156</f>
        <v>62894251</v>
      </c>
      <c r="AK156" s="158">
        <v>877</v>
      </c>
      <c r="AL156" s="94">
        <v>10</v>
      </c>
      <c r="AM156" s="158">
        <v>1</v>
      </c>
      <c r="AN156" s="158"/>
      <c r="AO156" s="158"/>
      <c r="AP156" s="158"/>
      <c r="AQ156" s="158"/>
      <c r="AR156" s="158"/>
      <c r="AS156" s="2">
        <v>0</v>
      </c>
      <c r="AT156" s="58" t="s">
        <v>521</v>
      </c>
      <c r="AU156" s="104" t="s">
        <v>2158</v>
      </c>
      <c r="AV156" s="51"/>
      <c r="AW156" s="158"/>
      <c r="AX156" s="158"/>
      <c r="AY156" s="158"/>
      <c r="AZ156" s="158"/>
      <c r="BA156" s="158"/>
      <c r="BB156" s="69"/>
      <c r="BC156" s="69"/>
      <c r="BD156" s="271"/>
      <c r="BE156" s="271">
        <v>2019</v>
      </c>
      <c r="BF156" s="271">
        <v>2020</v>
      </c>
    </row>
    <row r="157" spans="1:58" s="204" customFormat="1" ht="18.75" customHeight="1">
      <c r="A157" s="160" t="s">
        <v>503</v>
      </c>
      <c r="B157" s="58" t="s">
        <v>63</v>
      </c>
      <c r="C157" s="58" t="s">
        <v>989</v>
      </c>
      <c r="D157" s="148" t="s">
        <v>67</v>
      </c>
      <c r="E157" s="148"/>
      <c r="F157" s="148"/>
      <c r="G157" s="148"/>
      <c r="H157" s="30" t="s">
        <v>968</v>
      </c>
      <c r="I157" s="226">
        <v>561</v>
      </c>
      <c r="J157" s="212">
        <v>43175</v>
      </c>
      <c r="K157" s="158"/>
      <c r="L157" s="158"/>
      <c r="M157" s="158">
        <v>1</v>
      </c>
      <c r="N157" s="69"/>
      <c r="O157" s="69">
        <v>1</v>
      </c>
      <c r="P157" s="69">
        <v>62894252</v>
      </c>
      <c r="Q157" s="158"/>
      <c r="R157" s="158"/>
      <c r="S157" s="61"/>
      <c r="T157" s="5"/>
      <c r="U157" s="5"/>
      <c r="V157" s="5"/>
      <c r="W157" s="5"/>
      <c r="X157" s="5"/>
      <c r="Y157" s="233"/>
      <c r="Z157" s="69">
        <v>10</v>
      </c>
      <c r="AA157" s="69"/>
      <c r="AB157" s="69"/>
      <c r="AC157" s="69"/>
      <c r="AD157" s="158"/>
      <c r="AE157" s="158">
        <f t="shared" si="26"/>
        <v>62894252</v>
      </c>
      <c r="AF157" s="158"/>
      <c r="AG157" s="94">
        <v>0</v>
      </c>
      <c r="AH157" s="94"/>
      <c r="AI157" s="94"/>
      <c r="AJ157" s="158">
        <f>AE157+AG157</f>
        <v>62894252</v>
      </c>
      <c r="AK157" s="158">
        <v>877</v>
      </c>
      <c r="AL157" s="94">
        <v>10</v>
      </c>
      <c r="AM157" s="158">
        <v>1</v>
      </c>
      <c r="AN157" s="158"/>
      <c r="AO157" s="158"/>
      <c r="AP157" s="158"/>
      <c r="AQ157" s="158"/>
      <c r="AR157" s="158"/>
      <c r="AS157" s="2">
        <v>0</v>
      </c>
      <c r="AT157" s="58" t="s">
        <v>521</v>
      </c>
      <c r="AU157" s="7" t="s">
        <v>2158</v>
      </c>
      <c r="AV157" s="51"/>
      <c r="AW157" s="158"/>
      <c r="AX157" s="158"/>
      <c r="AY157" s="158"/>
      <c r="AZ157" s="158"/>
      <c r="BA157" s="158"/>
      <c r="BB157" s="69"/>
      <c r="BC157" s="69"/>
      <c r="BD157" s="271"/>
      <c r="BE157" s="271">
        <v>2019</v>
      </c>
      <c r="BF157" s="271">
        <v>2020</v>
      </c>
    </row>
    <row r="158" spans="1:58" s="204" customFormat="1" ht="18.75" hidden="1" customHeight="1">
      <c r="A158" s="248" t="s">
        <v>503</v>
      </c>
      <c r="B158" s="58" t="s">
        <v>62</v>
      </c>
      <c r="C158" s="251" t="s">
        <v>1018</v>
      </c>
      <c r="D158" s="259" t="s">
        <v>1336</v>
      </c>
      <c r="E158" s="259"/>
      <c r="F158" s="259"/>
      <c r="G158" s="259"/>
      <c r="H158" s="30" t="s">
        <v>968</v>
      </c>
      <c r="I158" s="30">
        <v>1180</v>
      </c>
      <c r="J158" s="212">
        <v>43251</v>
      </c>
      <c r="K158" s="158">
        <v>50</v>
      </c>
      <c r="L158" s="158">
        <v>50</v>
      </c>
      <c r="M158" s="158"/>
      <c r="N158" s="69"/>
      <c r="O158" s="69"/>
      <c r="P158" s="69">
        <v>3017365748</v>
      </c>
      <c r="Q158" s="320"/>
      <c r="R158" s="158"/>
      <c r="S158" s="61"/>
      <c r="T158" s="472">
        <v>1258999334</v>
      </c>
      <c r="U158" s="158"/>
      <c r="V158" s="158"/>
      <c r="W158" s="158"/>
      <c r="X158" s="158"/>
      <c r="Y158" s="473">
        <v>1758366414</v>
      </c>
      <c r="Z158" s="61"/>
      <c r="AA158" s="92"/>
      <c r="AB158" s="92"/>
      <c r="AC158" s="92"/>
      <c r="AD158" s="158"/>
      <c r="AE158" s="94">
        <f t="shared" si="26"/>
        <v>0</v>
      </c>
      <c r="AF158" s="94"/>
      <c r="AG158" s="94">
        <v>0</v>
      </c>
      <c r="AH158" s="94"/>
      <c r="AI158" s="94"/>
      <c r="AJ158" s="94">
        <f t="shared" ref="AJ158:AJ167" si="28">AE158+AG158</f>
        <v>0</v>
      </c>
      <c r="AK158" s="158">
        <v>877</v>
      </c>
      <c r="AL158" s="94"/>
      <c r="AM158" s="158"/>
      <c r="AN158" s="158"/>
      <c r="AO158" s="158"/>
      <c r="AP158" s="158"/>
      <c r="AQ158" s="158"/>
      <c r="AR158" s="158"/>
      <c r="AS158" s="2">
        <v>1</v>
      </c>
      <c r="AT158" s="58" t="s">
        <v>646</v>
      </c>
      <c r="AU158" s="7" t="s">
        <v>1343</v>
      </c>
      <c r="AV158" s="51"/>
      <c r="AW158" s="158"/>
      <c r="AX158" s="158"/>
      <c r="AY158" s="158">
        <v>50</v>
      </c>
      <c r="AZ158" s="158"/>
      <c r="BA158" s="158"/>
      <c r="BB158" s="69">
        <v>50</v>
      </c>
      <c r="BC158" s="69"/>
      <c r="BD158" s="271">
        <v>2019</v>
      </c>
      <c r="BE158" s="271">
        <v>2019</v>
      </c>
      <c r="BF158" s="271"/>
    </row>
    <row r="159" spans="1:58" s="204" customFormat="1" ht="18.75" hidden="1" customHeight="1">
      <c r="A159" s="230" t="s">
        <v>503</v>
      </c>
      <c r="B159" s="58" t="s">
        <v>62</v>
      </c>
      <c r="C159" s="58" t="s">
        <v>1065</v>
      </c>
      <c r="D159" s="148" t="s">
        <v>1336</v>
      </c>
      <c r="E159" s="148"/>
      <c r="F159" s="148"/>
      <c r="G159" s="148"/>
      <c r="H159" s="30" t="s">
        <v>1058</v>
      </c>
      <c r="I159" s="30">
        <v>27</v>
      </c>
      <c r="J159" s="212">
        <v>43363</v>
      </c>
      <c r="K159" s="158">
        <v>40</v>
      </c>
      <c r="L159" s="158">
        <v>40</v>
      </c>
      <c r="M159" s="158"/>
      <c r="N159" s="69"/>
      <c r="O159" s="69"/>
      <c r="P159" s="69">
        <v>2370757505</v>
      </c>
      <c r="Q159" s="321"/>
      <c r="R159" s="158"/>
      <c r="S159" s="61"/>
      <c r="T159" s="92">
        <v>988872691</v>
      </c>
      <c r="U159" s="92">
        <v>10</v>
      </c>
      <c r="V159" s="92"/>
      <c r="W159" s="92"/>
      <c r="X159" s="92"/>
      <c r="Y159" s="254">
        <v>1381884814</v>
      </c>
      <c r="Z159" s="158">
        <v>10</v>
      </c>
      <c r="AA159" s="311">
        <v>43525</v>
      </c>
      <c r="AB159" s="311"/>
      <c r="AC159" s="158"/>
      <c r="AD159" s="158"/>
      <c r="AE159" s="94">
        <f t="shared" si="26"/>
        <v>0</v>
      </c>
      <c r="AF159" s="94"/>
      <c r="AG159" s="94">
        <v>0</v>
      </c>
      <c r="AH159" s="94"/>
      <c r="AI159" s="94"/>
      <c r="AJ159" s="94">
        <f t="shared" si="28"/>
        <v>0</v>
      </c>
      <c r="AK159" s="158">
        <v>877</v>
      </c>
      <c r="AL159" s="94">
        <v>10</v>
      </c>
      <c r="AM159" s="158"/>
      <c r="AN159" s="158"/>
      <c r="AO159" s="158"/>
      <c r="AP159" s="158"/>
      <c r="AQ159" s="158"/>
      <c r="AR159" s="158"/>
      <c r="AS159" s="2">
        <v>1</v>
      </c>
      <c r="AT159" s="58" t="s">
        <v>646</v>
      </c>
      <c r="AU159" s="104"/>
      <c r="AV159" s="51"/>
      <c r="AW159" s="158"/>
      <c r="AX159" s="158"/>
      <c r="AY159" s="158">
        <v>40</v>
      </c>
      <c r="AZ159" s="158"/>
      <c r="BA159" s="158"/>
      <c r="BB159" s="69">
        <v>40</v>
      </c>
      <c r="BC159" s="69"/>
      <c r="BD159" s="271">
        <v>2019</v>
      </c>
      <c r="BE159" s="271">
        <v>2019</v>
      </c>
      <c r="BF159" s="271"/>
    </row>
    <row r="160" spans="1:58" s="204" customFormat="1" ht="18.75" hidden="1" customHeight="1">
      <c r="A160" s="160" t="s">
        <v>503</v>
      </c>
      <c r="B160" s="58" t="s">
        <v>63</v>
      </c>
      <c r="C160" s="58" t="s">
        <v>1241</v>
      </c>
      <c r="D160" s="148" t="s">
        <v>1021</v>
      </c>
      <c r="E160" s="148"/>
      <c r="F160" s="148"/>
      <c r="G160" s="148"/>
      <c r="H160" s="30" t="s">
        <v>1232</v>
      </c>
      <c r="I160" s="30">
        <v>475</v>
      </c>
      <c r="J160" s="212">
        <v>43537</v>
      </c>
      <c r="K160" s="158"/>
      <c r="L160" s="158">
        <v>40</v>
      </c>
      <c r="M160" s="158"/>
      <c r="N160" s="69"/>
      <c r="O160" s="69"/>
      <c r="P160" s="69">
        <v>3183076232</v>
      </c>
      <c r="Q160" s="322"/>
      <c r="R160" s="158"/>
      <c r="S160" s="61"/>
      <c r="T160" s="158">
        <v>1715103392</v>
      </c>
      <c r="U160" s="158">
        <v>10</v>
      </c>
      <c r="V160" s="311">
        <v>43525</v>
      </c>
      <c r="W160" s="311"/>
      <c r="X160" s="311"/>
      <c r="Y160" s="94">
        <v>1467972840</v>
      </c>
      <c r="Z160" s="69">
        <v>10</v>
      </c>
      <c r="AA160" s="311">
        <v>43647</v>
      </c>
      <c r="AB160" s="577"/>
      <c r="AC160" s="69"/>
      <c r="AD160" s="158"/>
      <c r="AE160" s="94">
        <f t="shared" si="26"/>
        <v>0</v>
      </c>
      <c r="AF160" s="94"/>
      <c r="AG160" s="94">
        <v>0</v>
      </c>
      <c r="AH160" s="94"/>
      <c r="AI160" s="94"/>
      <c r="AJ160" s="94">
        <f t="shared" si="28"/>
        <v>0</v>
      </c>
      <c r="AK160" s="158">
        <v>877</v>
      </c>
      <c r="AL160" s="94">
        <v>10</v>
      </c>
      <c r="AM160" s="158"/>
      <c r="AN160" s="158"/>
      <c r="AO160" s="158"/>
      <c r="AP160" s="158"/>
      <c r="AQ160" s="158"/>
      <c r="AR160" s="158"/>
      <c r="AS160" s="2">
        <v>1</v>
      </c>
      <c r="AT160" s="58" t="s">
        <v>646</v>
      </c>
      <c r="AU160" s="104" t="s">
        <v>1839</v>
      </c>
      <c r="AV160" s="51"/>
      <c r="AW160" s="158"/>
      <c r="AX160" s="158"/>
      <c r="AY160" s="158">
        <v>40</v>
      </c>
      <c r="AZ160" s="158"/>
      <c r="BA160" s="158"/>
      <c r="BB160" s="69">
        <v>40</v>
      </c>
      <c r="BC160" s="69"/>
      <c r="BD160" s="271">
        <v>2019</v>
      </c>
      <c r="BE160" s="271">
        <v>2019</v>
      </c>
      <c r="BF160" s="271"/>
    </row>
    <row r="161" spans="1:58 16282:16373" s="204" customFormat="1" ht="26.25" customHeight="1">
      <c r="A161" s="160" t="s">
        <v>503</v>
      </c>
      <c r="B161" s="58" t="s">
        <v>63</v>
      </c>
      <c r="C161" s="487" t="s">
        <v>1558</v>
      </c>
      <c r="D161" s="489" t="s">
        <v>1561</v>
      </c>
      <c r="E161" s="489"/>
      <c r="F161" s="489"/>
      <c r="G161" s="489"/>
      <c r="H161" s="30" t="s">
        <v>1553</v>
      </c>
      <c r="I161" s="30">
        <v>1643</v>
      </c>
      <c r="J161" s="212">
        <v>43728</v>
      </c>
      <c r="K161" s="158"/>
      <c r="L161" s="158"/>
      <c r="M161" s="158">
        <f>38-1</f>
        <v>37</v>
      </c>
      <c r="N161" s="158">
        <v>37</v>
      </c>
      <c r="O161" s="158"/>
      <c r="P161" s="158">
        <f>3087297739-81244677</f>
        <v>3006053062</v>
      </c>
      <c r="Q161" s="158"/>
      <c r="R161" s="158"/>
      <c r="S161" s="158"/>
      <c r="T161" s="158">
        <v>1638591251</v>
      </c>
      <c r="U161" s="158">
        <v>20</v>
      </c>
      <c r="V161" s="311">
        <v>43739</v>
      </c>
      <c r="W161" s="311"/>
      <c r="X161" s="311"/>
      <c r="Y161" s="625">
        <v>1367461811</v>
      </c>
      <c r="Z161" s="495">
        <v>20</v>
      </c>
      <c r="AA161" s="484">
        <v>43889</v>
      </c>
      <c r="AB161" s="616"/>
      <c r="AC161" s="284"/>
      <c r="AD161" s="158"/>
      <c r="AE161" s="94">
        <f>P161-T161-Y161-AG161</f>
        <v>0</v>
      </c>
      <c r="AF161" s="94"/>
      <c r="AG161" s="158">
        <f>P161-T161-Y161</f>
        <v>0</v>
      </c>
      <c r="AH161" s="158"/>
      <c r="AI161" s="158"/>
      <c r="AJ161" s="158">
        <f t="shared" si="28"/>
        <v>0</v>
      </c>
      <c r="AK161" s="158">
        <v>877</v>
      </c>
      <c r="AL161" s="94">
        <v>20</v>
      </c>
      <c r="AM161" s="158"/>
      <c r="AN161" s="158">
        <v>37</v>
      </c>
      <c r="AO161" s="158"/>
      <c r="AP161" s="158"/>
      <c r="AQ161" s="158"/>
      <c r="AR161" s="158"/>
      <c r="AS161" s="493">
        <v>0</v>
      </c>
      <c r="AT161" s="485" t="s">
        <v>38</v>
      </c>
      <c r="AU161" s="104" t="s">
        <v>2215</v>
      </c>
      <c r="AV161" s="51"/>
      <c r="AW161" s="158"/>
      <c r="AX161" s="158"/>
      <c r="AY161" s="158"/>
      <c r="AZ161" s="158"/>
      <c r="BA161" s="158"/>
      <c r="BB161" s="69"/>
      <c r="BC161" s="69"/>
      <c r="BD161" s="271"/>
      <c r="BE161" s="271">
        <v>2019</v>
      </c>
      <c r="BF161" s="271">
        <v>2020</v>
      </c>
    </row>
    <row r="162" spans="1:58 16282:16373" s="204" customFormat="1" ht="18.75" customHeight="1">
      <c r="A162" s="160" t="s">
        <v>503</v>
      </c>
      <c r="B162" s="58" t="s">
        <v>63</v>
      </c>
      <c r="C162" s="58" t="s">
        <v>1558</v>
      </c>
      <c r="D162" s="148" t="s">
        <v>1561</v>
      </c>
      <c r="E162" s="148"/>
      <c r="F162" s="148"/>
      <c r="G162" s="148"/>
      <c r="H162" s="30" t="s">
        <v>1553</v>
      </c>
      <c r="I162" s="30">
        <v>1643</v>
      </c>
      <c r="J162" s="212">
        <v>43728</v>
      </c>
      <c r="K162" s="158"/>
      <c r="L162" s="158"/>
      <c r="M162" s="158">
        <v>1</v>
      </c>
      <c r="N162" s="158">
        <v>1</v>
      </c>
      <c r="O162" s="158"/>
      <c r="P162" s="158">
        <v>81244677</v>
      </c>
      <c r="Q162" s="158"/>
      <c r="R162" s="158"/>
      <c r="S162" s="158"/>
      <c r="T162" s="158"/>
      <c r="U162" s="158"/>
      <c r="V162" s="311"/>
      <c r="W162" s="311"/>
      <c r="X162" s="311"/>
      <c r="Y162" s="94"/>
      <c r="Z162" s="69"/>
      <c r="AA162" s="284"/>
      <c r="AB162" s="284"/>
      <c r="AC162" s="284"/>
      <c r="AD162" s="158"/>
      <c r="AE162" s="158">
        <f>P162-T162-Y162-AG162</f>
        <v>81244677</v>
      </c>
      <c r="AF162" s="158"/>
      <c r="AG162" s="94">
        <v>0</v>
      </c>
      <c r="AH162" s="94"/>
      <c r="AI162" s="94"/>
      <c r="AJ162" s="158">
        <f t="shared" si="28"/>
        <v>81244677</v>
      </c>
      <c r="AK162" s="158">
        <v>877</v>
      </c>
      <c r="AL162" s="94">
        <v>10</v>
      </c>
      <c r="AM162" s="158">
        <v>1</v>
      </c>
      <c r="AN162" s="158"/>
      <c r="AO162" s="158"/>
      <c r="AP162" s="158"/>
      <c r="AQ162" s="158"/>
      <c r="AR162" s="158"/>
      <c r="AS162" s="2">
        <v>0</v>
      </c>
      <c r="AT162" s="58" t="s">
        <v>521</v>
      </c>
      <c r="AU162" s="104" t="s">
        <v>2208</v>
      </c>
      <c r="AV162" s="51"/>
      <c r="AW162" s="158"/>
      <c r="AX162" s="158"/>
      <c r="AY162" s="158"/>
      <c r="AZ162" s="158"/>
      <c r="BA162" s="158"/>
      <c r="BB162" s="69"/>
      <c r="BC162" s="69"/>
      <c r="BD162" s="271"/>
      <c r="BE162" s="271">
        <v>2019</v>
      </c>
      <c r="BF162" s="271">
        <v>2020</v>
      </c>
    </row>
    <row r="163" spans="1:58 16282:16373" s="204" customFormat="1" ht="26.25" customHeight="1">
      <c r="A163" s="160" t="s">
        <v>503</v>
      </c>
      <c r="B163" s="58" t="s">
        <v>1563</v>
      </c>
      <c r="C163" s="487" t="s">
        <v>1559</v>
      </c>
      <c r="D163" s="489" t="s">
        <v>1562</v>
      </c>
      <c r="E163" s="489"/>
      <c r="F163" s="489"/>
      <c r="G163" s="489"/>
      <c r="H163" s="30" t="s">
        <v>1553</v>
      </c>
      <c r="I163" s="30">
        <v>1648</v>
      </c>
      <c r="J163" s="212">
        <v>43728</v>
      </c>
      <c r="K163" s="158"/>
      <c r="L163" s="158"/>
      <c r="M163" s="158">
        <v>44</v>
      </c>
      <c r="N163" s="158">
        <v>44</v>
      </c>
      <c r="O163" s="158"/>
      <c r="P163" s="158">
        <v>3666299351</v>
      </c>
      <c r="Q163" s="158"/>
      <c r="R163" s="158"/>
      <c r="S163" s="158"/>
      <c r="T163" s="94">
        <v>2014607513</v>
      </c>
      <c r="U163" s="158">
        <v>20</v>
      </c>
      <c r="V163" s="311">
        <v>43739</v>
      </c>
      <c r="W163" s="311"/>
      <c r="X163" s="311"/>
      <c r="Y163" s="175">
        <v>1651691838</v>
      </c>
      <c r="Z163" s="495">
        <v>20</v>
      </c>
      <c r="AA163" s="484">
        <v>43980</v>
      </c>
      <c r="AB163" s="581"/>
      <c r="AC163" s="284"/>
      <c r="AD163" s="158"/>
      <c r="AE163" s="94">
        <f>P163-T163-Y163-AG163</f>
        <v>0</v>
      </c>
      <c r="AF163" s="94"/>
      <c r="AG163" s="158">
        <f>P163-T163-Y163</f>
        <v>0</v>
      </c>
      <c r="AH163" s="158"/>
      <c r="AI163" s="158"/>
      <c r="AJ163" s="158">
        <f t="shared" si="28"/>
        <v>0</v>
      </c>
      <c r="AK163" s="158">
        <v>877</v>
      </c>
      <c r="AL163" s="94">
        <v>20</v>
      </c>
      <c r="AM163" s="158"/>
      <c r="AN163" s="158">
        <v>44</v>
      </c>
      <c r="AO163" s="158"/>
      <c r="AP163" s="158"/>
      <c r="AQ163" s="158"/>
      <c r="AR163" s="158"/>
      <c r="AS163" s="493">
        <v>0</v>
      </c>
      <c r="AT163" s="485" t="s">
        <v>38</v>
      </c>
      <c r="AU163" s="104" t="s">
        <v>1565</v>
      </c>
      <c r="AV163" s="51"/>
      <c r="AW163" s="158"/>
      <c r="AX163" s="158"/>
      <c r="AY163" s="158"/>
      <c r="AZ163" s="158"/>
      <c r="BA163" s="158"/>
      <c r="BB163" s="69"/>
      <c r="BC163" s="69"/>
      <c r="BD163" s="271"/>
      <c r="BE163" s="271">
        <v>2019</v>
      </c>
      <c r="BF163" s="271">
        <v>2020</v>
      </c>
    </row>
    <row r="164" spans="1:58 16282:16373" s="204" customFormat="1" ht="30.75" customHeight="1">
      <c r="A164" s="160" t="s">
        <v>503</v>
      </c>
      <c r="B164" s="58" t="s">
        <v>63</v>
      </c>
      <c r="C164" s="487" t="s">
        <v>1560</v>
      </c>
      <c r="D164" s="489" t="s">
        <v>1564</v>
      </c>
      <c r="E164" s="489"/>
      <c r="F164" s="489"/>
      <c r="G164" s="489"/>
      <c r="H164" s="30" t="s">
        <v>1553</v>
      </c>
      <c r="I164" s="30">
        <v>1666</v>
      </c>
      <c r="J164" s="212">
        <v>43731</v>
      </c>
      <c r="K164" s="158"/>
      <c r="L164" s="158"/>
      <c r="M164" s="158">
        <v>21</v>
      </c>
      <c r="N164" s="158">
        <v>21</v>
      </c>
      <c r="O164" s="158"/>
      <c r="P164" s="158">
        <v>1749885529</v>
      </c>
      <c r="Q164" s="158"/>
      <c r="R164" s="158"/>
      <c r="S164" s="158"/>
      <c r="T164" s="158">
        <f>945315744+10656788</f>
        <v>955972532</v>
      </c>
      <c r="U164" s="158">
        <v>20</v>
      </c>
      <c r="V164" s="311">
        <v>43770</v>
      </c>
      <c r="W164" s="311"/>
      <c r="X164" s="311"/>
      <c r="Y164" s="611">
        <v>793906806</v>
      </c>
      <c r="Z164" s="495">
        <v>20</v>
      </c>
      <c r="AA164" s="484">
        <v>43951</v>
      </c>
      <c r="AB164" s="581"/>
      <c r="AC164" s="284"/>
      <c r="AD164" s="158"/>
      <c r="AE164" s="94">
        <f>P164-T164-Y164-AG164</f>
        <v>0</v>
      </c>
      <c r="AF164" s="94"/>
      <c r="AG164" s="75">
        <f>P164-T164-Y164</f>
        <v>6191</v>
      </c>
      <c r="AH164" s="75"/>
      <c r="AI164" s="75"/>
      <c r="AJ164" s="75">
        <f t="shared" si="28"/>
        <v>6191</v>
      </c>
      <c r="AK164" s="158">
        <v>877</v>
      </c>
      <c r="AL164" s="94">
        <v>20</v>
      </c>
      <c r="AN164" s="72">
        <v>21</v>
      </c>
      <c r="AO164" s="158"/>
      <c r="AP164" s="158"/>
      <c r="AQ164" s="158"/>
      <c r="AR164" s="158"/>
      <c r="AS164" s="493">
        <v>0</v>
      </c>
      <c r="AT164" s="485" t="s">
        <v>38</v>
      </c>
      <c r="AU164" s="104" t="s">
        <v>2177</v>
      </c>
      <c r="AV164" s="51"/>
      <c r="AW164" s="158"/>
      <c r="AX164" s="158"/>
      <c r="AY164" s="158"/>
      <c r="AZ164" s="158"/>
      <c r="BA164" s="158"/>
      <c r="BB164" s="69"/>
      <c r="BC164" s="69"/>
      <c r="BD164" s="271"/>
      <c r="BE164" s="271">
        <v>2019</v>
      </c>
      <c r="BF164" s="271">
        <v>2020</v>
      </c>
    </row>
    <row r="165" spans="1:58 16282:16373" s="204" customFormat="1" ht="18.75" customHeight="1">
      <c r="A165" s="160" t="s">
        <v>503</v>
      </c>
      <c r="B165" s="58" t="s">
        <v>62</v>
      </c>
      <c r="C165" s="485" t="s">
        <v>1830</v>
      </c>
      <c r="D165" s="489" t="s">
        <v>569</v>
      </c>
      <c r="E165" s="489"/>
      <c r="F165" s="489"/>
      <c r="G165" s="489"/>
      <c r="H165" s="30" t="s">
        <v>1763</v>
      </c>
      <c r="I165" s="30">
        <v>1860</v>
      </c>
      <c r="J165" s="212">
        <v>43766</v>
      </c>
      <c r="K165" s="158"/>
      <c r="L165" s="158"/>
      <c r="M165" s="158">
        <v>56</v>
      </c>
      <c r="N165" s="158">
        <v>56</v>
      </c>
      <c r="O165" s="158"/>
      <c r="P165" s="158">
        <v>4001935138</v>
      </c>
      <c r="Q165" s="158"/>
      <c r="R165" s="158"/>
      <c r="S165" s="158"/>
      <c r="T165" s="158">
        <v>2152378286</v>
      </c>
      <c r="U165" s="158">
        <v>20</v>
      </c>
      <c r="V165" s="311">
        <v>43739</v>
      </c>
      <c r="W165" s="311"/>
      <c r="X165" s="311"/>
      <c r="Y165" s="623">
        <v>1849556852</v>
      </c>
      <c r="Z165" s="495">
        <v>20</v>
      </c>
      <c r="AA165" s="484">
        <v>43861</v>
      </c>
      <c r="AB165" s="616"/>
      <c r="AC165" s="284"/>
      <c r="AD165" s="158"/>
      <c r="AE165" s="158">
        <f>P165-T165-Y165-AG165</f>
        <v>0</v>
      </c>
      <c r="AF165" s="158"/>
      <c r="AG165" s="94">
        <v>0</v>
      </c>
      <c r="AH165" s="94"/>
      <c r="AI165" s="94"/>
      <c r="AJ165" s="158">
        <f t="shared" si="28"/>
        <v>0</v>
      </c>
      <c r="AK165" s="158">
        <v>877</v>
      </c>
      <c r="AL165" s="94">
        <v>20</v>
      </c>
      <c r="AM165" s="158"/>
      <c r="AN165" s="158">
        <v>56</v>
      </c>
      <c r="AO165" s="158"/>
      <c r="AP165" s="158"/>
      <c r="AQ165" s="158"/>
      <c r="AR165" s="158"/>
      <c r="AS165" s="493">
        <v>0</v>
      </c>
      <c r="AT165" s="485" t="s">
        <v>38</v>
      </c>
      <c r="AU165" s="104"/>
      <c r="AV165" s="51"/>
      <c r="AW165" s="158"/>
      <c r="AX165" s="158"/>
      <c r="AY165" s="158"/>
      <c r="AZ165" s="158"/>
      <c r="BA165" s="158"/>
      <c r="BB165" s="69"/>
      <c r="BC165" s="69"/>
      <c r="BD165" s="271"/>
      <c r="BE165" s="271">
        <v>2019</v>
      </c>
      <c r="BF165" s="271">
        <v>2020</v>
      </c>
    </row>
    <row r="166" spans="1:58 16282:16373" s="204" customFormat="1" ht="18.75" customHeight="1">
      <c r="A166" s="160" t="s">
        <v>503</v>
      </c>
      <c r="B166" s="58" t="s">
        <v>1351</v>
      </c>
      <c r="C166" s="501" t="s">
        <v>1842</v>
      </c>
      <c r="D166" s="502" t="s">
        <v>61</v>
      </c>
      <c r="E166" s="502"/>
      <c r="F166" s="502"/>
      <c r="G166" s="502"/>
      <c r="H166" s="30" t="s">
        <v>1763</v>
      </c>
      <c r="I166" s="30">
        <v>1845</v>
      </c>
      <c r="J166" s="212">
        <v>43763</v>
      </c>
      <c r="K166" s="158"/>
      <c r="L166" s="158"/>
      <c r="M166" s="158">
        <v>6</v>
      </c>
      <c r="N166" s="158">
        <v>6</v>
      </c>
      <c r="O166" s="158"/>
      <c r="P166" s="158">
        <f>425424011-519379</f>
        <v>424904632</v>
      </c>
      <c r="Q166" s="158"/>
      <c r="R166" s="158"/>
      <c r="S166" s="158"/>
      <c r="T166" s="158">
        <v>232365848</v>
      </c>
      <c r="U166" s="158">
        <v>20</v>
      </c>
      <c r="V166" s="311">
        <v>43800</v>
      </c>
      <c r="W166" s="311"/>
      <c r="X166" s="311"/>
      <c r="Y166" s="623">
        <v>192538784</v>
      </c>
      <c r="Z166" s="495">
        <v>20</v>
      </c>
      <c r="AA166" s="484">
        <v>43920</v>
      </c>
      <c r="AB166" s="616"/>
      <c r="AC166" s="284"/>
      <c r="AD166" s="158"/>
      <c r="AE166" s="158">
        <f>P166-T166-Y166</f>
        <v>0</v>
      </c>
      <c r="AF166" s="158"/>
      <c r="AG166" s="94">
        <v>0</v>
      </c>
      <c r="AH166" s="94"/>
      <c r="AI166" s="94"/>
      <c r="AJ166" s="158">
        <f t="shared" si="28"/>
        <v>0</v>
      </c>
      <c r="AK166" s="158">
        <v>877</v>
      </c>
      <c r="AL166" s="94">
        <v>20</v>
      </c>
      <c r="AN166" s="72">
        <v>6</v>
      </c>
      <c r="AO166" s="158"/>
      <c r="AP166" s="158"/>
      <c r="AQ166" s="158"/>
      <c r="AR166" s="158"/>
      <c r="AS166" s="493">
        <v>0</v>
      </c>
      <c r="AT166" s="485" t="s">
        <v>38</v>
      </c>
      <c r="AU166" s="104"/>
      <c r="AV166" s="51"/>
      <c r="AW166" s="158"/>
      <c r="AX166" s="158"/>
      <c r="AY166" s="158"/>
      <c r="AZ166" s="158"/>
      <c r="BA166" s="158"/>
      <c r="BB166" s="69"/>
      <c r="BC166" s="69"/>
      <c r="BD166" s="271"/>
      <c r="BE166" s="271">
        <v>2019</v>
      </c>
      <c r="BF166" s="271">
        <v>2020</v>
      </c>
    </row>
    <row r="167" spans="1:58 16282:16373" s="204" customFormat="1" ht="18.75" customHeight="1">
      <c r="A167" s="160" t="s">
        <v>503</v>
      </c>
      <c r="B167" s="58" t="s">
        <v>62</v>
      </c>
      <c r="C167" s="501" t="s">
        <v>1843</v>
      </c>
      <c r="D167" s="516" t="s">
        <v>1844</v>
      </c>
      <c r="E167" s="516"/>
      <c r="F167" s="516"/>
      <c r="G167" s="516"/>
      <c r="H167" s="30" t="s">
        <v>1763</v>
      </c>
      <c r="I167" s="30">
        <v>1858</v>
      </c>
      <c r="J167" s="212">
        <v>43766</v>
      </c>
      <c r="K167" s="158"/>
      <c r="L167" s="158"/>
      <c r="M167" s="158">
        <v>70</v>
      </c>
      <c r="N167" s="158">
        <v>70</v>
      </c>
      <c r="O167" s="158"/>
      <c r="P167" s="158">
        <v>5706323787</v>
      </c>
      <c r="Q167" s="158">
        <v>767493650</v>
      </c>
      <c r="R167" s="158">
        <v>20</v>
      </c>
      <c r="S167" s="311">
        <v>43800</v>
      </c>
      <c r="T167" s="612">
        <v>2713919723</v>
      </c>
      <c r="U167" s="72">
        <v>20</v>
      </c>
      <c r="V167" s="484">
        <v>43951</v>
      </c>
      <c r="W167" s="484"/>
      <c r="X167" s="484"/>
      <c r="Y167" s="611"/>
      <c r="Z167" s="69"/>
      <c r="AA167" s="284"/>
      <c r="AB167" s="284"/>
      <c r="AC167" s="284"/>
      <c r="AD167" s="158"/>
      <c r="AE167" s="158">
        <f>P167-Q167-T167-Y167-AG167</f>
        <v>-2713919723</v>
      </c>
      <c r="AF167" s="158"/>
      <c r="AG167" s="158">
        <f>2224910414+2713919723</f>
        <v>4938830137</v>
      </c>
      <c r="AH167" s="158"/>
      <c r="AI167" s="158"/>
      <c r="AJ167" s="158">
        <f t="shared" si="28"/>
        <v>2224910414</v>
      </c>
      <c r="AK167" s="158">
        <v>877</v>
      </c>
      <c r="AL167" s="94">
        <v>20</v>
      </c>
      <c r="AM167" s="158">
        <v>70</v>
      </c>
      <c r="AN167" s="158"/>
      <c r="AO167" s="158"/>
      <c r="AP167" s="158"/>
      <c r="AQ167" s="158"/>
      <c r="AR167" s="158"/>
      <c r="AS167" s="2">
        <v>0</v>
      </c>
      <c r="AT167" s="58" t="s">
        <v>521</v>
      </c>
      <c r="AU167" s="104"/>
      <c r="AV167" s="51"/>
      <c r="AW167" s="158"/>
      <c r="AX167" s="158"/>
      <c r="AY167" s="158"/>
      <c r="AZ167" s="158"/>
      <c r="BA167" s="158"/>
      <c r="BB167" s="69"/>
      <c r="BC167" s="69"/>
      <c r="BD167" s="271"/>
      <c r="BE167" s="271">
        <v>2019</v>
      </c>
      <c r="BF167" s="271">
        <v>2020</v>
      </c>
    </row>
    <row r="168" spans="1:58 16282:16373" ht="14.25" customHeight="1">
      <c r="A168" s="371" t="s">
        <v>504</v>
      </c>
      <c r="B168" s="371"/>
      <c r="C168" s="371"/>
      <c r="D168" s="371"/>
      <c r="E168" s="371"/>
      <c r="F168" s="371"/>
      <c r="G168" s="371"/>
      <c r="H168" s="371"/>
      <c r="I168" s="371"/>
      <c r="J168" s="371"/>
      <c r="K168" s="371">
        <f>SUM(K170:K257)</f>
        <v>212</v>
      </c>
      <c r="L168" s="370">
        <f t="shared" ref="L168:O168" si="29">SUM(L170:L257)</f>
        <v>432</v>
      </c>
      <c r="M168" s="370">
        <f t="shared" si="29"/>
        <v>647</v>
      </c>
      <c r="N168" s="424">
        <f>SUM(N170:N264)</f>
        <v>828</v>
      </c>
      <c r="O168" s="370">
        <f t="shared" si="29"/>
        <v>117</v>
      </c>
      <c r="P168" s="371"/>
      <c r="Q168" s="371"/>
      <c r="R168" s="371"/>
      <c r="S168" s="371"/>
      <c r="T168" s="371"/>
      <c r="U168" s="371"/>
      <c r="V168" s="371"/>
      <c r="W168" s="371"/>
      <c r="X168" s="371"/>
      <c r="Y168" s="371"/>
      <c r="Z168" s="371"/>
      <c r="AA168" s="371"/>
      <c r="AB168" s="371"/>
      <c r="AC168" s="371"/>
      <c r="AD168" s="371"/>
      <c r="AE168" s="371"/>
      <c r="AF168" s="371"/>
      <c r="AG168" s="371"/>
      <c r="AH168" s="371"/>
      <c r="AI168" s="371"/>
      <c r="AJ168" s="371"/>
      <c r="AK168" s="371"/>
      <c r="AL168" s="371"/>
      <c r="AM168" s="424">
        <f>SUM(AM169:AM264)</f>
        <v>89</v>
      </c>
      <c r="AN168" s="424">
        <f>SUM(AN169:AN264)</f>
        <v>742</v>
      </c>
      <c r="AO168" s="424">
        <f>SUM(AO169:AO264)</f>
        <v>0</v>
      </c>
      <c r="AP168" s="424">
        <f>SUM(AP169:AP264)</f>
        <v>112</v>
      </c>
      <c r="AQ168" s="424">
        <f>SUM(AQ169:AQ264)</f>
        <v>0</v>
      </c>
      <c r="AR168" s="424">
        <f>SUM(AR170:AR264)</f>
        <v>2</v>
      </c>
      <c r="AS168" s="371"/>
      <c r="AT168" s="371"/>
      <c r="AU168" s="385"/>
      <c r="AV168" s="370">
        <f>SUM(AV169:AV256)</f>
        <v>825</v>
      </c>
      <c r="AW168" s="370">
        <f t="shared" ref="AW168:BC168" si="30">SUM(AW170:AW256)</f>
        <v>249</v>
      </c>
      <c r="AX168" s="370">
        <f t="shared" si="30"/>
        <v>177</v>
      </c>
      <c r="AY168" s="370">
        <f t="shared" si="30"/>
        <v>382</v>
      </c>
      <c r="AZ168" s="371"/>
      <c r="BA168" s="370">
        <f t="shared" si="30"/>
        <v>172</v>
      </c>
      <c r="BB168" s="370">
        <f t="shared" si="30"/>
        <v>387</v>
      </c>
      <c r="BC168" s="371">
        <f t="shared" si="30"/>
        <v>16</v>
      </c>
      <c r="BD168" s="371"/>
      <c r="BE168" s="371">
        <v>2019</v>
      </c>
      <c r="BF168" s="371">
        <v>2020</v>
      </c>
      <c r="XBF168" s="371"/>
      <c r="XBG168" s="371"/>
      <c r="XBH168" s="371"/>
      <c r="XBI168" s="371"/>
      <c r="XBJ168" s="371"/>
      <c r="XBK168" s="370"/>
      <c r="XBL168" s="370"/>
      <c r="XBM168" s="370"/>
      <c r="XBN168" s="370"/>
      <c r="XBO168" s="370"/>
      <c r="XBP168" s="370"/>
      <c r="XBQ168" s="370"/>
      <c r="XBR168" s="370"/>
      <c r="XBS168" s="370"/>
      <c r="XBT168" s="370"/>
      <c r="XCI168" s="371"/>
      <c r="XCJ168" s="371"/>
      <c r="XCK168" s="371"/>
      <c r="XCL168" s="371"/>
      <c r="XCM168" s="371"/>
      <c r="XCN168" s="370"/>
      <c r="XCO168" s="370"/>
      <c r="XDL168" s="371"/>
      <c r="XDM168" s="371"/>
      <c r="XDN168" s="371"/>
      <c r="XDO168" s="371"/>
      <c r="XDP168" s="371"/>
      <c r="XEO168" s="371"/>
      <c r="XEP168" s="371"/>
      <c r="XEQ168" s="371"/>
      <c r="XER168" s="371"/>
      <c r="XES168" s="371"/>
    </row>
    <row r="169" spans="1:58 16282:16373" s="204" customFormat="1" ht="12" hidden="1" customHeight="1">
      <c r="A169" s="160" t="s">
        <v>504</v>
      </c>
      <c r="B169" s="58" t="s">
        <v>84</v>
      </c>
      <c r="C169" s="58" t="s">
        <v>709</v>
      </c>
      <c r="D169" s="58" t="s">
        <v>72</v>
      </c>
      <c r="E169" s="58"/>
      <c r="F169" s="58"/>
      <c r="G169" s="58"/>
      <c r="H169" s="30"/>
      <c r="I169" s="30"/>
      <c r="J169" s="212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94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94"/>
      <c r="AM169" s="158"/>
      <c r="AN169" s="158"/>
      <c r="AO169" s="158"/>
      <c r="AP169" s="158"/>
      <c r="AQ169" s="158"/>
      <c r="AR169" s="158"/>
      <c r="AS169" s="2"/>
      <c r="AT169" s="58"/>
      <c r="AU169" s="102"/>
      <c r="AV169" s="158">
        <v>41</v>
      </c>
      <c r="AW169" s="158"/>
      <c r="AX169" s="158"/>
      <c r="AY169" s="158"/>
      <c r="AZ169" s="158"/>
      <c r="BA169" s="158"/>
      <c r="BB169" s="69"/>
      <c r="BC169" s="69"/>
      <c r="BD169" s="271">
        <v>2016</v>
      </c>
      <c r="BE169" s="271"/>
      <c r="BF169" s="271"/>
    </row>
    <row r="170" spans="1:58 16282:16373" s="204" customFormat="1" ht="15" hidden="1" customHeight="1">
      <c r="A170" s="160" t="s">
        <v>504</v>
      </c>
      <c r="B170" s="58" t="s">
        <v>89</v>
      </c>
      <c r="C170" s="1" t="s">
        <v>632</v>
      </c>
      <c r="D170" s="1" t="s">
        <v>61</v>
      </c>
      <c r="E170" s="1"/>
      <c r="F170" s="1"/>
      <c r="G170" s="1"/>
      <c r="H170" s="30" t="s">
        <v>659</v>
      </c>
      <c r="I170" s="30" t="s">
        <v>1838</v>
      </c>
      <c r="J170" s="212"/>
      <c r="K170" s="158"/>
      <c r="L170" s="158"/>
      <c r="M170" s="158"/>
      <c r="N170" s="158"/>
      <c r="O170" s="158"/>
      <c r="P170" s="158">
        <v>1407557265</v>
      </c>
      <c r="Q170" s="158"/>
      <c r="R170" s="158"/>
      <c r="S170" s="158"/>
      <c r="T170" s="158">
        <v>584016169</v>
      </c>
      <c r="U170" s="323"/>
      <c r="V170" s="158"/>
      <c r="W170" s="158"/>
      <c r="X170" s="158"/>
      <c r="Y170" s="158">
        <v>823541096</v>
      </c>
      <c r="Z170" s="158"/>
      <c r="AA170" s="158"/>
      <c r="AB170" s="158"/>
      <c r="AC170" s="158"/>
      <c r="AD170" s="158"/>
      <c r="AE170" s="158">
        <f>P170-T170-Y170</f>
        <v>0</v>
      </c>
      <c r="AF170" s="158"/>
      <c r="AG170" s="158"/>
      <c r="AH170" s="158"/>
      <c r="AI170" s="158"/>
      <c r="AJ170" s="158"/>
      <c r="AK170" s="158"/>
      <c r="AL170" s="94"/>
      <c r="AM170" s="158"/>
      <c r="AN170" s="158"/>
      <c r="AO170" s="158"/>
      <c r="AP170" s="158"/>
      <c r="AQ170" s="158"/>
      <c r="AR170" s="158"/>
      <c r="AS170" s="2">
        <v>1</v>
      </c>
      <c r="AT170" s="58" t="s">
        <v>646</v>
      </c>
      <c r="AU170" s="102"/>
      <c r="AV170" s="158"/>
      <c r="AW170" s="158">
        <v>23</v>
      </c>
      <c r="AX170" s="158"/>
      <c r="AY170" s="158"/>
      <c r="AZ170" s="158"/>
      <c r="BA170" s="158"/>
      <c r="BB170" s="69"/>
      <c r="BC170" s="69"/>
      <c r="BD170" s="271">
        <v>2017</v>
      </c>
      <c r="BE170" s="271"/>
      <c r="BF170" s="271"/>
    </row>
    <row r="171" spans="1:58 16282:16373" s="204" customFormat="1" ht="36.75" customHeight="1">
      <c r="A171" s="160" t="s">
        <v>504</v>
      </c>
      <c r="B171" s="58" t="s">
        <v>89</v>
      </c>
      <c r="C171" s="1" t="s">
        <v>1353</v>
      </c>
      <c r="D171" s="1" t="s">
        <v>61</v>
      </c>
      <c r="E171" s="1"/>
      <c r="F171" s="1"/>
      <c r="G171" s="1"/>
      <c r="H171" s="30" t="s">
        <v>659</v>
      </c>
      <c r="I171" s="30">
        <v>549</v>
      </c>
      <c r="J171" s="212">
        <v>41017</v>
      </c>
      <c r="K171" s="158"/>
      <c r="L171" s="158"/>
      <c r="M171" s="158">
        <v>3</v>
      </c>
      <c r="N171" s="158">
        <v>3</v>
      </c>
      <c r="O171" s="158"/>
      <c r="P171" s="158">
        <v>183490169</v>
      </c>
      <c r="Q171" s="158"/>
      <c r="R171" s="158"/>
      <c r="S171" s="158"/>
      <c r="T171" s="158"/>
      <c r="U171" s="158"/>
      <c r="V171" s="158"/>
      <c r="W171" s="158"/>
      <c r="X171" s="158"/>
      <c r="Y171" s="94"/>
      <c r="Z171" s="158"/>
      <c r="AA171" s="158"/>
      <c r="AB171" s="158"/>
      <c r="AC171" s="158"/>
      <c r="AD171" s="158"/>
      <c r="AE171" s="158">
        <f>P171-T171-Y171</f>
        <v>183490169</v>
      </c>
      <c r="AF171" s="158"/>
      <c r="AG171" s="94">
        <v>0</v>
      </c>
      <c r="AH171" s="94"/>
      <c r="AI171" s="94"/>
      <c r="AJ171" s="158">
        <f>AE171+AG171</f>
        <v>183490169</v>
      </c>
      <c r="AK171" s="158">
        <v>980</v>
      </c>
      <c r="AL171" s="94"/>
      <c r="AM171" s="158">
        <v>3</v>
      </c>
      <c r="AN171" s="158"/>
      <c r="AO171" s="11"/>
      <c r="AP171" s="11"/>
      <c r="AQ171" s="11"/>
      <c r="AR171" s="11"/>
      <c r="AS171" s="2">
        <v>0</v>
      </c>
      <c r="AT171" s="58" t="s">
        <v>521</v>
      </c>
      <c r="AU171" s="88" t="s">
        <v>2178</v>
      </c>
      <c r="AV171" s="158"/>
      <c r="AW171" s="11"/>
      <c r="AX171" s="11"/>
      <c r="AY171" s="11"/>
      <c r="AZ171" s="11"/>
      <c r="BA171" s="11"/>
      <c r="BB171" s="70"/>
      <c r="BC171" s="69"/>
      <c r="BD171" s="271"/>
      <c r="BE171" s="271">
        <v>2019</v>
      </c>
      <c r="BF171" s="271">
        <v>2020</v>
      </c>
    </row>
    <row r="172" spans="1:58 16282:16373" s="204" customFormat="1" ht="15" hidden="1" customHeight="1">
      <c r="A172" s="230" t="s">
        <v>504</v>
      </c>
      <c r="B172" s="58" t="s">
        <v>558</v>
      </c>
      <c r="C172" s="28" t="s">
        <v>660</v>
      </c>
      <c r="D172" s="28" t="s">
        <v>90</v>
      </c>
      <c r="E172" s="28"/>
      <c r="F172" s="28"/>
      <c r="G172" s="28"/>
      <c r="H172" s="30" t="s">
        <v>647</v>
      </c>
      <c r="I172" s="30"/>
      <c r="J172" s="212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94"/>
      <c r="Z172" s="158"/>
      <c r="AA172" s="5"/>
      <c r="AB172" s="5"/>
      <c r="AC172" s="5"/>
      <c r="AD172" s="158"/>
      <c r="AE172" s="158">
        <f>P172-T172-Y172</f>
        <v>0</v>
      </c>
      <c r="AF172" s="158"/>
      <c r="AG172" s="158"/>
      <c r="AH172" s="158"/>
      <c r="AI172" s="158"/>
      <c r="AJ172" s="158"/>
      <c r="AK172" s="158"/>
      <c r="AL172" s="94"/>
      <c r="AM172" s="158"/>
      <c r="AN172" s="158"/>
      <c r="AO172" s="12"/>
      <c r="AP172" s="12"/>
      <c r="AQ172" s="12"/>
      <c r="AR172" s="12"/>
      <c r="AS172" s="2">
        <v>1</v>
      </c>
      <c r="AT172" s="58" t="s">
        <v>646</v>
      </c>
      <c r="AU172" s="106"/>
      <c r="AV172" s="158"/>
      <c r="AW172" s="12"/>
      <c r="AX172" s="12">
        <v>35</v>
      </c>
      <c r="AY172" s="12"/>
      <c r="AZ172" s="12"/>
      <c r="BA172" s="12">
        <v>35</v>
      </c>
      <c r="BB172" s="285"/>
      <c r="BC172" s="69"/>
      <c r="BD172" s="271">
        <v>2018</v>
      </c>
      <c r="BE172" s="271"/>
      <c r="BF172" s="271"/>
    </row>
    <row r="173" spans="1:58 16282:16373" s="204" customFormat="1" ht="50.25" hidden="1" customHeight="1">
      <c r="A173" s="160" t="s">
        <v>504</v>
      </c>
      <c r="B173" s="58" t="s">
        <v>84</v>
      </c>
      <c r="C173" s="88" t="s">
        <v>711</v>
      </c>
      <c r="D173" s="58" t="s">
        <v>45</v>
      </c>
      <c r="E173" s="58"/>
      <c r="F173" s="58"/>
      <c r="G173" s="58"/>
      <c r="H173" s="30" t="s">
        <v>647</v>
      </c>
      <c r="I173" s="272" t="s">
        <v>1544</v>
      </c>
      <c r="J173" s="212" t="s">
        <v>1543</v>
      </c>
      <c r="K173" s="158"/>
      <c r="L173" s="158"/>
      <c r="M173" s="158"/>
      <c r="N173" s="158"/>
      <c r="O173" s="158"/>
      <c r="P173" s="158">
        <v>1014022937</v>
      </c>
      <c r="Q173" s="158"/>
      <c r="R173" s="158"/>
      <c r="S173" s="158"/>
      <c r="T173" s="94">
        <v>421828391</v>
      </c>
      <c r="U173" s="158">
        <v>10</v>
      </c>
      <c r="V173" s="158"/>
      <c r="W173" s="158"/>
      <c r="X173" s="158"/>
      <c r="Y173" s="94">
        <v>592194546</v>
      </c>
      <c r="Z173" s="69">
        <v>20</v>
      </c>
      <c r="AA173" s="69"/>
      <c r="AB173" s="69"/>
      <c r="AC173" s="69"/>
      <c r="AD173" s="158"/>
      <c r="AE173" s="158">
        <f>P173-T173-Y173</f>
        <v>0</v>
      </c>
      <c r="AF173" s="158"/>
      <c r="AG173" s="158"/>
      <c r="AH173" s="158"/>
      <c r="AI173" s="158"/>
      <c r="AJ173" s="158"/>
      <c r="AK173" s="158">
        <v>877</v>
      </c>
      <c r="AL173" s="94">
        <v>10</v>
      </c>
      <c r="AM173" s="158"/>
      <c r="AN173" s="158"/>
      <c r="AO173" s="158"/>
      <c r="AP173" s="158"/>
      <c r="AQ173" s="158"/>
      <c r="AR173" s="158"/>
      <c r="AS173" s="2"/>
      <c r="AT173" s="58"/>
      <c r="AU173" s="106"/>
      <c r="AV173" s="158">
        <v>18</v>
      </c>
      <c r="AW173" s="158"/>
      <c r="AX173" s="158"/>
      <c r="AY173" s="158"/>
      <c r="AZ173" s="158"/>
      <c r="BA173" s="158"/>
      <c r="BB173" s="69"/>
      <c r="BC173" s="69"/>
      <c r="BD173" s="271">
        <v>2016</v>
      </c>
      <c r="BE173" s="271">
        <v>2016</v>
      </c>
      <c r="BF173" s="271"/>
    </row>
    <row r="174" spans="1:58 16282:16373" s="204" customFormat="1" ht="15" hidden="1" customHeight="1">
      <c r="A174" s="248" t="s">
        <v>504</v>
      </c>
      <c r="B174" s="58" t="s">
        <v>84</v>
      </c>
      <c r="C174" s="3" t="s">
        <v>73</v>
      </c>
      <c r="D174" s="3" t="s">
        <v>72</v>
      </c>
      <c r="E174" s="3"/>
      <c r="F174" s="3"/>
      <c r="G174" s="3"/>
      <c r="H174" s="30"/>
      <c r="I174" s="58"/>
      <c r="J174" s="212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94"/>
      <c r="Z174" s="158"/>
      <c r="AA174" s="92"/>
      <c r="AB174" s="92"/>
      <c r="AC174" s="92"/>
      <c r="AD174" s="158"/>
      <c r="AE174" s="158"/>
      <c r="AF174" s="158"/>
      <c r="AG174" s="158"/>
      <c r="AH174" s="158"/>
      <c r="AI174" s="158"/>
      <c r="AJ174" s="158"/>
      <c r="AK174" s="158"/>
      <c r="AL174" s="94"/>
      <c r="AM174" s="158"/>
      <c r="AN174" s="158"/>
      <c r="AO174" s="158"/>
      <c r="AP174" s="158"/>
      <c r="AQ174" s="158"/>
      <c r="AR174" s="158"/>
      <c r="AS174" s="2"/>
      <c r="AT174" s="58"/>
      <c r="AU174" s="106"/>
      <c r="AV174" s="158">
        <f>54-1</f>
        <v>53</v>
      </c>
      <c r="AW174" s="158"/>
      <c r="AX174" s="158"/>
      <c r="AY174" s="158"/>
      <c r="AZ174" s="158"/>
      <c r="BA174" s="158"/>
      <c r="BB174" s="69"/>
      <c r="BC174" s="69"/>
      <c r="BD174" s="271">
        <v>2016</v>
      </c>
      <c r="BE174" s="271"/>
      <c r="BF174" s="271"/>
    </row>
    <row r="175" spans="1:58 16282:16373" s="204" customFormat="1" ht="15" hidden="1" customHeight="1">
      <c r="A175" s="160" t="s">
        <v>504</v>
      </c>
      <c r="B175" s="58" t="s">
        <v>84</v>
      </c>
      <c r="C175" s="1" t="s">
        <v>73</v>
      </c>
      <c r="D175" s="1" t="s">
        <v>72</v>
      </c>
      <c r="E175" s="1"/>
      <c r="F175" s="1"/>
      <c r="G175" s="1"/>
      <c r="H175" s="30" t="s">
        <v>647</v>
      </c>
      <c r="I175" s="30"/>
      <c r="J175" s="212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94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94"/>
      <c r="AM175" s="158"/>
      <c r="AN175" s="158"/>
      <c r="AO175" s="11"/>
      <c r="AP175" s="11"/>
      <c r="AQ175" s="11"/>
      <c r="AR175" s="158"/>
      <c r="AS175" s="2">
        <v>0</v>
      </c>
      <c r="AT175" s="58" t="s">
        <v>687</v>
      </c>
      <c r="AU175" s="106" t="s">
        <v>1294</v>
      </c>
      <c r="AV175" s="158"/>
      <c r="AW175" s="11"/>
      <c r="AX175" s="11"/>
      <c r="AY175" s="11"/>
      <c r="AZ175" s="11"/>
      <c r="BA175" s="11"/>
      <c r="BB175" s="70"/>
      <c r="BC175" s="69">
        <v>1</v>
      </c>
      <c r="BD175" s="271" t="s">
        <v>1703</v>
      </c>
      <c r="BE175" s="271"/>
      <c r="BF175" s="271"/>
    </row>
    <row r="176" spans="1:58 16282:16373" s="204" customFormat="1" ht="15" hidden="1" customHeight="1">
      <c r="A176" s="160" t="s">
        <v>504</v>
      </c>
      <c r="B176" s="58" t="s">
        <v>74</v>
      </c>
      <c r="C176" s="58" t="s">
        <v>710</v>
      </c>
      <c r="D176" s="58" t="s">
        <v>30</v>
      </c>
      <c r="E176" s="58"/>
      <c r="F176" s="58"/>
      <c r="G176" s="58"/>
      <c r="H176" s="30"/>
      <c r="I176" s="30"/>
      <c r="J176" s="212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94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94"/>
      <c r="AM176" s="158"/>
      <c r="AN176" s="158"/>
      <c r="AO176" s="158"/>
      <c r="AP176" s="158"/>
      <c r="AQ176" s="158"/>
      <c r="AR176" s="158"/>
      <c r="AS176" s="2"/>
      <c r="AT176" s="58"/>
      <c r="AU176" s="106" t="s">
        <v>941</v>
      </c>
      <c r="AV176" s="158">
        <v>25</v>
      </c>
      <c r="AW176" s="158"/>
      <c r="AX176" s="158"/>
      <c r="AY176" s="158"/>
      <c r="AZ176" s="158"/>
      <c r="BA176" s="158"/>
      <c r="BB176" s="69"/>
      <c r="BC176" s="69"/>
      <c r="BD176" s="271">
        <v>2016</v>
      </c>
      <c r="BE176" s="271"/>
      <c r="BF176" s="271"/>
    </row>
    <row r="177" spans="1:58" s="204" customFormat="1" ht="30" hidden="1" customHeight="1">
      <c r="A177" s="230" t="s">
        <v>504</v>
      </c>
      <c r="B177" s="58" t="s">
        <v>84</v>
      </c>
      <c r="C177" s="49" t="s">
        <v>78</v>
      </c>
      <c r="D177" s="49" t="s">
        <v>77</v>
      </c>
      <c r="E177" s="49"/>
      <c r="F177" s="49"/>
      <c r="G177" s="49"/>
      <c r="H177" s="30" t="s">
        <v>647</v>
      </c>
      <c r="I177" s="272" t="s">
        <v>1659</v>
      </c>
      <c r="J177" s="212" t="s">
        <v>1660</v>
      </c>
      <c r="K177" s="158"/>
      <c r="L177" s="158"/>
      <c r="M177" s="158"/>
      <c r="N177" s="158"/>
      <c r="O177" s="158"/>
      <c r="P177" s="158">
        <f>2159827036-56837553</f>
        <v>2102989483</v>
      </c>
      <c r="Q177" s="158"/>
      <c r="R177" s="158"/>
      <c r="S177" s="158"/>
      <c r="T177" s="158">
        <v>955970662</v>
      </c>
      <c r="U177" s="158"/>
      <c r="V177" s="158"/>
      <c r="W177" s="158"/>
      <c r="X177" s="158"/>
      <c r="Y177" s="94">
        <v>1147018821</v>
      </c>
      <c r="Z177" s="158"/>
      <c r="AA177" s="5"/>
      <c r="AB177" s="5"/>
      <c r="AC177" s="5"/>
      <c r="AD177" s="158"/>
      <c r="AE177" s="158">
        <f>P177-T177-Y177</f>
        <v>0</v>
      </c>
      <c r="AF177" s="158"/>
      <c r="AG177" s="158"/>
      <c r="AH177" s="158"/>
      <c r="AI177" s="158"/>
      <c r="AJ177" s="158"/>
      <c r="AK177" s="158">
        <v>877</v>
      </c>
      <c r="AL177" s="94">
        <v>10</v>
      </c>
      <c r="AM177" s="158"/>
      <c r="AN177" s="158"/>
      <c r="AO177" s="158"/>
      <c r="AP177" s="158"/>
      <c r="AQ177" s="158"/>
      <c r="AR177" s="158"/>
      <c r="AS177" s="2"/>
      <c r="AT177" s="58"/>
      <c r="AU177" s="58"/>
      <c r="AV177" s="158">
        <v>37</v>
      </c>
      <c r="AW177" s="158"/>
      <c r="AX177" s="158"/>
      <c r="AY177" s="158"/>
      <c r="AZ177" s="158"/>
      <c r="BA177" s="158"/>
      <c r="BB177" s="69"/>
      <c r="BC177" s="69"/>
      <c r="BD177" s="271">
        <v>2016</v>
      </c>
      <c r="BE177" s="271"/>
      <c r="BF177" s="271"/>
    </row>
    <row r="178" spans="1:58" s="204" customFormat="1" ht="18" hidden="1" customHeight="1">
      <c r="A178" s="160" t="s">
        <v>504</v>
      </c>
      <c r="B178" s="58" t="s">
        <v>89</v>
      </c>
      <c r="C178" s="1" t="s">
        <v>1375</v>
      </c>
      <c r="D178" s="1" t="s">
        <v>77</v>
      </c>
      <c r="E178" s="1"/>
      <c r="F178" s="1"/>
      <c r="G178" s="1"/>
      <c r="H178" s="30" t="s">
        <v>647</v>
      </c>
      <c r="I178" s="272" t="s">
        <v>1659</v>
      </c>
      <c r="J178" s="215" t="s">
        <v>1660</v>
      </c>
      <c r="K178" s="158"/>
      <c r="L178" s="158"/>
      <c r="M178" s="158">
        <f>1</f>
        <v>1</v>
      </c>
      <c r="N178" s="158"/>
      <c r="O178" s="158"/>
      <c r="P178" s="158">
        <v>56837553</v>
      </c>
      <c r="Q178" s="158"/>
      <c r="R178" s="158"/>
      <c r="S178" s="158"/>
      <c r="T178" s="158"/>
      <c r="U178" s="158"/>
      <c r="V178" s="158"/>
      <c r="W178" s="158"/>
      <c r="X178" s="158"/>
      <c r="Y178" s="94"/>
      <c r="Z178" s="158"/>
      <c r="AA178" s="69"/>
      <c r="AB178" s="69"/>
      <c r="AC178" s="69">
        <v>56837553</v>
      </c>
      <c r="AD178" s="158"/>
      <c r="AE178" s="158">
        <f>P178-T178-Y178-AC178</f>
        <v>0</v>
      </c>
      <c r="AF178" s="158"/>
      <c r="AG178" s="94">
        <v>0</v>
      </c>
      <c r="AH178" s="94"/>
      <c r="AI178" s="94"/>
      <c r="AJ178" s="158">
        <f>AE178+AG178</f>
        <v>0</v>
      </c>
      <c r="AK178" s="158">
        <v>877</v>
      </c>
      <c r="AL178" s="94">
        <v>10</v>
      </c>
      <c r="AM178" s="158"/>
      <c r="AN178" s="158"/>
      <c r="AO178" s="11"/>
      <c r="AP178" s="11"/>
      <c r="AQ178" s="11"/>
      <c r="AR178" s="12"/>
      <c r="AS178" s="2">
        <v>0</v>
      </c>
      <c r="AT178" s="58" t="s">
        <v>687</v>
      </c>
      <c r="AU178" s="389" t="s">
        <v>1661</v>
      </c>
      <c r="AV178" s="158"/>
      <c r="AW178" s="11"/>
      <c r="AX178" s="11"/>
      <c r="AY178" s="11"/>
      <c r="AZ178" s="11"/>
      <c r="BA178" s="11"/>
      <c r="BB178" s="70"/>
      <c r="BC178" s="69">
        <v>1</v>
      </c>
      <c r="BD178" s="271" t="s">
        <v>1706</v>
      </c>
      <c r="BE178" s="271">
        <v>2019</v>
      </c>
      <c r="BF178" s="271"/>
    </row>
    <row r="179" spans="1:58" s="204" customFormat="1" ht="25.5" hidden="1" customHeight="1">
      <c r="A179" s="243" t="s">
        <v>504</v>
      </c>
      <c r="B179" s="58" t="s">
        <v>89</v>
      </c>
      <c r="C179" s="296" t="s">
        <v>79</v>
      </c>
      <c r="D179" s="260" t="s">
        <v>77</v>
      </c>
      <c r="E179" s="260"/>
      <c r="F179" s="260"/>
      <c r="G179" s="260"/>
      <c r="H179" s="30" t="s">
        <v>647</v>
      </c>
      <c r="I179" s="272" t="s">
        <v>1662</v>
      </c>
      <c r="J179" s="212" t="s">
        <v>1663</v>
      </c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94"/>
      <c r="Z179" s="158"/>
      <c r="AA179" s="247"/>
      <c r="AB179" s="247"/>
      <c r="AC179" s="247"/>
      <c r="AD179" s="158"/>
      <c r="AE179" s="158"/>
      <c r="AF179" s="158"/>
      <c r="AG179" s="158"/>
      <c r="AH179" s="158"/>
      <c r="AI179" s="158"/>
      <c r="AJ179" s="158"/>
      <c r="AK179" s="158"/>
      <c r="AL179" s="94"/>
      <c r="AM179" s="158"/>
      <c r="AN179" s="158"/>
      <c r="AO179" s="158"/>
      <c r="AP179" s="158"/>
      <c r="AQ179" s="158"/>
      <c r="AR179" s="158"/>
      <c r="AS179" s="2"/>
      <c r="AT179" s="58"/>
      <c r="AU179" s="106" t="s">
        <v>1035</v>
      </c>
      <c r="AV179" s="158">
        <v>17</v>
      </c>
      <c r="AW179" s="158"/>
      <c r="AX179" s="158"/>
      <c r="AY179" s="158"/>
      <c r="AZ179" s="158"/>
      <c r="BA179" s="158"/>
      <c r="BB179" s="69"/>
      <c r="BC179" s="69"/>
      <c r="BD179" s="271">
        <v>2016</v>
      </c>
      <c r="BE179" s="271"/>
      <c r="BF179" s="271"/>
    </row>
    <row r="180" spans="1:58" s="204" customFormat="1" ht="28.5" customHeight="1">
      <c r="A180" s="160" t="s">
        <v>504</v>
      </c>
      <c r="B180" s="58" t="s">
        <v>89</v>
      </c>
      <c r="C180" s="27" t="s">
        <v>79</v>
      </c>
      <c r="D180" s="1" t="s">
        <v>77</v>
      </c>
      <c r="E180" s="1"/>
      <c r="F180" s="1"/>
      <c r="G180" s="1"/>
      <c r="H180" s="30" t="s">
        <v>647</v>
      </c>
      <c r="I180" s="272" t="s">
        <v>1662</v>
      </c>
      <c r="J180" s="215" t="s">
        <v>1663</v>
      </c>
      <c r="K180" s="158"/>
      <c r="L180" s="158"/>
      <c r="M180" s="158">
        <v>1</v>
      </c>
      <c r="N180" s="158"/>
      <c r="O180" s="158">
        <v>1</v>
      </c>
      <c r="P180" s="158">
        <v>56837553</v>
      </c>
      <c r="Q180" s="158"/>
      <c r="R180" s="158"/>
      <c r="S180" s="158"/>
      <c r="T180" s="158"/>
      <c r="U180" s="158"/>
      <c r="V180" s="158"/>
      <c r="W180" s="158"/>
      <c r="X180" s="158"/>
      <c r="Y180" s="94"/>
      <c r="Z180" s="158"/>
      <c r="AA180" s="69"/>
      <c r="AB180" s="69"/>
      <c r="AC180" s="69">
        <v>56837553</v>
      </c>
      <c r="AD180" s="158"/>
      <c r="AE180" s="158">
        <f>P180-T180-Y180-AC180</f>
        <v>0</v>
      </c>
      <c r="AF180" s="158"/>
      <c r="AG180" s="94">
        <v>0</v>
      </c>
      <c r="AH180" s="94"/>
      <c r="AI180" s="94"/>
      <c r="AJ180" s="158">
        <f>AE180+AG180</f>
        <v>0</v>
      </c>
      <c r="AK180" s="158">
        <v>877</v>
      </c>
      <c r="AL180" s="94">
        <v>10</v>
      </c>
      <c r="AM180" s="158">
        <v>1</v>
      </c>
      <c r="AN180" s="158"/>
      <c r="AO180" s="11"/>
      <c r="AP180" s="11"/>
      <c r="AQ180" s="11"/>
      <c r="AR180" s="12"/>
      <c r="AS180" s="2">
        <v>0</v>
      </c>
      <c r="AT180" s="58" t="s">
        <v>521</v>
      </c>
      <c r="AU180" s="474" t="s">
        <v>1664</v>
      </c>
      <c r="AV180" s="158"/>
      <c r="AW180" s="11"/>
      <c r="AX180" s="11"/>
      <c r="AY180" s="11"/>
      <c r="AZ180" s="11"/>
      <c r="BA180" s="11"/>
      <c r="BB180" s="70"/>
      <c r="BC180" s="69"/>
      <c r="BD180" s="271"/>
      <c r="BE180" s="271">
        <v>2019</v>
      </c>
      <c r="BF180" s="271">
        <v>2020</v>
      </c>
    </row>
    <row r="181" spans="1:58" s="204" customFormat="1" ht="15" hidden="1" customHeight="1">
      <c r="A181" s="248" t="s">
        <v>504</v>
      </c>
      <c r="B181" s="58" t="s">
        <v>84</v>
      </c>
      <c r="C181" s="251" t="s">
        <v>80</v>
      </c>
      <c r="D181" s="251" t="s">
        <v>81</v>
      </c>
      <c r="E181" s="251"/>
      <c r="F181" s="251"/>
      <c r="G181" s="251"/>
      <c r="H181" s="30"/>
      <c r="I181" s="58"/>
      <c r="J181" s="212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94"/>
      <c r="Z181" s="158"/>
      <c r="AA181" s="92"/>
      <c r="AB181" s="92"/>
      <c r="AC181" s="92"/>
      <c r="AD181" s="158"/>
      <c r="AE181" s="158"/>
      <c r="AF181" s="158"/>
      <c r="AG181" s="158"/>
      <c r="AH181" s="158"/>
      <c r="AI181" s="158"/>
      <c r="AJ181" s="158"/>
      <c r="AK181" s="158"/>
      <c r="AL181" s="94"/>
      <c r="AM181" s="158"/>
      <c r="AN181" s="158"/>
      <c r="AO181" s="158"/>
      <c r="AP181" s="158"/>
      <c r="AQ181" s="158"/>
      <c r="AR181" s="158"/>
      <c r="AS181" s="2"/>
      <c r="AT181" s="58"/>
      <c r="AU181" s="106" t="s">
        <v>1364</v>
      </c>
      <c r="AV181" s="158">
        <v>82</v>
      </c>
      <c r="AW181" s="158"/>
      <c r="AX181" s="158"/>
      <c r="AY181" s="158"/>
      <c r="AZ181" s="158"/>
      <c r="BA181" s="158"/>
      <c r="BB181" s="69"/>
      <c r="BC181" s="69"/>
      <c r="BD181" s="271">
        <v>2016</v>
      </c>
      <c r="BE181" s="271"/>
      <c r="BF181" s="271"/>
    </row>
    <row r="182" spans="1:58" s="204" customFormat="1" ht="15" hidden="1" customHeight="1">
      <c r="A182" s="160" t="s">
        <v>504</v>
      </c>
      <c r="B182" s="58" t="s">
        <v>84</v>
      </c>
      <c r="C182" s="58" t="s">
        <v>553</v>
      </c>
      <c r="D182" s="58" t="s">
        <v>77</v>
      </c>
      <c r="E182" s="58"/>
      <c r="F182" s="58"/>
      <c r="G182" s="58"/>
      <c r="H182" s="30" t="s">
        <v>661</v>
      </c>
      <c r="I182" s="30"/>
      <c r="J182" s="212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94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94"/>
      <c r="AM182" s="158"/>
      <c r="AN182" s="158"/>
      <c r="AO182" s="158"/>
      <c r="AP182" s="158"/>
      <c r="AQ182" s="158"/>
      <c r="AR182" s="158"/>
      <c r="AS182" s="2">
        <v>1</v>
      </c>
      <c r="AT182" s="58" t="s">
        <v>646</v>
      </c>
      <c r="AU182" s="106"/>
      <c r="AV182" s="158"/>
      <c r="AW182" s="158">
        <v>2</v>
      </c>
      <c r="AX182" s="158"/>
      <c r="AY182" s="158"/>
      <c r="AZ182" s="158"/>
      <c r="BA182" s="158"/>
      <c r="BB182" s="69"/>
      <c r="BC182" s="69"/>
      <c r="BD182" s="271">
        <v>2017</v>
      </c>
      <c r="BE182" s="271"/>
      <c r="BF182" s="271"/>
    </row>
    <row r="183" spans="1:58" s="204" customFormat="1" ht="15" hidden="1" customHeight="1">
      <c r="A183" s="230" t="s">
        <v>504</v>
      </c>
      <c r="B183" s="58" t="s">
        <v>84</v>
      </c>
      <c r="C183" s="28" t="s">
        <v>553</v>
      </c>
      <c r="D183" s="28" t="s">
        <v>77</v>
      </c>
      <c r="E183" s="28"/>
      <c r="F183" s="28"/>
      <c r="G183" s="28"/>
      <c r="H183" s="30" t="s">
        <v>661</v>
      </c>
      <c r="I183" s="30"/>
      <c r="J183" s="212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94"/>
      <c r="Z183" s="158"/>
      <c r="AA183" s="5"/>
      <c r="AB183" s="5"/>
      <c r="AC183" s="5"/>
      <c r="AD183" s="158"/>
      <c r="AE183" s="158"/>
      <c r="AF183" s="158"/>
      <c r="AG183" s="158"/>
      <c r="AH183" s="158"/>
      <c r="AI183" s="158"/>
      <c r="AJ183" s="158"/>
      <c r="AK183" s="158"/>
      <c r="AL183" s="94"/>
      <c r="AM183" s="158"/>
      <c r="AN183" s="158"/>
      <c r="AO183" s="158"/>
      <c r="AP183" s="158"/>
      <c r="AQ183" s="158"/>
      <c r="AR183" s="158"/>
      <c r="AS183" s="2">
        <v>1</v>
      </c>
      <c r="AT183" s="58" t="s">
        <v>646</v>
      </c>
      <c r="AU183" s="106"/>
      <c r="AV183" s="158"/>
      <c r="AW183" s="158">
        <v>14</v>
      </c>
      <c r="AX183" s="158"/>
      <c r="AY183" s="158"/>
      <c r="AZ183" s="158"/>
      <c r="BA183" s="158"/>
      <c r="BB183" s="69"/>
      <c r="BC183" s="69"/>
      <c r="BD183" s="271">
        <v>2017</v>
      </c>
      <c r="BE183" s="271"/>
      <c r="BF183" s="271"/>
    </row>
    <row r="184" spans="1:58" s="204" customFormat="1" ht="18" customHeight="1">
      <c r="A184" s="160" t="s">
        <v>504</v>
      </c>
      <c r="B184" s="58" t="s">
        <v>84</v>
      </c>
      <c r="C184" s="58" t="s">
        <v>1339</v>
      </c>
      <c r="D184" s="58" t="s">
        <v>77</v>
      </c>
      <c r="E184" s="58"/>
      <c r="F184" s="58"/>
      <c r="G184" s="58"/>
      <c r="H184" s="30" t="s">
        <v>647</v>
      </c>
      <c r="I184" s="272" t="s">
        <v>1492</v>
      </c>
      <c r="J184" s="215" t="s">
        <v>1491</v>
      </c>
      <c r="K184" s="10">
        <v>2</v>
      </c>
      <c r="L184" s="10">
        <v>2</v>
      </c>
      <c r="M184" s="10"/>
      <c r="N184" s="10"/>
      <c r="O184" s="10">
        <v>2</v>
      </c>
      <c r="P184" s="10">
        <v>113675108</v>
      </c>
      <c r="Q184" s="10"/>
      <c r="R184" s="158"/>
      <c r="S184" s="10"/>
      <c r="T184" s="10"/>
      <c r="U184" s="10"/>
      <c r="V184" s="10"/>
      <c r="W184" s="10"/>
      <c r="X184" s="10"/>
      <c r="Y184" s="94"/>
      <c r="Z184" s="10"/>
      <c r="AA184" s="219"/>
      <c r="AB184" s="219"/>
      <c r="AC184" s="219"/>
      <c r="AD184" s="158"/>
      <c r="AE184" s="158">
        <f>P184-T184-Y184</f>
        <v>113675108</v>
      </c>
      <c r="AF184" s="158"/>
      <c r="AG184" s="94">
        <v>0</v>
      </c>
      <c r="AH184" s="94"/>
      <c r="AI184" s="94"/>
      <c r="AJ184" s="158">
        <f>AE184+AG184</f>
        <v>113675108</v>
      </c>
      <c r="AK184" s="158">
        <v>877</v>
      </c>
      <c r="AL184" s="94">
        <v>10</v>
      </c>
      <c r="AM184" s="158">
        <v>2</v>
      </c>
      <c r="AN184" s="158"/>
      <c r="AO184" s="52"/>
      <c r="AP184" s="52"/>
      <c r="AQ184" s="52"/>
      <c r="AR184" s="52"/>
      <c r="AS184" s="13">
        <v>0</v>
      </c>
      <c r="AT184" s="120" t="s">
        <v>521</v>
      </c>
      <c r="AU184" s="58" t="s">
        <v>1294</v>
      </c>
      <c r="AV184" s="10" t="s">
        <v>0</v>
      </c>
      <c r="AW184" s="52"/>
      <c r="AX184" s="52"/>
      <c r="AY184" s="52"/>
      <c r="AZ184" s="52"/>
      <c r="BA184" s="52"/>
      <c r="BB184" s="286"/>
      <c r="BC184" s="69"/>
      <c r="BD184" s="271"/>
      <c r="BE184" s="271">
        <v>2019</v>
      </c>
      <c r="BF184" s="271">
        <v>2020</v>
      </c>
    </row>
    <row r="185" spans="1:58" s="204" customFormat="1" ht="15" hidden="1" customHeight="1">
      <c r="A185" s="248" t="s">
        <v>504</v>
      </c>
      <c r="B185" s="58" t="s">
        <v>74</v>
      </c>
      <c r="C185" s="251" t="s">
        <v>87</v>
      </c>
      <c r="D185" s="251" t="s">
        <v>30</v>
      </c>
      <c r="E185" s="251"/>
      <c r="F185" s="251"/>
      <c r="G185" s="251"/>
      <c r="H185" s="30"/>
      <c r="I185" s="58"/>
      <c r="J185" s="212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94"/>
      <c r="Z185" s="158"/>
      <c r="AA185" s="92"/>
      <c r="AB185" s="92"/>
      <c r="AC185" s="92"/>
      <c r="AD185" s="158"/>
      <c r="AE185" s="158"/>
      <c r="AF185" s="158"/>
      <c r="AG185" s="158"/>
      <c r="AH185" s="158"/>
      <c r="AI185" s="158"/>
      <c r="AJ185" s="158"/>
      <c r="AK185" s="158"/>
      <c r="AL185" s="94"/>
      <c r="AM185" s="158"/>
      <c r="AN185" s="158"/>
      <c r="AO185" s="158"/>
      <c r="AP185" s="158"/>
      <c r="AQ185" s="158"/>
      <c r="AR185" s="158"/>
      <c r="AS185" s="2"/>
      <c r="AT185" s="58"/>
      <c r="AU185" s="106" t="s">
        <v>1036</v>
      </c>
      <c r="AV185" s="158">
        <v>35</v>
      </c>
      <c r="AW185" s="158"/>
      <c r="AX185" s="158"/>
      <c r="AY185" s="158"/>
      <c r="AZ185" s="158"/>
      <c r="BA185" s="158"/>
      <c r="BB185" s="69"/>
      <c r="BC185" s="69"/>
      <c r="BD185" s="271">
        <v>2016</v>
      </c>
      <c r="BE185" s="271"/>
      <c r="BF185" s="271"/>
    </row>
    <row r="186" spans="1:58" s="204" customFormat="1" ht="15" hidden="1" customHeight="1">
      <c r="A186" s="230" t="s">
        <v>504</v>
      </c>
      <c r="B186" s="58" t="s">
        <v>85</v>
      </c>
      <c r="C186" s="28" t="s">
        <v>940</v>
      </c>
      <c r="D186" s="28" t="s">
        <v>30</v>
      </c>
      <c r="E186" s="28"/>
      <c r="F186" s="28"/>
      <c r="G186" s="28"/>
      <c r="H186" s="30"/>
      <c r="I186" s="58"/>
      <c r="J186" s="212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94"/>
      <c r="Z186" s="158"/>
      <c r="AA186" s="5"/>
      <c r="AB186" s="5"/>
      <c r="AC186" s="5"/>
      <c r="AD186" s="158"/>
      <c r="AE186" s="158"/>
      <c r="AF186" s="158"/>
      <c r="AG186" s="158"/>
      <c r="AH186" s="158"/>
      <c r="AI186" s="158"/>
      <c r="AJ186" s="158"/>
      <c r="AK186" s="158"/>
      <c r="AL186" s="94"/>
      <c r="AM186" s="158"/>
      <c r="AN186" s="158"/>
      <c r="AO186" s="158"/>
      <c r="AP186" s="158"/>
      <c r="AQ186" s="158"/>
      <c r="AR186" s="158"/>
      <c r="AS186" s="2"/>
      <c r="AT186" s="58"/>
      <c r="AU186" s="106"/>
      <c r="AV186" s="158">
        <v>20</v>
      </c>
      <c r="AW186" s="158"/>
      <c r="AX186" s="158"/>
      <c r="AY186" s="158"/>
      <c r="AZ186" s="158"/>
      <c r="BA186" s="158"/>
      <c r="BB186" s="69"/>
      <c r="BC186" s="69"/>
      <c r="BD186" s="271">
        <v>2016</v>
      </c>
      <c r="BE186" s="271"/>
      <c r="BF186" s="271"/>
    </row>
    <row r="187" spans="1:58" s="204" customFormat="1" ht="26.25" hidden="1" customHeight="1">
      <c r="A187" s="160" t="s">
        <v>504</v>
      </c>
      <c r="B187" s="58" t="s">
        <v>74</v>
      </c>
      <c r="C187" s="58" t="s">
        <v>88</v>
      </c>
      <c r="D187" s="58" t="s">
        <v>30</v>
      </c>
      <c r="E187" s="58"/>
      <c r="F187" s="58"/>
      <c r="G187" s="58"/>
      <c r="H187" s="30" t="s">
        <v>648</v>
      </c>
      <c r="I187" s="272" t="s">
        <v>1508</v>
      </c>
      <c r="J187" s="212" t="s">
        <v>1507</v>
      </c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94"/>
      <c r="Z187" s="69"/>
      <c r="AA187" s="69"/>
      <c r="AB187" s="69"/>
      <c r="AC187" s="69"/>
      <c r="AD187" s="158"/>
      <c r="AE187" s="158">
        <f>25038833-25038833</f>
        <v>0</v>
      </c>
      <c r="AF187" s="158"/>
      <c r="AG187" s="158"/>
      <c r="AH187" s="158"/>
      <c r="AI187" s="158"/>
      <c r="AJ187" s="158"/>
      <c r="AK187" s="158">
        <v>877</v>
      </c>
      <c r="AL187" s="94">
        <v>10</v>
      </c>
      <c r="AM187" s="158"/>
      <c r="AN187" s="158"/>
      <c r="AO187" s="158"/>
      <c r="AP187" s="158"/>
      <c r="AQ187" s="158"/>
      <c r="AR187" s="158"/>
      <c r="AS187" s="2"/>
      <c r="AT187" s="58"/>
      <c r="AU187" s="106" t="s">
        <v>1509</v>
      </c>
      <c r="AV187" s="158">
        <v>59</v>
      </c>
      <c r="AW187" s="158"/>
      <c r="AX187" s="158"/>
      <c r="AY187" s="158"/>
      <c r="AZ187" s="158"/>
      <c r="BA187" s="158"/>
      <c r="BB187" s="69"/>
      <c r="BC187" s="69"/>
      <c r="BD187" s="271">
        <v>2016</v>
      </c>
      <c r="BE187" s="271"/>
      <c r="BF187" s="271"/>
    </row>
    <row r="188" spans="1:58" s="204" customFormat="1" ht="15" hidden="1" customHeight="1">
      <c r="A188" s="248" t="s">
        <v>504</v>
      </c>
      <c r="B188" s="58" t="s">
        <v>84</v>
      </c>
      <c r="C188" s="251" t="s">
        <v>92</v>
      </c>
      <c r="D188" s="251" t="s">
        <v>77</v>
      </c>
      <c r="E188" s="251"/>
      <c r="F188" s="251"/>
      <c r="G188" s="251"/>
      <c r="H188" s="30"/>
      <c r="I188" s="58"/>
      <c r="J188" s="212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94"/>
      <c r="Z188" s="158"/>
      <c r="AA188" s="92"/>
      <c r="AB188" s="92"/>
      <c r="AC188" s="92"/>
      <c r="AD188" s="158"/>
      <c r="AE188" s="158"/>
      <c r="AF188" s="158"/>
      <c r="AG188" s="158"/>
      <c r="AH188" s="158"/>
      <c r="AI188" s="158"/>
      <c r="AJ188" s="158"/>
      <c r="AK188" s="158"/>
      <c r="AL188" s="94"/>
      <c r="AM188" s="158"/>
      <c r="AN188" s="158"/>
      <c r="AO188" s="158"/>
      <c r="AP188" s="158"/>
      <c r="AQ188" s="158"/>
      <c r="AR188" s="158"/>
      <c r="AS188" s="2"/>
      <c r="AT188" s="58"/>
      <c r="AU188" s="106"/>
      <c r="AV188" s="158">
        <v>20</v>
      </c>
      <c r="AW188" s="158"/>
      <c r="AX188" s="158"/>
      <c r="AY188" s="158"/>
      <c r="AZ188" s="158"/>
      <c r="BA188" s="158"/>
      <c r="BB188" s="69"/>
      <c r="BC188" s="69"/>
      <c r="BD188" s="271">
        <v>2016</v>
      </c>
      <c r="BE188" s="271"/>
      <c r="BF188" s="271"/>
    </row>
    <row r="189" spans="1:58" s="204" customFormat="1" ht="15" hidden="1" customHeight="1">
      <c r="A189" s="160" t="s">
        <v>504</v>
      </c>
      <c r="B189" s="58" t="s">
        <v>84</v>
      </c>
      <c r="C189" s="1" t="s">
        <v>93</v>
      </c>
      <c r="D189" s="749" t="s">
        <v>13</v>
      </c>
      <c r="E189" s="642"/>
      <c r="F189" s="642"/>
      <c r="G189" s="642"/>
      <c r="H189" s="30"/>
      <c r="I189" s="58"/>
      <c r="J189" s="212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94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94"/>
      <c r="AM189" s="158"/>
      <c r="AN189" s="158"/>
      <c r="AO189" s="158"/>
      <c r="AP189" s="158"/>
      <c r="AQ189" s="158"/>
      <c r="AR189" s="158"/>
      <c r="AS189" s="2"/>
      <c r="AT189" s="58"/>
      <c r="AU189" s="106"/>
      <c r="AV189" s="158">
        <v>39</v>
      </c>
      <c r="AW189" s="158"/>
      <c r="AX189" s="158"/>
      <c r="AY189" s="158"/>
      <c r="AZ189" s="158"/>
      <c r="BA189" s="158"/>
      <c r="BB189" s="69"/>
      <c r="BC189" s="69"/>
      <c r="BD189" s="271">
        <v>2016</v>
      </c>
      <c r="BE189" s="271"/>
      <c r="BF189" s="271"/>
    </row>
    <row r="190" spans="1:58" s="204" customFormat="1" ht="15" hidden="1" customHeight="1">
      <c r="A190" s="160" t="s">
        <v>504</v>
      </c>
      <c r="B190" s="58" t="s">
        <v>84</v>
      </c>
      <c r="C190" s="1" t="s">
        <v>93</v>
      </c>
      <c r="D190" s="749"/>
      <c r="E190" s="642"/>
      <c r="F190" s="642"/>
      <c r="G190" s="642"/>
      <c r="H190" s="30" t="s">
        <v>686</v>
      </c>
      <c r="I190" s="30"/>
      <c r="J190" s="212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94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94"/>
      <c r="AM190" s="158"/>
      <c r="AN190" s="158"/>
      <c r="AO190" s="158"/>
      <c r="AP190" s="158"/>
      <c r="AQ190" s="158"/>
      <c r="AR190" s="158"/>
      <c r="AS190" s="2">
        <v>0</v>
      </c>
      <c r="AT190" s="58" t="s">
        <v>687</v>
      </c>
      <c r="AU190" s="106"/>
      <c r="AV190" s="1"/>
      <c r="AW190" s="158">
        <f>1-1</f>
        <v>0</v>
      </c>
      <c r="AX190" s="158"/>
      <c r="AY190" s="158"/>
      <c r="AZ190" s="158"/>
      <c r="BA190" s="158"/>
      <c r="BB190" s="69"/>
      <c r="BC190" s="69">
        <v>1</v>
      </c>
      <c r="BD190" s="271" t="s">
        <v>1703</v>
      </c>
      <c r="BE190" s="271"/>
      <c r="BF190" s="271"/>
    </row>
    <row r="191" spans="1:58" s="204" customFormat="1" ht="15" hidden="1" customHeight="1">
      <c r="A191" s="160" t="s">
        <v>504</v>
      </c>
      <c r="B191" s="58" t="s">
        <v>89</v>
      </c>
      <c r="C191" s="58" t="s">
        <v>94</v>
      </c>
      <c r="D191" s="642" t="s">
        <v>45</v>
      </c>
      <c r="E191" s="642"/>
      <c r="F191" s="642"/>
      <c r="G191" s="642"/>
      <c r="H191" s="30"/>
      <c r="I191" s="58"/>
      <c r="J191" s="212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94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94"/>
      <c r="AM191" s="158"/>
      <c r="AN191" s="158"/>
      <c r="AO191" s="158"/>
      <c r="AP191" s="158"/>
      <c r="AQ191" s="158"/>
      <c r="AR191" s="158"/>
      <c r="AS191" s="2"/>
      <c r="AT191" s="58"/>
      <c r="AU191" s="106"/>
      <c r="AV191" s="158">
        <v>34</v>
      </c>
      <c r="AW191" s="158"/>
      <c r="AX191" s="158"/>
      <c r="AY191" s="158"/>
      <c r="AZ191" s="158"/>
      <c r="BA191" s="158"/>
      <c r="BB191" s="69"/>
      <c r="BC191" s="69"/>
      <c r="BD191" s="271">
        <v>2016</v>
      </c>
      <c r="BE191" s="271"/>
      <c r="BF191" s="271"/>
    </row>
    <row r="192" spans="1:58" s="204" customFormat="1" ht="18" hidden="1" customHeight="1">
      <c r="A192" s="160" t="s">
        <v>504</v>
      </c>
      <c r="B192" s="58" t="s">
        <v>84</v>
      </c>
      <c r="C192" s="1" t="s">
        <v>662</v>
      </c>
      <c r="D192" s="145" t="s">
        <v>557</v>
      </c>
      <c r="E192" s="145"/>
      <c r="F192" s="145"/>
      <c r="G192" s="145"/>
      <c r="H192" s="30" t="s">
        <v>663</v>
      </c>
      <c r="I192" s="30">
        <v>722</v>
      </c>
      <c r="J192" s="212">
        <v>41359</v>
      </c>
      <c r="K192" s="158"/>
      <c r="L192" s="158">
        <v>74</v>
      </c>
      <c r="M192" s="158"/>
      <c r="N192" s="158"/>
      <c r="O192" s="158"/>
      <c r="P192" s="10">
        <f>4438891332-266969897</f>
        <v>4171921435</v>
      </c>
      <c r="Q192" s="10">
        <f>671500000-42500000</f>
        <v>629000000</v>
      </c>
      <c r="R192" s="158"/>
      <c r="S192" s="158"/>
      <c r="T192" s="10">
        <v>1375276141</v>
      </c>
      <c r="U192" s="158"/>
      <c r="V192" s="158"/>
      <c r="W192" s="158"/>
      <c r="X192" s="158"/>
      <c r="Y192" s="10">
        <f>1083822647+1083822647</f>
        <v>2167645294</v>
      </c>
      <c r="Z192" s="158"/>
      <c r="AA192" s="158"/>
      <c r="AB192" s="158"/>
      <c r="AC192" s="158"/>
      <c r="AD192" s="158"/>
      <c r="AE192" s="158">
        <f>P192-Q192-T192-Y192</f>
        <v>0</v>
      </c>
      <c r="AF192" s="158"/>
      <c r="AG192" s="94">
        <v>0</v>
      </c>
      <c r="AH192" s="94"/>
      <c r="AI192" s="94"/>
      <c r="AJ192" s="158">
        <f t="shared" ref="AJ192:AJ193" si="31">AE192+AG192</f>
        <v>0</v>
      </c>
      <c r="AK192" s="158">
        <v>877</v>
      </c>
      <c r="AL192" s="94">
        <v>20</v>
      </c>
      <c r="AM192" s="158"/>
      <c r="AN192" s="158"/>
      <c r="AO192" s="12"/>
      <c r="AP192" s="12"/>
      <c r="AQ192" s="12"/>
      <c r="AR192" s="12"/>
      <c r="AS192" s="2">
        <v>1</v>
      </c>
      <c r="AT192" s="58" t="s">
        <v>646</v>
      </c>
      <c r="AU192" s="104"/>
      <c r="AV192" s="158"/>
      <c r="AW192" s="12"/>
      <c r="AX192" s="12"/>
      <c r="AY192" s="12">
        <v>74</v>
      </c>
      <c r="AZ192" s="12"/>
      <c r="BA192" s="158"/>
      <c r="BB192" s="69">
        <f>+AY192</f>
        <v>74</v>
      </c>
      <c r="BC192" s="69"/>
      <c r="BD192" s="271">
        <v>2019</v>
      </c>
      <c r="BE192" s="271">
        <v>2019</v>
      </c>
      <c r="BF192" s="271"/>
    </row>
    <row r="193" spans="1:58" s="204" customFormat="1" ht="18" hidden="1" customHeight="1">
      <c r="A193" s="160" t="s">
        <v>504</v>
      </c>
      <c r="B193" s="58" t="s">
        <v>84</v>
      </c>
      <c r="C193" s="1" t="s">
        <v>662</v>
      </c>
      <c r="D193" s="145" t="s">
        <v>557</v>
      </c>
      <c r="E193" s="145"/>
      <c r="F193" s="145"/>
      <c r="G193" s="145"/>
      <c r="H193" s="30" t="s">
        <v>663</v>
      </c>
      <c r="I193" s="30">
        <v>722</v>
      </c>
      <c r="J193" s="212">
        <v>41359</v>
      </c>
      <c r="K193" s="158"/>
      <c r="L193" s="158"/>
      <c r="M193" s="158">
        <v>5</v>
      </c>
      <c r="N193" s="158"/>
      <c r="O193" s="158"/>
      <c r="P193" s="10">
        <v>266969897</v>
      </c>
      <c r="Q193" s="158"/>
      <c r="R193" s="158"/>
      <c r="S193" s="158"/>
      <c r="T193" s="158"/>
      <c r="U193" s="158"/>
      <c r="V193" s="158"/>
      <c r="W193" s="158"/>
      <c r="X193" s="158"/>
      <c r="Y193" s="94"/>
      <c r="Z193" s="158"/>
      <c r="AA193" s="158"/>
      <c r="AB193" s="158"/>
      <c r="AC193" s="158">
        <v>266969897</v>
      </c>
      <c r="AD193" s="158"/>
      <c r="AE193" s="158">
        <f>P193-T193-Y193-AC193</f>
        <v>0</v>
      </c>
      <c r="AF193" s="158"/>
      <c r="AG193" s="94">
        <v>0</v>
      </c>
      <c r="AH193" s="94"/>
      <c r="AI193" s="94"/>
      <c r="AJ193" s="158">
        <f t="shared" si="31"/>
        <v>0</v>
      </c>
      <c r="AK193" s="158">
        <v>877</v>
      </c>
      <c r="AL193" s="94">
        <v>20</v>
      </c>
      <c r="AM193" s="158"/>
      <c r="AN193" s="158"/>
      <c r="AO193" s="11"/>
      <c r="AP193" s="11"/>
      <c r="AQ193" s="11"/>
      <c r="AR193" s="12"/>
      <c r="AS193" s="14">
        <v>0</v>
      </c>
      <c r="AT193" s="58" t="s">
        <v>687</v>
      </c>
      <c r="AU193" s="104" t="s">
        <v>1895</v>
      </c>
      <c r="AV193" s="158"/>
      <c r="AW193" s="11"/>
      <c r="AX193" s="11"/>
      <c r="AY193" s="11"/>
      <c r="AZ193" s="11"/>
      <c r="BA193" s="11"/>
      <c r="BB193" s="70"/>
      <c r="BC193" s="69">
        <v>5</v>
      </c>
      <c r="BD193" s="271" t="s">
        <v>1706</v>
      </c>
      <c r="BE193" s="271">
        <v>2019</v>
      </c>
      <c r="BF193" s="444"/>
    </row>
    <row r="194" spans="1:58" s="204" customFormat="1" ht="15" hidden="1" customHeight="1">
      <c r="A194" s="160" t="s">
        <v>504</v>
      </c>
      <c r="B194" s="58" t="s">
        <v>89</v>
      </c>
      <c r="C194" s="58" t="s">
        <v>95</v>
      </c>
      <c r="D194" s="642" t="s">
        <v>91</v>
      </c>
      <c r="E194" s="642"/>
      <c r="F194" s="642"/>
      <c r="G194" s="642"/>
      <c r="H194" s="30"/>
      <c r="I194" s="58"/>
      <c r="J194" s="212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94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94"/>
      <c r="AM194" s="158"/>
      <c r="AN194" s="158"/>
      <c r="AO194" s="158"/>
      <c r="AP194" s="158"/>
      <c r="AQ194" s="158"/>
      <c r="AR194" s="12"/>
      <c r="AS194" s="2"/>
      <c r="AT194" s="58"/>
      <c r="AU194" s="106"/>
      <c r="AV194" s="158">
        <v>29</v>
      </c>
      <c r="AW194" s="158"/>
      <c r="AX194" s="158"/>
      <c r="AY194" s="158"/>
      <c r="AZ194" s="158"/>
      <c r="BA194" s="158"/>
      <c r="BB194" s="69"/>
      <c r="BC194" s="69"/>
      <c r="BD194" s="271">
        <v>2016</v>
      </c>
      <c r="BE194" s="271"/>
      <c r="BF194" s="271"/>
    </row>
    <row r="195" spans="1:58" s="204" customFormat="1" ht="15" hidden="1" customHeight="1">
      <c r="A195" s="160" t="s">
        <v>504</v>
      </c>
      <c r="B195" s="58" t="s">
        <v>84</v>
      </c>
      <c r="C195" s="58" t="s">
        <v>96</v>
      </c>
      <c r="D195" s="642" t="s">
        <v>97</v>
      </c>
      <c r="E195" s="642"/>
      <c r="F195" s="642"/>
      <c r="G195" s="642"/>
      <c r="H195" s="30"/>
      <c r="I195" s="58"/>
      <c r="J195" s="212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94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94"/>
      <c r="AM195" s="158"/>
      <c r="AN195" s="158"/>
      <c r="AO195" s="158"/>
      <c r="AP195" s="158"/>
      <c r="AQ195" s="158"/>
      <c r="AR195" s="12"/>
      <c r="AS195" s="2"/>
      <c r="AT195" s="58"/>
      <c r="AU195" s="106"/>
      <c r="AV195" s="158">
        <v>23</v>
      </c>
      <c r="AW195" s="158"/>
      <c r="AX195" s="158"/>
      <c r="AY195" s="158"/>
      <c r="AZ195" s="158"/>
      <c r="BA195" s="158"/>
      <c r="BB195" s="69"/>
      <c r="BC195" s="69"/>
      <c r="BD195" s="271">
        <v>2016</v>
      </c>
      <c r="BE195" s="271"/>
      <c r="BF195" s="271"/>
    </row>
    <row r="196" spans="1:58" s="204" customFormat="1" ht="15" hidden="1" customHeight="1">
      <c r="A196" s="160" t="s">
        <v>504</v>
      </c>
      <c r="B196" s="58" t="s">
        <v>84</v>
      </c>
      <c r="C196" s="58" t="s">
        <v>98</v>
      </c>
      <c r="D196" s="642" t="s">
        <v>40</v>
      </c>
      <c r="E196" s="642"/>
      <c r="F196" s="642"/>
      <c r="G196" s="642"/>
      <c r="H196" s="30"/>
      <c r="I196" s="58"/>
      <c r="J196" s="212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94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94"/>
      <c r="AM196" s="158"/>
      <c r="AN196" s="158"/>
      <c r="AO196" s="158"/>
      <c r="AP196" s="158"/>
      <c r="AQ196" s="158"/>
      <c r="AR196" s="12"/>
      <c r="AS196" s="2"/>
      <c r="AT196" s="58"/>
      <c r="AU196" s="106"/>
      <c r="AV196" s="158">
        <v>23</v>
      </c>
      <c r="AW196" s="158"/>
      <c r="AX196" s="158"/>
      <c r="AY196" s="158"/>
      <c r="AZ196" s="158"/>
      <c r="BA196" s="158"/>
      <c r="BB196" s="69"/>
      <c r="BC196" s="69"/>
      <c r="BD196" s="271">
        <v>2016</v>
      </c>
      <c r="BE196" s="271"/>
      <c r="BF196" s="271"/>
    </row>
    <row r="197" spans="1:58" s="204" customFormat="1" ht="15" hidden="1" customHeight="1">
      <c r="A197" s="160" t="s">
        <v>504</v>
      </c>
      <c r="B197" s="58" t="s">
        <v>100</v>
      </c>
      <c r="C197" s="161" t="s">
        <v>99</v>
      </c>
      <c r="D197" s="145" t="s">
        <v>90</v>
      </c>
      <c r="E197" s="145"/>
      <c r="F197" s="145"/>
      <c r="G197" s="145"/>
      <c r="H197" s="30" t="s">
        <v>661</v>
      </c>
      <c r="I197" s="30"/>
      <c r="J197" s="212"/>
      <c r="K197" s="1"/>
      <c r="L197" s="1"/>
      <c r="M197" s="1"/>
      <c r="N197" s="1"/>
      <c r="O197" s="1"/>
      <c r="P197" s="1"/>
      <c r="Q197" s="1"/>
      <c r="R197" s="158"/>
      <c r="S197" s="1"/>
      <c r="T197" s="1"/>
      <c r="U197" s="1"/>
      <c r="V197" s="1"/>
      <c r="W197" s="1"/>
      <c r="X197" s="1"/>
      <c r="Y197" s="94"/>
      <c r="Z197" s="1"/>
      <c r="AA197" s="1"/>
      <c r="AB197" s="1"/>
      <c r="AC197" s="1"/>
      <c r="AD197" s="158"/>
      <c r="AE197" s="158"/>
      <c r="AF197" s="158"/>
      <c r="AG197" s="158"/>
      <c r="AH197" s="158"/>
      <c r="AI197" s="158"/>
      <c r="AJ197" s="158"/>
      <c r="AK197" s="158"/>
      <c r="AL197" s="94"/>
      <c r="AM197" s="158"/>
      <c r="AN197" s="158"/>
      <c r="AO197" s="1"/>
      <c r="AP197" s="1"/>
      <c r="AQ197" s="1"/>
      <c r="AR197" s="12"/>
      <c r="AS197" s="2">
        <v>1</v>
      </c>
      <c r="AT197" s="58" t="s">
        <v>646</v>
      </c>
      <c r="AU197" s="106"/>
      <c r="AV197" s="158">
        <v>7</v>
      </c>
      <c r="AW197" s="1"/>
      <c r="AX197" s="12"/>
      <c r="AY197" s="1"/>
      <c r="AZ197" s="1"/>
      <c r="BA197" s="1"/>
      <c r="BB197" s="287"/>
      <c r="BC197" s="69"/>
      <c r="BD197" s="271">
        <v>2016</v>
      </c>
      <c r="BE197" s="271"/>
      <c r="BF197" s="271"/>
    </row>
    <row r="198" spans="1:58" s="204" customFormat="1" ht="15" hidden="1" customHeight="1">
      <c r="A198" s="160" t="s">
        <v>504</v>
      </c>
      <c r="B198" s="58" t="s">
        <v>100</v>
      </c>
      <c r="C198" s="161" t="s">
        <v>99</v>
      </c>
      <c r="D198" s="145" t="s">
        <v>90</v>
      </c>
      <c r="E198" s="145"/>
      <c r="F198" s="145"/>
      <c r="G198" s="145"/>
      <c r="H198" s="30" t="s">
        <v>661</v>
      </c>
      <c r="I198" s="30"/>
      <c r="J198" s="212"/>
      <c r="K198" s="1"/>
      <c r="L198" s="1"/>
      <c r="M198" s="1"/>
      <c r="N198" s="1"/>
      <c r="O198" s="1"/>
      <c r="P198" s="1"/>
      <c r="Q198" s="1"/>
      <c r="R198" s="158"/>
      <c r="S198" s="1"/>
      <c r="T198" s="1"/>
      <c r="U198" s="1"/>
      <c r="V198" s="1"/>
      <c r="W198" s="1"/>
      <c r="X198" s="1"/>
      <c r="Y198" s="94"/>
      <c r="Z198" s="1"/>
      <c r="AA198" s="1"/>
      <c r="AB198" s="1"/>
      <c r="AC198" s="1"/>
      <c r="AD198" s="158"/>
      <c r="AE198" s="158"/>
      <c r="AF198" s="158"/>
      <c r="AG198" s="158"/>
      <c r="AH198" s="158"/>
      <c r="AI198" s="158"/>
      <c r="AJ198" s="158"/>
      <c r="AK198" s="158"/>
      <c r="AL198" s="94"/>
      <c r="AM198" s="158"/>
      <c r="AN198" s="158"/>
      <c r="AO198" s="1"/>
      <c r="AP198" s="1"/>
      <c r="AQ198" s="1"/>
      <c r="AR198" s="12"/>
      <c r="AS198" s="2"/>
      <c r="AT198" s="58"/>
      <c r="AU198" s="106"/>
      <c r="AV198" s="158"/>
      <c r="AW198" s="1"/>
      <c r="AX198" s="12">
        <v>10</v>
      </c>
      <c r="AY198" s="1"/>
      <c r="AZ198" s="1"/>
      <c r="BA198" s="12">
        <v>10</v>
      </c>
      <c r="BB198" s="287"/>
      <c r="BC198" s="69"/>
      <c r="BD198" s="271">
        <v>2018</v>
      </c>
      <c r="BE198" s="271"/>
      <c r="BF198" s="271"/>
    </row>
    <row r="199" spans="1:58" s="204" customFormat="1" ht="15" hidden="1" customHeight="1">
      <c r="A199" s="160" t="s">
        <v>504</v>
      </c>
      <c r="B199" s="58" t="s">
        <v>103</v>
      </c>
      <c r="C199" s="1" t="s">
        <v>101</v>
      </c>
      <c r="D199" s="1" t="s">
        <v>102</v>
      </c>
      <c r="E199" s="1"/>
      <c r="F199" s="1"/>
      <c r="G199" s="1"/>
      <c r="H199" s="30"/>
      <c r="I199" s="143"/>
      <c r="J199" s="212"/>
      <c r="K199" s="1"/>
      <c r="L199" s="1"/>
      <c r="M199" s="1"/>
      <c r="N199" s="1"/>
      <c r="O199" s="1"/>
      <c r="P199" s="1"/>
      <c r="Q199" s="1"/>
      <c r="R199" s="158"/>
      <c r="S199" s="1"/>
      <c r="T199" s="1"/>
      <c r="U199" s="1"/>
      <c r="V199" s="1"/>
      <c r="W199" s="1"/>
      <c r="X199" s="1"/>
      <c r="Y199" s="94"/>
      <c r="Z199" s="1"/>
      <c r="AA199" s="1"/>
      <c r="AB199" s="1"/>
      <c r="AC199" s="1"/>
      <c r="AD199" s="158"/>
      <c r="AE199" s="158"/>
      <c r="AF199" s="158"/>
      <c r="AG199" s="158"/>
      <c r="AH199" s="158"/>
      <c r="AI199" s="158"/>
      <c r="AJ199" s="158"/>
      <c r="AK199" s="158"/>
      <c r="AL199" s="94"/>
      <c r="AM199" s="158"/>
      <c r="AN199" s="158"/>
      <c r="AO199" s="1"/>
      <c r="AP199" s="1"/>
      <c r="AQ199" s="1"/>
      <c r="AR199" s="12"/>
      <c r="AS199" s="163"/>
      <c r="AT199" s="1"/>
      <c r="AU199" s="106"/>
      <c r="AV199" s="158">
        <v>27</v>
      </c>
      <c r="AW199" s="1"/>
      <c r="AX199" s="1"/>
      <c r="AY199" s="1"/>
      <c r="AZ199" s="1"/>
      <c r="BA199" s="1"/>
      <c r="BB199" s="287"/>
      <c r="BC199" s="69"/>
      <c r="BD199" s="271">
        <v>2016</v>
      </c>
      <c r="BE199" s="271"/>
      <c r="BF199" s="271"/>
    </row>
    <row r="200" spans="1:58" s="204" customFormat="1" ht="15" hidden="1" customHeight="1">
      <c r="A200" s="160" t="s">
        <v>504</v>
      </c>
      <c r="B200" s="58" t="s">
        <v>89</v>
      </c>
      <c r="C200" s="141" t="s">
        <v>104</v>
      </c>
      <c r="D200" s="146" t="s">
        <v>105</v>
      </c>
      <c r="E200" s="146"/>
      <c r="F200" s="146"/>
      <c r="G200" s="146"/>
      <c r="H200" s="30" t="s">
        <v>664</v>
      </c>
      <c r="I200" s="162"/>
      <c r="J200" s="212"/>
      <c r="K200" s="1"/>
      <c r="L200" s="141"/>
      <c r="M200" s="141"/>
      <c r="N200" s="141"/>
      <c r="O200" s="141"/>
      <c r="P200" s="141"/>
      <c r="Q200" s="141"/>
      <c r="R200" s="158"/>
      <c r="S200" s="141"/>
      <c r="T200" s="141"/>
      <c r="U200" s="141"/>
      <c r="V200" s="141"/>
      <c r="W200" s="141"/>
      <c r="X200" s="141"/>
      <c r="Y200" s="94"/>
      <c r="Z200" s="141"/>
      <c r="AA200" s="141"/>
      <c r="AB200" s="141"/>
      <c r="AC200" s="141"/>
      <c r="AD200" s="158"/>
      <c r="AE200" s="158"/>
      <c r="AF200" s="158"/>
      <c r="AG200" s="158"/>
      <c r="AH200" s="158"/>
      <c r="AI200" s="158"/>
      <c r="AJ200" s="158"/>
      <c r="AK200" s="158"/>
      <c r="AL200" s="94"/>
      <c r="AM200" s="158"/>
      <c r="AN200" s="158"/>
      <c r="AO200" s="141"/>
      <c r="AP200" s="141"/>
      <c r="AQ200" s="141"/>
      <c r="AR200" s="12"/>
      <c r="AS200" s="163">
        <v>1</v>
      </c>
      <c r="AT200" s="1" t="s">
        <v>646</v>
      </c>
      <c r="AU200" s="106"/>
      <c r="AV200" s="141"/>
      <c r="AW200" s="158">
        <f>40-1</f>
        <v>39</v>
      </c>
      <c r="AX200" s="141"/>
      <c r="AY200" s="141"/>
      <c r="AZ200" s="141"/>
      <c r="BA200" s="141"/>
      <c r="BB200" s="288"/>
      <c r="BC200" s="69"/>
      <c r="BD200" s="271">
        <v>2017</v>
      </c>
      <c r="BE200" s="271"/>
      <c r="BF200" s="444">
        <v>2019</v>
      </c>
    </row>
    <row r="201" spans="1:58" s="204" customFormat="1" ht="18" hidden="1" customHeight="1">
      <c r="A201" s="160" t="s">
        <v>504</v>
      </c>
      <c r="B201" s="58" t="s">
        <v>89</v>
      </c>
      <c r="C201" s="141" t="s">
        <v>104</v>
      </c>
      <c r="D201" s="146" t="s">
        <v>105</v>
      </c>
      <c r="E201" s="146"/>
      <c r="F201" s="146"/>
      <c r="G201" s="146"/>
      <c r="H201" s="30" t="s">
        <v>664</v>
      </c>
      <c r="I201" s="30">
        <v>572</v>
      </c>
      <c r="J201" s="212">
        <v>42450</v>
      </c>
      <c r="K201" s="158"/>
      <c r="L201" s="96"/>
      <c r="M201" s="158">
        <v>1</v>
      </c>
      <c r="N201" s="158"/>
      <c r="O201" s="158"/>
      <c r="P201" s="10">
        <v>56684296</v>
      </c>
      <c r="Q201" s="164"/>
      <c r="R201" s="158"/>
      <c r="S201" s="164"/>
      <c r="T201" s="164"/>
      <c r="U201" s="164"/>
      <c r="V201" s="164"/>
      <c r="W201" s="164"/>
      <c r="X201" s="164"/>
      <c r="Y201" s="94"/>
      <c r="Z201" s="164"/>
      <c r="AA201" s="164"/>
      <c r="AB201" s="164"/>
      <c r="AC201" s="158">
        <v>56684296</v>
      </c>
      <c r="AD201" s="158"/>
      <c r="AE201" s="158">
        <f>P201-T201-Y201-AC201</f>
        <v>0</v>
      </c>
      <c r="AF201" s="158"/>
      <c r="AG201" s="94">
        <v>0</v>
      </c>
      <c r="AH201" s="94"/>
      <c r="AI201" s="94"/>
      <c r="AJ201" s="158">
        <f>AE201+AG201</f>
        <v>0</v>
      </c>
      <c r="AK201" s="158">
        <v>877</v>
      </c>
      <c r="AL201" s="94">
        <v>20</v>
      </c>
      <c r="AM201" s="158"/>
      <c r="AN201" s="158"/>
      <c r="AO201" s="12"/>
      <c r="AP201" s="12"/>
      <c r="AQ201" s="12"/>
      <c r="AR201" s="12"/>
      <c r="AS201" s="2">
        <v>0</v>
      </c>
      <c r="AT201" s="1" t="s">
        <v>687</v>
      </c>
      <c r="AU201" s="391" t="s">
        <v>1368</v>
      </c>
      <c r="AV201" s="141"/>
      <c r="AW201" s="141"/>
      <c r="AX201" s="141"/>
      <c r="AY201" s="141"/>
      <c r="AZ201" s="141"/>
      <c r="BA201" s="141"/>
      <c r="BB201" s="288"/>
      <c r="BC201" s="69">
        <v>1</v>
      </c>
      <c r="BD201" s="271" t="s">
        <v>1706</v>
      </c>
      <c r="BE201" s="271">
        <v>2019</v>
      </c>
      <c r="BF201" s="271"/>
    </row>
    <row r="202" spans="1:58" s="204" customFormat="1" ht="15" hidden="1" customHeight="1">
      <c r="A202" s="160" t="s">
        <v>504</v>
      </c>
      <c r="B202" s="58" t="s">
        <v>86</v>
      </c>
      <c r="C202" s="1" t="s">
        <v>106</v>
      </c>
      <c r="D202" s="143" t="s">
        <v>570</v>
      </c>
      <c r="E202" s="143"/>
      <c r="F202" s="143"/>
      <c r="G202" s="143"/>
      <c r="H202" s="30" t="s">
        <v>664</v>
      </c>
      <c r="I202" s="162"/>
      <c r="J202" s="212"/>
      <c r="K202" s="1"/>
      <c r="L202" s="1"/>
      <c r="M202" s="1"/>
      <c r="N202" s="1"/>
      <c r="O202" s="1"/>
      <c r="P202" s="1"/>
      <c r="Q202" s="1"/>
      <c r="R202" s="158"/>
      <c r="S202" s="1"/>
      <c r="T202" s="1"/>
      <c r="U202" s="1"/>
      <c r="V202" s="1"/>
      <c r="W202" s="1"/>
      <c r="X202" s="1"/>
      <c r="Y202" s="94"/>
      <c r="Z202" s="1"/>
      <c r="AA202" s="1"/>
      <c r="AB202" s="1"/>
      <c r="AC202" s="1"/>
      <c r="AD202" s="158"/>
      <c r="AE202" s="158"/>
      <c r="AF202" s="158"/>
      <c r="AG202" s="158"/>
      <c r="AH202" s="158"/>
      <c r="AI202" s="158"/>
      <c r="AJ202" s="158"/>
      <c r="AK202" s="158"/>
      <c r="AL202" s="94"/>
      <c r="AM202" s="158"/>
      <c r="AN202" s="158"/>
      <c r="AO202" s="141"/>
      <c r="AP202" s="141"/>
      <c r="AQ202" s="141"/>
      <c r="AR202" s="141"/>
      <c r="AS202" s="163">
        <v>1</v>
      </c>
      <c r="AT202" s="1" t="s">
        <v>646</v>
      </c>
      <c r="AU202" s="106"/>
      <c r="AV202" s="1" t="s">
        <v>0</v>
      </c>
      <c r="AW202" s="158">
        <v>50</v>
      </c>
      <c r="AX202" s="141"/>
      <c r="AY202" s="141"/>
      <c r="AZ202" s="141"/>
      <c r="BA202" s="141"/>
      <c r="BB202" s="288"/>
      <c r="BC202" s="69"/>
      <c r="BD202" s="271">
        <v>2017</v>
      </c>
      <c r="BE202" s="271"/>
      <c r="BF202" s="271"/>
    </row>
    <row r="203" spans="1:58" s="204" customFormat="1" ht="27" hidden="1" customHeight="1">
      <c r="A203" s="160" t="s">
        <v>504</v>
      </c>
      <c r="B203" s="58" t="s">
        <v>86</v>
      </c>
      <c r="C203" s="27" t="s">
        <v>106</v>
      </c>
      <c r="D203" s="143" t="s">
        <v>570</v>
      </c>
      <c r="E203" s="143"/>
      <c r="F203" s="143"/>
      <c r="G203" s="143"/>
      <c r="H203" s="30" t="s">
        <v>664</v>
      </c>
      <c r="I203" s="30">
        <v>783</v>
      </c>
      <c r="J203" s="212">
        <v>42482</v>
      </c>
      <c r="K203" s="158">
        <v>1</v>
      </c>
      <c r="L203" s="158">
        <v>1</v>
      </c>
      <c r="M203" s="158"/>
      <c r="N203" s="158"/>
      <c r="O203" s="158"/>
      <c r="P203" s="158">
        <f>69310052</f>
        <v>69310052</v>
      </c>
      <c r="Q203" s="158"/>
      <c r="R203" s="158"/>
      <c r="S203" s="158"/>
      <c r="T203" s="158"/>
      <c r="U203" s="158"/>
      <c r="V203" s="158"/>
      <c r="W203" s="158"/>
      <c r="X203" s="158"/>
      <c r="Y203" s="94"/>
      <c r="Z203" s="158"/>
      <c r="AA203" s="158"/>
      <c r="AB203" s="158"/>
      <c r="AC203" s="158">
        <f>69310052</f>
        <v>69310052</v>
      </c>
      <c r="AD203" s="158"/>
      <c r="AE203" s="158">
        <f>P203-T203-Y203-AC203</f>
        <v>0</v>
      </c>
      <c r="AF203" s="158"/>
      <c r="AG203" s="94">
        <v>0</v>
      </c>
      <c r="AH203" s="94"/>
      <c r="AI203" s="94"/>
      <c r="AJ203" s="158">
        <f>AE203+AG203</f>
        <v>0</v>
      </c>
      <c r="AK203" s="158">
        <v>877</v>
      </c>
      <c r="AL203" s="94">
        <v>10</v>
      </c>
      <c r="AM203" s="158"/>
      <c r="AN203" s="158"/>
      <c r="AO203" s="12"/>
      <c r="AP203" s="12"/>
      <c r="AQ203" s="12"/>
      <c r="AR203" s="12"/>
      <c r="AS203" s="2">
        <v>0</v>
      </c>
      <c r="AT203" s="1" t="s">
        <v>687</v>
      </c>
      <c r="AU203" s="391" t="s">
        <v>1356</v>
      </c>
      <c r="AV203" s="1"/>
      <c r="AW203" s="141"/>
      <c r="AX203" s="141"/>
      <c r="AY203" s="141"/>
      <c r="AZ203" s="141"/>
      <c r="BA203" s="141"/>
      <c r="BB203" s="288"/>
      <c r="BC203" s="69">
        <v>1</v>
      </c>
      <c r="BD203" s="271" t="s">
        <v>1706</v>
      </c>
      <c r="BE203" s="271">
        <v>2019</v>
      </c>
      <c r="BF203" s="445"/>
    </row>
    <row r="204" spans="1:58" s="204" customFormat="1" ht="15" hidden="1" customHeight="1">
      <c r="A204" s="160" t="s">
        <v>504</v>
      </c>
      <c r="B204" s="58" t="s">
        <v>84</v>
      </c>
      <c r="C204" s="58" t="s">
        <v>107</v>
      </c>
      <c r="D204" s="144" t="s">
        <v>45</v>
      </c>
      <c r="E204" s="144"/>
      <c r="F204" s="144"/>
      <c r="G204" s="144"/>
      <c r="H204" s="30" t="s">
        <v>635</v>
      </c>
      <c r="I204" s="30"/>
      <c r="J204" s="212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94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94"/>
      <c r="AM204" s="158"/>
      <c r="AN204" s="158"/>
      <c r="AO204" s="158"/>
      <c r="AP204" s="158"/>
      <c r="AQ204" s="158"/>
      <c r="AR204" s="158"/>
      <c r="AS204" s="2">
        <v>1</v>
      </c>
      <c r="AT204" s="58" t="s">
        <v>646</v>
      </c>
      <c r="AU204" s="58" t="s">
        <v>645</v>
      </c>
      <c r="AV204" s="158"/>
      <c r="AW204" s="158">
        <v>67</v>
      </c>
      <c r="AX204" s="158"/>
      <c r="AY204" s="158"/>
      <c r="AZ204" s="158"/>
      <c r="BA204" s="158"/>
      <c r="BB204" s="69"/>
      <c r="BC204" s="69"/>
      <c r="BD204" s="271">
        <v>2017</v>
      </c>
      <c r="BE204" s="271"/>
      <c r="BF204" s="271"/>
    </row>
    <row r="205" spans="1:58" s="204" customFormat="1" ht="15" hidden="1" customHeight="1">
      <c r="A205" s="160" t="s">
        <v>504</v>
      </c>
      <c r="B205" s="58" t="s">
        <v>84</v>
      </c>
      <c r="C205" s="124" t="s">
        <v>108</v>
      </c>
      <c r="D205" s="126" t="s">
        <v>109</v>
      </c>
      <c r="E205" s="126"/>
      <c r="F205" s="126"/>
      <c r="G205" s="126"/>
      <c r="H205" s="30" t="s">
        <v>636</v>
      </c>
      <c r="I205" s="30"/>
      <c r="J205" s="212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94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94"/>
      <c r="AM205" s="158"/>
      <c r="AN205" s="158"/>
      <c r="AO205" s="158"/>
      <c r="AP205" s="158"/>
      <c r="AQ205" s="158"/>
      <c r="AR205" s="158"/>
      <c r="AS205" s="2">
        <v>1</v>
      </c>
      <c r="AT205" s="58" t="s">
        <v>646</v>
      </c>
      <c r="AU205" s="106"/>
      <c r="AV205" s="158"/>
      <c r="AW205" s="158">
        <v>39</v>
      </c>
      <c r="AX205" s="158"/>
      <c r="AY205" s="158"/>
      <c r="AZ205" s="158"/>
      <c r="BA205" s="158"/>
      <c r="BB205" s="69"/>
      <c r="BC205" s="69"/>
      <c r="BD205" s="271">
        <v>2017</v>
      </c>
      <c r="BE205" s="271"/>
      <c r="BF205" s="271"/>
    </row>
    <row r="206" spans="1:58" s="204" customFormat="1" ht="15" hidden="1" customHeight="1">
      <c r="A206" s="160" t="s">
        <v>504</v>
      </c>
      <c r="B206" s="58" t="s">
        <v>84</v>
      </c>
      <c r="C206" s="124" t="s">
        <v>110</v>
      </c>
      <c r="D206" s="126" t="s">
        <v>45</v>
      </c>
      <c r="E206" s="126"/>
      <c r="F206" s="126"/>
      <c r="G206" s="126"/>
      <c r="H206" s="30" t="s">
        <v>636</v>
      </c>
      <c r="I206" s="30"/>
      <c r="J206" s="212"/>
      <c r="K206" s="6"/>
      <c r="L206" s="6"/>
      <c r="M206" s="6"/>
      <c r="N206" s="6"/>
      <c r="O206" s="6"/>
      <c r="P206" s="6"/>
      <c r="Q206" s="6"/>
      <c r="R206" s="158"/>
      <c r="S206" s="6"/>
      <c r="T206" s="6"/>
      <c r="U206" s="6"/>
      <c r="V206" s="6"/>
      <c r="W206" s="6"/>
      <c r="X206" s="6"/>
      <c r="Y206" s="94"/>
      <c r="Z206" s="6"/>
      <c r="AA206" s="6"/>
      <c r="AB206" s="6"/>
      <c r="AC206" s="6"/>
      <c r="AD206" s="158"/>
      <c r="AE206" s="158"/>
      <c r="AF206" s="158"/>
      <c r="AG206" s="158"/>
      <c r="AH206" s="158"/>
      <c r="AI206" s="158"/>
      <c r="AJ206" s="158"/>
      <c r="AK206" s="158"/>
      <c r="AL206" s="94"/>
      <c r="AM206" s="158"/>
      <c r="AN206" s="158"/>
      <c r="AO206" s="6"/>
      <c r="AP206" s="6"/>
      <c r="AQ206" s="6"/>
      <c r="AR206" s="6"/>
      <c r="AS206" s="2">
        <v>1</v>
      </c>
      <c r="AT206" s="58" t="s">
        <v>646</v>
      </c>
      <c r="AU206" s="106"/>
      <c r="AV206" s="6"/>
      <c r="AW206" s="158">
        <v>15</v>
      </c>
      <c r="AX206" s="6"/>
      <c r="AY206" s="6"/>
      <c r="AZ206" s="6"/>
      <c r="BA206" s="6"/>
      <c r="BB206" s="289"/>
      <c r="BC206" s="69"/>
      <c r="BD206" s="271">
        <v>2017</v>
      </c>
      <c r="BE206" s="271"/>
      <c r="BF206" s="271"/>
    </row>
    <row r="207" spans="1:58" s="204" customFormat="1" ht="15" hidden="1" customHeight="1">
      <c r="A207" s="160" t="s">
        <v>504</v>
      </c>
      <c r="B207" s="58" t="s">
        <v>84</v>
      </c>
      <c r="C207" s="124" t="s">
        <v>111</v>
      </c>
      <c r="D207" s="126" t="s">
        <v>112</v>
      </c>
      <c r="E207" s="126"/>
      <c r="F207" s="126"/>
      <c r="G207" s="126"/>
      <c r="H207" s="30"/>
      <c r="I207" s="144"/>
      <c r="J207" s="212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94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94"/>
      <c r="AM207" s="158"/>
      <c r="AN207" s="158"/>
      <c r="AO207" s="158"/>
      <c r="AP207" s="158"/>
      <c r="AQ207" s="158"/>
      <c r="AR207" s="158"/>
      <c r="AS207" s="2"/>
      <c r="AT207" s="58"/>
      <c r="AU207" s="106"/>
      <c r="AV207" s="158">
        <v>53</v>
      </c>
      <c r="AW207" s="158"/>
      <c r="AX207" s="158"/>
      <c r="AY207" s="158"/>
      <c r="AZ207" s="158"/>
      <c r="BA207" s="158"/>
      <c r="BB207" s="69"/>
      <c r="BC207" s="69"/>
      <c r="BD207" s="271">
        <v>2016</v>
      </c>
      <c r="BE207" s="271"/>
      <c r="BF207" s="271"/>
    </row>
    <row r="208" spans="1:58" s="204" customFormat="1" ht="18" customHeight="1">
      <c r="A208" s="160" t="s">
        <v>504</v>
      </c>
      <c r="B208" s="58" t="s">
        <v>579</v>
      </c>
      <c r="C208" s="124" t="s">
        <v>559</v>
      </c>
      <c r="D208" s="126" t="s">
        <v>560</v>
      </c>
      <c r="E208" s="126"/>
      <c r="F208" s="126"/>
      <c r="G208" s="126"/>
      <c r="H208" s="30" t="s">
        <v>657</v>
      </c>
      <c r="I208" s="30">
        <v>850</v>
      </c>
      <c r="J208" s="212">
        <v>41379</v>
      </c>
      <c r="K208" s="158"/>
      <c r="L208" s="158"/>
      <c r="M208" s="158">
        <v>70</v>
      </c>
      <c r="N208" s="158"/>
      <c r="O208" s="158">
        <v>70</v>
      </c>
      <c r="P208" s="10">
        <v>4300254950</v>
      </c>
      <c r="Q208" s="10">
        <v>718200000</v>
      </c>
      <c r="R208" s="158"/>
      <c r="S208" s="158"/>
      <c r="T208" s="10">
        <v>1448106414</v>
      </c>
      <c r="U208" s="10"/>
      <c r="V208" s="10"/>
      <c r="W208" s="10"/>
      <c r="X208" s="10"/>
      <c r="Y208" s="10">
        <v>2133948536</v>
      </c>
      <c r="Z208" s="158"/>
      <c r="AA208" s="158"/>
      <c r="AB208" s="158"/>
      <c r="AC208" s="158"/>
      <c r="AD208" s="158"/>
      <c r="AE208" s="158">
        <f>P208-Q208-T208-Y208</f>
        <v>0</v>
      </c>
      <c r="AF208" s="158"/>
      <c r="AG208" s="94">
        <v>0</v>
      </c>
      <c r="AH208" s="94"/>
      <c r="AI208" s="94"/>
      <c r="AJ208" s="158">
        <f>AE208+AG208</f>
        <v>0</v>
      </c>
      <c r="AK208" s="158">
        <v>877</v>
      </c>
      <c r="AL208" s="94">
        <v>10</v>
      </c>
      <c r="AM208" s="158"/>
      <c r="AN208" s="158"/>
      <c r="AO208" s="158"/>
      <c r="AP208" s="158">
        <v>70</v>
      </c>
      <c r="AQ208" s="158"/>
      <c r="AR208" s="158"/>
      <c r="AS208" s="2">
        <v>0.73780000000000001</v>
      </c>
      <c r="AT208" s="58" t="s">
        <v>942</v>
      </c>
      <c r="AU208" s="104"/>
      <c r="AV208" s="158"/>
      <c r="AW208" s="158"/>
      <c r="AX208" s="158"/>
      <c r="AY208" s="158"/>
      <c r="AZ208" s="158"/>
      <c r="BA208" s="158"/>
      <c r="BB208" s="69"/>
      <c r="BC208" s="69"/>
      <c r="BD208" s="271"/>
      <c r="BE208" s="271">
        <v>2019</v>
      </c>
      <c r="BF208" s="271">
        <v>2020</v>
      </c>
    </row>
    <row r="209" spans="1:58" s="204" customFormat="1" ht="15" hidden="1" customHeight="1">
      <c r="A209" s="160" t="s">
        <v>504</v>
      </c>
      <c r="B209" s="58" t="s">
        <v>76</v>
      </c>
      <c r="C209" s="124" t="s">
        <v>113</v>
      </c>
      <c r="D209" s="126" t="s">
        <v>90</v>
      </c>
      <c r="E209" s="126"/>
      <c r="F209" s="126"/>
      <c r="G209" s="126"/>
      <c r="H209" s="30"/>
      <c r="I209" s="144"/>
      <c r="J209" s="212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94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94"/>
      <c r="AM209" s="158"/>
      <c r="AN209" s="158"/>
      <c r="AO209" s="158"/>
      <c r="AP209" s="158"/>
      <c r="AQ209" s="158"/>
      <c r="AR209" s="158"/>
      <c r="AS209" s="2"/>
      <c r="AT209" s="58"/>
      <c r="AU209" s="106"/>
      <c r="AV209" s="158">
        <v>14</v>
      </c>
      <c r="AW209" s="158"/>
      <c r="AX209" s="158"/>
      <c r="AY209" s="158"/>
      <c r="AZ209" s="158"/>
      <c r="BA209" s="158"/>
      <c r="BB209" s="69"/>
      <c r="BC209" s="69"/>
      <c r="BD209" s="271">
        <v>2016</v>
      </c>
      <c r="BE209" s="271"/>
      <c r="BF209" s="271"/>
    </row>
    <row r="210" spans="1:58" s="204" customFormat="1" ht="15" hidden="1" customHeight="1">
      <c r="A210" s="160" t="s">
        <v>504</v>
      </c>
      <c r="B210" s="58" t="s">
        <v>84</v>
      </c>
      <c r="C210" s="124" t="s">
        <v>114</v>
      </c>
      <c r="D210" s="126" t="s">
        <v>75</v>
      </c>
      <c r="E210" s="126"/>
      <c r="F210" s="126"/>
      <c r="G210" s="126"/>
      <c r="H210" s="30"/>
      <c r="I210" s="144"/>
      <c r="J210" s="212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94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94"/>
      <c r="AM210" s="158"/>
      <c r="AN210" s="158"/>
      <c r="AO210" s="158"/>
      <c r="AP210" s="158"/>
      <c r="AQ210" s="158"/>
      <c r="AR210" s="158"/>
      <c r="AS210" s="2"/>
      <c r="AT210" s="58"/>
      <c r="AU210" s="106"/>
      <c r="AV210" s="158">
        <v>48</v>
      </c>
      <c r="AW210" s="158"/>
      <c r="AX210" s="158"/>
      <c r="AY210" s="158"/>
      <c r="AZ210" s="158"/>
      <c r="BA210" s="158"/>
      <c r="BB210" s="69"/>
      <c r="BC210" s="69"/>
      <c r="BD210" s="271">
        <v>2016</v>
      </c>
      <c r="BE210" s="271"/>
      <c r="BF210" s="271"/>
    </row>
    <row r="211" spans="1:58" s="204" customFormat="1" ht="15" hidden="1" customHeight="1">
      <c r="A211" s="160" t="s">
        <v>504</v>
      </c>
      <c r="B211" s="58" t="s">
        <v>84</v>
      </c>
      <c r="C211" s="124" t="s">
        <v>115</v>
      </c>
      <c r="D211" s="126" t="s">
        <v>75</v>
      </c>
      <c r="E211" s="126"/>
      <c r="F211" s="126"/>
      <c r="G211" s="126"/>
      <c r="H211" s="30"/>
      <c r="I211" s="144"/>
      <c r="J211" s="212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94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94"/>
      <c r="AM211" s="158"/>
      <c r="AN211" s="158"/>
      <c r="AO211" s="158"/>
      <c r="AP211" s="158"/>
      <c r="AQ211" s="158"/>
      <c r="AR211" s="158"/>
      <c r="AS211" s="2"/>
      <c r="AT211" s="58"/>
      <c r="AU211" s="106"/>
      <c r="AV211" s="158">
        <v>30</v>
      </c>
      <c r="AW211" s="158"/>
      <c r="AX211" s="158"/>
      <c r="AY211" s="158"/>
      <c r="AZ211" s="158"/>
      <c r="BA211" s="158"/>
      <c r="BB211" s="69"/>
      <c r="BC211" s="69"/>
      <c r="BD211" s="271">
        <v>2016</v>
      </c>
      <c r="BE211" s="271"/>
      <c r="BF211" s="271"/>
    </row>
    <row r="212" spans="1:58" s="204" customFormat="1" ht="15" hidden="1" customHeight="1">
      <c r="A212" s="160" t="s">
        <v>504</v>
      </c>
      <c r="B212" s="58" t="s">
        <v>84</v>
      </c>
      <c r="C212" s="124" t="s">
        <v>116</v>
      </c>
      <c r="D212" s="126" t="s">
        <v>75</v>
      </c>
      <c r="E212" s="126"/>
      <c r="F212" s="126"/>
      <c r="G212" s="126"/>
      <c r="H212" s="30"/>
      <c r="I212" s="144"/>
      <c r="J212" s="212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94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94"/>
      <c r="AM212" s="158"/>
      <c r="AN212" s="158"/>
      <c r="AO212" s="158"/>
      <c r="AP212" s="158"/>
      <c r="AQ212" s="158"/>
      <c r="AR212" s="158"/>
      <c r="AS212" s="2"/>
      <c r="AT212" s="58"/>
      <c r="AU212" s="106"/>
      <c r="AV212" s="158">
        <v>30</v>
      </c>
      <c r="AW212" s="158"/>
      <c r="AX212" s="158"/>
      <c r="AY212" s="158"/>
      <c r="AZ212" s="158"/>
      <c r="BA212" s="158"/>
      <c r="BB212" s="69"/>
      <c r="BC212" s="69"/>
      <c r="BD212" s="271">
        <v>2016</v>
      </c>
      <c r="BE212" s="271"/>
      <c r="BF212" s="271"/>
    </row>
    <row r="213" spans="1:58" s="204" customFormat="1" ht="15" hidden="1" customHeight="1">
      <c r="A213" s="160" t="s">
        <v>504</v>
      </c>
      <c r="B213" s="58" t="s">
        <v>84</v>
      </c>
      <c r="C213" s="58" t="s">
        <v>1112</v>
      </c>
      <c r="D213" s="126" t="s">
        <v>75</v>
      </c>
      <c r="E213" s="126"/>
      <c r="F213" s="126"/>
      <c r="G213" s="126"/>
      <c r="H213" s="30" t="s">
        <v>663</v>
      </c>
      <c r="I213" s="30"/>
      <c r="J213" s="212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94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94"/>
      <c r="AM213" s="158"/>
      <c r="AN213" s="158"/>
      <c r="AO213" s="158"/>
      <c r="AP213" s="158"/>
      <c r="AQ213" s="158"/>
      <c r="AR213" s="158"/>
      <c r="AS213" s="2">
        <v>1</v>
      </c>
      <c r="AT213" s="58" t="s">
        <v>646</v>
      </c>
      <c r="AU213" s="106"/>
      <c r="AV213" s="158"/>
      <c r="AW213" s="158"/>
      <c r="AX213" s="158">
        <v>31</v>
      </c>
      <c r="AY213" s="158"/>
      <c r="AZ213" s="158"/>
      <c r="BA213" s="158">
        <v>31</v>
      </c>
      <c r="BB213" s="69"/>
      <c r="BC213" s="69"/>
      <c r="BD213" s="271">
        <v>2018</v>
      </c>
      <c r="BE213" s="271"/>
      <c r="BF213" s="271"/>
    </row>
    <row r="214" spans="1:58" s="204" customFormat="1" ht="15" hidden="1" customHeight="1">
      <c r="A214" s="160" t="s">
        <v>504</v>
      </c>
      <c r="B214" s="58" t="s">
        <v>84</v>
      </c>
      <c r="C214" s="126" t="s">
        <v>117</v>
      </c>
      <c r="D214" s="126" t="s">
        <v>13</v>
      </c>
      <c r="E214" s="126"/>
      <c r="F214" s="126"/>
      <c r="G214" s="126"/>
      <c r="H214" s="30"/>
      <c r="I214" s="144"/>
      <c r="J214" s="212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94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94"/>
      <c r="AM214" s="158"/>
      <c r="AN214" s="158"/>
      <c r="AO214" s="158"/>
      <c r="AP214" s="158"/>
      <c r="AQ214" s="158"/>
      <c r="AR214" s="158"/>
      <c r="AS214" s="2"/>
      <c r="AT214" s="58"/>
      <c r="AU214" s="106"/>
      <c r="AV214" s="158">
        <v>37</v>
      </c>
      <c r="AW214" s="158"/>
      <c r="AX214" s="158"/>
      <c r="AY214" s="158"/>
      <c r="AZ214" s="158"/>
      <c r="BA214" s="158"/>
      <c r="BB214" s="69"/>
      <c r="BC214" s="69"/>
      <c r="BD214" s="271">
        <v>2016</v>
      </c>
      <c r="BE214" s="271"/>
      <c r="BF214" s="271"/>
    </row>
    <row r="215" spans="1:58" s="204" customFormat="1" ht="15" hidden="1" customHeight="1">
      <c r="A215" s="160" t="s">
        <v>504</v>
      </c>
      <c r="B215" s="58" t="s">
        <v>83</v>
      </c>
      <c r="C215" s="126" t="s">
        <v>118</v>
      </c>
      <c r="D215" s="126" t="s">
        <v>105</v>
      </c>
      <c r="E215" s="126"/>
      <c r="F215" s="126"/>
      <c r="G215" s="126"/>
      <c r="H215" s="30"/>
      <c r="I215" s="144"/>
      <c r="J215" s="212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94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94"/>
      <c r="AM215" s="158"/>
      <c r="AN215" s="158"/>
      <c r="AO215" s="158"/>
      <c r="AP215" s="158"/>
      <c r="AQ215" s="158"/>
      <c r="AR215" s="158"/>
      <c r="AS215" s="2"/>
      <c r="AT215" s="58"/>
      <c r="AU215" s="106"/>
      <c r="AV215" s="158">
        <v>24</v>
      </c>
      <c r="AW215" s="158"/>
      <c r="AX215" s="158"/>
      <c r="AY215" s="158"/>
      <c r="AZ215" s="158"/>
      <c r="BA215" s="158"/>
      <c r="BB215" s="69"/>
      <c r="BC215" s="69"/>
      <c r="BD215" s="271">
        <v>2016</v>
      </c>
      <c r="BE215" s="271"/>
      <c r="BF215" s="444"/>
    </row>
    <row r="216" spans="1:58" s="204" customFormat="1" ht="15" hidden="1" customHeight="1">
      <c r="A216" s="160" t="s">
        <v>504</v>
      </c>
      <c r="B216" s="58" t="s">
        <v>84</v>
      </c>
      <c r="C216" s="126" t="s">
        <v>748</v>
      </c>
      <c r="D216" s="126" t="s">
        <v>105</v>
      </c>
      <c r="E216" s="126"/>
      <c r="F216" s="126"/>
      <c r="G216" s="126"/>
      <c r="H216" s="30" t="s">
        <v>713</v>
      </c>
      <c r="I216" s="30">
        <v>1953</v>
      </c>
      <c r="J216" s="212">
        <v>42991</v>
      </c>
      <c r="K216" s="158"/>
      <c r="L216" s="96"/>
      <c r="M216" s="96"/>
      <c r="N216" s="96"/>
      <c r="O216" s="96"/>
      <c r="P216" s="158">
        <f>1728012563-123429468</f>
        <v>1604583095</v>
      </c>
      <c r="Q216" s="96"/>
      <c r="R216" s="158"/>
      <c r="S216" s="96"/>
      <c r="T216" s="158">
        <v>643803590</v>
      </c>
      <c r="U216" s="96"/>
      <c r="V216" s="96"/>
      <c r="W216" s="96"/>
      <c r="X216" s="96"/>
      <c r="Y216" s="158">
        <v>960779505</v>
      </c>
      <c r="Z216" s="96"/>
      <c r="AA216" s="96"/>
      <c r="AB216" s="96"/>
      <c r="AC216" s="96"/>
      <c r="AD216" s="158"/>
      <c r="AE216" s="158">
        <f>P216-T216-Y216</f>
        <v>0</v>
      </c>
      <c r="AF216" s="158"/>
      <c r="AG216" s="158"/>
      <c r="AH216" s="158"/>
      <c r="AI216" s="158"/>
      <c r="AJ216" s="158"/>
      <c r="AK216" s="158"/>
      <c r="AL216" s="94"/>
      <c r="AM216" s="158"/>
      <c r="AN216" s="158"/>
      <c r="AO216" s="158"/>
      <c r="AP216" s="158"/>
      <c r="AQ216" s="158"/>
      <c r="AR216" s="158"/>
      <c r="AS216" s="2">
        <v>1</v>
      </c>
      <c r="AT216" s="58" t="s">
        <v>646</v>
      </c>
      <c r="AU216" s="106"/>
      <c r="AV216" s="158"/>
      <c r="AW216" s="158"/>
      <c r="AX216" s="158">
        <v>26</v>
      </c>
      <c r="AY216" s="158"/>
      <c r="AZ216" s="158"/>
      <c r="BA216" s="158">
        <v>26</v>
      </c>
      <c r="BB216" s="69"/>
      <c r="BC216" s="69"/>
      <c r="BD216" s="271">
        <v>2018</v>
      </c>
      <c r="BE216" s="271"/>
      <c r="BF216" s="271"/>
    </row>
    <row r="217" spans="1:58" s="204" customFormat="1" ht="15" hidden="1" customHeight="1">
      <c r="A217" s="160" t="s">
        <v>504</v>
      </c>
      <c r="B217" s="58" t="s">
        <v>84</v>
      </c>
      <c r="C217" s="126" t="s">
        <v>748</v>
      </c>
      <c r="D217" s="126" t="s">
        <v>105</v>
      </c>
      <c r="E217" s="126"/>
      <c r="F217" s="126"/>
      <c r="G217" s="126"/>
      <c r="H217" s="30" t="s">
        <v>713</v>
      </c>
      <c r="I217" s="30">
        <v>1953</v>
      </c>
      <c r="J217" s="212">
        <v>42991</v>
      </c>
      <c r="K217" s="158"/>
      <c r="L217" s="96"/>
      <c r="M217" s="96"/>
      <c r="N217" s="96"/>
      <c r="O217" s="96"/>
      <c r="P217" s="158">
        <f>123429468-61714734</f>
        <v>61714734</v>
      </c>
      <c r="Q217" s="324"/>
      <c r="R217" s="158"/>
      <c r="S217" s="423"/>
      <c r="T217" s="158">
        <v>27597369</v>
      </c>
      <c r="U217" s="158">
        <v>10</v>
      </c>
      <c r="V217" s="96"/>
      <c r="W217" s="96"/>
      <c r="X217" s="96"/>
      <c r="Y217" s="158">
        <v>34117365</v>
      </c>
      <c r="Z217" s="96"/>
      <c r="AA217" s="96"/>
      <c r="AB217" s="96"/>
      <c r="AC217" s="96"/>
      <c r="AD217" s="158"/>
      <c r="AE217" s="158">
        <f>P217-T217-Y217</f>
        <v>0</v>
      </c>
      <c r="AF217" s="158"/>
      <c r="AG217" s="158"/>
      <c r="AH217" s="158"/>
      <c r="AI217" s="158"/>
      <c r="AJ217" s="158"/>
      <c r="AK217" s="158"/>
      <c r="AL217" s="94"/>
      <c r="AM217" s="158"/>
      <c r="AN217" s="158"/>
      <c r="AO217" s="158"/>
      <c r="AP217" s="158"/>
      <c r="AQ217" s="158"/>
      <c r="AR217" s="158"/>
      <c r="AS217" s="2">
        <v>1</v>
      </c>
      <c r="AT217" s="58" t="s">
        <v>646</v>
      </c>
      <c r="AU217" s="106"/>
      <c r="AV217" s="158"/>
      <c r="AW217" s="158"/>
      <c r="AX217" s="12">
        <v>1</v>
      </c>
      <c r="AY217" s="158"/>
      <c r="AZ217" s="158"/>
      <c r="BA217" s="158"/>
      <c r="BB217" s="69">
        <v>1</v>
      </c>
      <c r="BC217" s="69"/>
      <c r="BD217" s="271">
        <v>2018</v>
      </c>
      <c r="BE217" s="271"/>
      <c r="BF217" s="271"/>
    </row>
    <row r="218" spans="1:58" s="204" customFormat="1" ht="18" hidden="1" customHeight="1">
      <c r="A218" s="160" t="s">
        <v>504</v>
      </c>
      <c r="B218" s="58" t="s">
        <v>84</v>
      </c>
      <c r="C218" s="126" t="s">
        <v>748</v>
      </c>
      <c r="D218" s="126" t="s">
        <v>105</v>
      </c>
      <c r="E218" s="126"/>
      <c r="F218" s="126"/>
      <c r="G218" s="126"/>
      <c r="H218" s="30" t="s">
        <v>713</v>
      </c>
      <c r="I218" s="30">
        <v>1953</v>
      </c>
      <c r="J218" s="212">
        <v>42991</v>
      </c>
      <c r="K218" s="158">
        <v>1</v>
      </c>
      <c r="L218" s="158">
        <v>1</v>
      </c>
      <c r="M218" s="158"/>
      <c r="N218" s="158"/>
      <c r="O218" s="158"/>
      <c r="P218" s="158">
        <v>61714734</v>
      </c>
      <c r="Q218" s="158"/>
      <c r="R218" s="158"/>
      <c r="S218" s="158"/>
      <c r="T218" s="158">
        <v>27597369</v>
      </c>
      <c r="U218" s="158"/>
      <c r="V218" s="158"/>
      <c r="W218" s="158"/>
      <c r="X218" s="158"/>
      <c r="Y218" s="158">
        <v>34117365</v>
      </c>
      <c r="Z218" s="158"/>
      <c r="AA218" s="158"/>
      <c r="AB218" s="158"/>
      <c r="AC218" s="158"/>
      <c r="AD218" s="158"/>
      <c r="AE218" s="158">
        <f>P218-T218-Y218</f>
        <v>0</v>
      </c>
      <c r="AF218" s="158"/>
      <c r="AG218" s="94">
        <v>0</v>
      </c>
      <c r="AH218" s="94"/>
      <c r="AI218" s="94"/>
      <c r="AJ218" s="158">
        <f>AE218+AG218</f>
        <v>0</v>
      </c>
      <c r="AK218" s="158">
        <v>877</v>
      </c>
      <c r="AL218" s="94"/>
      <c r="AM218" s="158"/>
      <c r="AN218" s="158"/>
      <c r="AO218" s="158"/>
      <c r="AP218" s="158"/>
      <c r="AQ218" s="158"/>
      <c r="AR218" s="158"/>
      <c r="AS218" s="2">
        <v>1</v>
      </c>
      <c r="AT218" s="58" t="s">
        <v>646</v>
      </c>
      <c r="AU218" s="104"/>
      <c r="AV218" s="158"/>
      <c r="AW218" s="158"/>
      <c r="AX218" s="158"/>
      <c r="AY218" s="158">
        <v>1</v>
      </c>
      <c r="AZ218" s="158"/>
      <c r="BA218" s="158"/>
      <c r="BB218" s="69">
        <f>+AY218</f>
        <v>1</v>
      </c>
      <c r="BC218" s="69"/>
      <c r="BD218" s="271">
        <v>2019</v>
      </c>
      <c r="BE218" s="271">
        <v>2019</v>
      </c>
      <c r="BF218" s="271"/>
    </row>
    <row r="219" spans="1:58" s="204" customFormat="1" ht="15" hidden="1" customHeight="1">
      <c r="A219" s="160" t="s">
        <v>504</v>
      </c>
      <c r="B219" s="58" t="s">
        <v>84</v>
      </c>
      <c r="C219" s="126" t="s">
        <v>749</v>
      </c>
      <c r="D219" s="126" t="s">
        <v>524</v>
      </c>
      <c r="E219" s="126"/>
      <c r="F219" s="126"/>
      <c r="G219" s="126"/>
      <c r="H219" s="30" t="s">
        <v>713</v>
      </c>
      <c r="I219" s="30">
        <v>1906</v>
      </c>
      <c r="J219" s="212">
        <v>42984</v>
      </c>
      <c r="K219" s="158"/>
      <c r="L219" s="158"/>
      <c r="M219" s="158"/>
      <c r="N219" s="158"/>
      <c r="O219" s="158"/>
      <c r="P219" s="158">
        <f>1671962096-185773567</f>
        <v>1486188529</v>
      </c>
      <c r="Q219" s="158"/>
      <c r="R219" s="158"/>
      <c r="S219" s="158"/>
      <c r="T219" s="158">
        <v>668479431</v>
      </c>
      <c r="U219" s="158"/>
      <c r="V219" s="158"/>
      <c r="W219" s="158"/>
      <c r="X219" s="158"/>
      <c r="Y219" s="94">
        <v>817709098</v>
      </c>
      <c r="Z219" s="158"/>
      <c r="AA219" s="158"/>
      <c r="AB219" s="158"/>
      <c r="AC219" s="158"/>
      <c r="AD219" s="158"/>
      <c r="AE219" s="158">
        <f>P219-T219-Y219-AC219</f>
        <v>0</v>
      </c>
      <c r="AF219" s="158"/>
      <c r="AG219" s="158"/>
      <c r="AH219" s="158"/>
      <c r="AI219" s="158"/>
      <c r="AJ219" s="158"/>
      <c r="AK219" s="158"/>
      <c r="AL219" s="94"/>
      <c r="AM219" s="158"/>
      <c r="AN219" s="158"/>
      <c r="AO219" s="158"/>
      <c r="AP219" s="158"/>
      <c r="AQ219" s="158"/>
      <c r="AR219" s="158"/>
      <c r="AS219" s="2">
        <v>1</v>
      </c>
      <c r="AT219" s="58" t="s">
        <v>646</v>
      </c>
      <c r="AU219" s="106"/>
      <c r="AV219" s="158"/>
      <c r="AW219" s="158"/>
      <c r="AX219" s="158">
        <v>24</v>
      </c>
      <c r="AY219" s="158"/>
      <c r="AZ219" s="158"/>
      <c r="BA219" s="158">
        <v>24</v>
      </c>
      <c r="BB219" s="69"/>
      <c r="BC219" s="69"/>
      <c r="BD219" s="271">
        <v>2018</v>
      </c>
      <c r="BE219" s="271"/>
      <c r="BF219" s="271"/>
    </row>
    <row r="220" spans="1:58" s="204" customFormat="1" ht="18" hidden="1" customHeight="1">
      <c r="A220" s="160" t="s">
        <v>504</v>
      </c>
      <c r="B220" s="58" t="s">
        <v>84</v>
      </c>
      <c r="C220" s="126" t="s">
        <v>749</v>
      </c>
      <c r="D220" s="126" t="s">
        <v>524</v>
      </c>
      <c r="E220" s="126"/>
      <c r="F220" s="126"/>
      <c r="G220" s="126"/>
      <c r="H220" s="30" t="s">
        <v>713</v>
      </c>
      <c r="I220" s="30">
        <v>1906</v>
      </c>
      <c r="J220" s="212">
        <v>42984</v>
      </c>
      <c r="K220" s="158"/>
      <c r="L220" s="158"/>
      <c r="M220" s="158">
        <v>3</v>
      </c>
      <c r="N220" s="158"/>
      <c r="O220" s="158"/>
      <c r="P220" s="158">
        <v>185773567</v>
      </c>
      <c r="Q220" s="158"/>
      <c r="R220" s="158"/>
      <c r="S220" s="158"/>
      <c r="T220" s="158"/>
      <c r="U220" s="158"/>
      <c r="V220" s="158"/>
      <c r="W220" s="158"/>
      <c r="X220" s="158"/>
      <c r="Y220" s="94"/>
      <c r="Z220" s="158"/>
      <c r="AA220" s="158"/>
      <c r="AB220" s="158"/>
      <c r="AC220" s="158">
        <v>185773567</v>
      </c>
      <c r="AD220" s="158"/>
      <c r="AE220" s="158">
        <f>P220-T220-Y220-AC220</f>
        <v>0</v>
      </c>
      <c r="AF220" s="158"/>
      <c r="AG220" s="94">
        <v>0</v>
      </c>
      <c r="AH220" s="94"/>
      <c r="AI220" s="94"/>
      <c r="AJ220" s="158">
        <f t="shared" ref="AJ220:AJ221" si="32">AE220+AG220</f>
        <v>0</v>
      </c>
      <c r="AK220" s="158">
        <v>877</v>
      </c>
      <c r="AL220" s="94">
        <v>10</v>
      </c>
      <c r="AM220" s="158"/>
      <c r="AN220" s="158"/>
      <c r="AO220" s="158"/>
      <c r="AP220" s="158"/>
      <c r="AQ220" s="158"/>
      <c r="AR220" s="158"/>
      <c r="AS220" s="2">
        <v>0</v>
      </c>
      <c r="AT220" s="58" t="s">
        <v>687</v>
      </c>
      <c r="AU220" s="387" t="s">
        <v>1355</v>
      </c>
      <c r="AV220" s="158"/>
      <c r="AW220" s="158"/>
      <c r="AX220" s="158"/>
      <c r="AY220" s="158"/>
      <c r="AZ220" s="158"/>
      <c r="BA220" s="158"/>
      <c r="BB220" s="69"/>
      <c r="BC220" s="69">
        <v>3</v>
      </c>
      <c r="BD220" s="271" t="s">
        <v>1706</v>
      </c>
      <c r="BE220" s="271">
        <v>2019</v>
      </c>
      <c r="BF220" s="271"/>
    </row>
    <row r="221" spans="1:58" s="204" customFormat="1" ht="18" hidden="1" customHeight="1">
      <c r="A221" s="160" t="s">
        <v>504</v>
      </c>
      <c r="B221" s="58" t="s">
        <v>76</v>
      </c>
      <c r="C221" s="126" t="s">
        <v>750</v>
      </c>
      <c r="D221" s="126" t="s">
        <v>751</v>
      </c>
      <c r="E221" s="126"/>
      <c r="F221" s="126"/>
      <c r="G221" s="126"/>
      <c r="H221" s="30" t="s">
        <v>713</v>
      </c>
      <c r="I221" s="272" t="s">
        <v>1494</v>
      </c>
      <c r="J221" s="215" t="s">
        <v>1493</v>
      </c>
      <c r="K221" s="158"/>
      <c r="L221" s="158">
        <v>51</v>
      </c>
      <c r="M221" s="158"/>
      <c r="N221" s="158"/>
      <c r="O221" s="158"/>
      <c r="P221" s="158">
        <f>4032906297-77555890</f>
        <v>3955350407</v>
      </c>
      <c r="Q221" s="158"/>
      <c r="R221" s="158"/>
      <c r="S221" s="158"/>
      <c r="T221" s="158">
        <v>1779694040</v>
      </c>
      <c r="U221" s="158">
        <v>20</v>
      </c>
      <c r="V221" s="158"/>
      <c r="W221" s="158"/>
      <c r="X221" s="158"/>
      <c r="Y221" s="94">
        <v>2175656367</v>
      </c>
      <c r="Z221" s="158">
        <v>10</v>
      </c>
      <c r="AA221" s="5"/>
      <c r="AB221" s="5"/>
      <c r="AC221" s="5"/>
      <c r="AD221" s="158"/>
      <c r="AE221" s="158">
        <f t="shared" ref="AE221:AE223" si="33">P221-T221-Y221</f>
        <v>0</v>
      </c>
      <c r="AF221" s="158"/>
      <c r="AG221" s="94">
        <v>0</v>
      </c>
      <c r="AH221" s="94"/>
      <c r="AI221" s="94"/>
      <c r="AJ221" s="158">
        <f t="shared" si="32"/>
        <v>0</v>
      </c>
      <c r="AK221" s="158">
        <v>877</v>
      </c>
      <c r="AL221" s="94">
        <v>10</v>
      </c>
      <c r="AM221" s="158"/>
      <c r="AN221" s="158"/>
      <c r="AO221" s="158"/>
      <c r="AP221" s="158"/>
      <c r="AQ221" s="158"/>
      <c r="AR221" s="158"/>
      <c r="AS221" s="2">
        <v>1</v>
      </c>
      <c r="AT221" s="58" t="s">
        <v>646</v>
      </c>
      <c r="AU221" s="104" t="s">
        <v>1709</v>
      </c>
      <c r="AV221" s="158"/>
      <c r="AW221" s="158"/>
      <c r="AX221" s="158"/>
      <c r="AY221" s="158">
        <v>51</v>
      </c>
      <c r="AZ221" s="158"/>
      <c r="BA221" s="158"/>
      <c r="BB221" s="69">
        <v>51</v>
      </c>
      <c r="BC221" s="69"/>
      <c r="BD221" s="271">
        <v>2019</v>
      </c>
      <c r="BE221" s="271">
        <v>2019</v>
      </c>
      <c r="BF221" s="271"/>
    </row>
    <row r="222" spans="1:58" s="204" customFormat="1" ht="18" customHeight="1">
      <c r="A222" s="160" t="s">
        <v>504</v>
      </c>
      <c r="B222" s="58" t="s">
        <v>76</v>
      </c>
      <c r="C222" s="126" t="s">
        <v>750</v>
      </c>
      <c r="D222" s="126" t="s">
        <v>751</v>
      </c>
      <c r="E222" s="126"/>
      <c r="F222" s="126"/>
      <c r="G222" s="126"/>
      <c r="H222" s="30" t="s">
        <v>713</v>
      </c>
      <c r="I222" s="272" t="s">
        <v>1494</v>
      </c>
      <c r="J222" s="215" t="s">
        <v>1493</v>
      </c>
      <c r="K222" s="158"/>
      <c r="L222" s="158">
        <v>1</v>
      </c>
      <c r="M222" s="158"/>
      <c r="N222" s="158">
        <v>1</v>
      </c>
      <c r="O222" s="158"/>
      <c r="P222" s="158">
        <v>77555890</v>
      </c>
      <c r="Q222" s="158"/>
      <c r="R222" s="158"/>
      <c r="S222" s="158"/>
      <c r="T222" s="158">
        <v>34956814</v>
      </c>
      <c r="U222" s="158">
        <v>20</v>
      </c>
      <c r="V222" s="158"/>
      <c r="W222" s="158"/>
      <c r="X222" s="158"/>
      <c r="Y222" s="94"/>
      <c r="Z222" s="158"/>
      <c r="AA222" s="69"/>
      <c r="AB222" s="69"/>
      <c r="AC222" s="69"/>
      <c r="AD222" s="158"/>
      <c r="AE222" s="158">
        <f t="shared" si="33"/>
        <v>42599076</v>
      </c>
      <c r="AF222" s="158"/>
      <c r="AG222" s="94">
        <v>0</v>
      </c>
      <c r="AH222" s="94"/>
      <c r="AI222" s="94"/>
      <c r="AJ222" s="158">
        <f>AE222+AG222</f>
        <v>42599076</v>
      </c>
      <c r="AK222" s="158">
        <v>877</v>
      </c>
      <c r="AL222" s="94">
        <v>20</v>
      </c>
      <c r="AM222" s="158"/>
      <c r="AN222" s="158">
        <v>1</v>
      </c>
      <c r="AO222" s="158"/>
      <c r="AP222" s="158"/>
      <c r="AQ222" s="158"/>
      <c r="AR222" s="158"/>
      <c r="AS222" s="2">
        <v>0.50900000000000001</v>
      </c>
      <c r="AT222" s="58" t="s">
        <v>38</v>
      </c>
      <c r="AU222" s="104"/>
      <c r="AV222" s="158"/>
      <c r="AW222" s="158"/>
      <c r="AX222" s="158"/>
      <c r="AY222" s="158"/>
      <c r="AZ222" s="158"/>
      <c r="BA222" s="158"/>
      <c r="BB222" s="69"/>
      <c r="BC222" s="69"/>
      <c r="BD222" s="271"/>
      <c r="BE222" s="271">
        <v>2019</v>
      </c>
      <c r="BF222" s="271">
        <v>2020</v>
      </c>
    </row>
    <row r="223" spans="1:58" s="204" customFormat="1" ht="18" hidden="1" customHeight="1">
      <c r="A223" s="248" t="s">
        <v>504</v>
      </c>
      <c r="B223" s="58" t="s">
        <v>84</v>
      </c>
      <c r="C223" s="250" t="s">
        <v>752</v>
      </c>
      <c r="D223" s="250" t="s">
        <v>1337</v>
      </c>
      <c r="E223" s="250"/>
      <c r="F223" s="250"/>
      <c r="G223" s="250"/>
      <c r="H223" s="30" t="s">
        <v>715</v>
      </c>
      <c r="I223" s="30">
        <v>2494</v>
      </c>
      <c r="J223" s="212">
        <v>43039</v>
      </c>
      <c r="K223" s="158"/>
      <c r="L223" s="158">
        <v>54</v>
      </c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94"/>
      <c r="Z223" s="158"/>
      <c r="AA223" s="92"/>
      <c r="AB223" s="92"/>
      <c r="AC223" s="92"/>
      <c r="AD223" s="158"/>
      <c r="AE223" s="158">
        <f t="shared" si="33"/>
        <v>0</v>
      </c>
      <c r="AF223" s="158"/>
      <c r="AG223" s="94">
        <v>0</v>
      </c>
      <c r="AH223" s="94"/>
      <c r="AI223" s="94"/>
      <c r="AJ223" s="158">
        <f>AE223+AG223</f>
        <v>0</v>
      </c>
      <c r="AK223" s="158">
        <v>877</v>
      </c>
      <c r="AL223" s="94"/>
      <c r="AM223" s="158"/>
      <c r="AN223" s="158"/>
      <c r="AO223" s="158"/>
      <c r="AP223" s="158"/>
      <c r="AQ223" s="158"/>
      <c r="AR223" s="158"/>
      <c r="AS223" s="2">
        <v>1</v>
      </c>
      <c r="AT223" s="58" t="s">
        <v>646</v>
      </c>
      <c r="AU223" s="104" t="s">
        <v>1338</v>
      </c>
      <c r="AV223" s="158"/>
      <c r="AW223" s="158"/>
      <c r="AX223" s="158"/>
      <c r="AY223" s="158">
        <v>54</v>
      </c>
      <c r="AZ223" s="158"/>
      <c r="BA223" s="158"/>
      <c r="BB223" s="69">
        <v>54</v>
      </c>
      <c r="BC223" s="69"/>
      <c r="BD223" s="271">
        <v>2019</v>
      </c>
      <c r="BE223" s="271">
        <v>2019</v>
      </c>
      <c r="BF223" s="271"/>
    </row>
    <row r="224" spans="1:58" s="204" customFormat="1" ht="18" customHeight="1">
      <c r="A224" s="160" t="s">
        <v>504</v>
      </c>
      <c r="B224" s="58" t="s">
        <v>754</v>
      </c>
      <c r="C224" s="147" t="s">
        <v>753</v>
      </c>
      <c r="D224" s="147" t="s">
        <v>149</v>
      </c>
      <c r="E224" s="147"/>
      <c r="F224" s="147"/>
      <c r="G224" s="147"/>
      <c r="H224" s="30" t="s">
        <v>715</v>
      </c>
      <c r="I224" s="30">
        <v>2857</v>
      </c>
      <c r="J224" s="212">
        <v>43080</v>
      </c>
      <c r="K224" s="158"/>
      <c r="L224" s="158"/>
      <c r="M224" s="158">
        <v>38</v>
      </c>
      <c r="N224" s="158"/>
      <c r="O224" s="158">
        <v>38</v>
      </c>
      <c r="P224" s="158">
        <f>2786151712-265347784</f>
        <v>2520803928</v>
      </c>
      <c r="Q224" s="158"/>
      <c r="R224" s="158"/>
      <c r="S224" s="158"/>
      <c r="T224" s="158">
        <v>1043013944</v>
      </c>
      <c r="U224" s="158">
        <v>10</v>
      </c>
      <c r="V224" s="158"/>
      <c r="W224" s="158"/>
      <c r="X224" s="158"/>
      <c r="Y224" s="94"/>
      <c r="Z224" s="158"/>
      <c r="AA224" s="158"/>
      <c r="AB224" s="158"/>
      <c r="AC224" s="297"/>
      <c r="AD224" s="158"/>
      <c r="AE224" s="158">
        <f>P224-T224-Y224-1477789984</f>
        <v>0</v>
      </c>
      <c r="AF224" s="158"/>
      <c r="AG224" s="158">
        <v>1477789984</v>
      </c>
      <c r="AH224" s="158"/>
      <c r="AI224" s="158"/>
      <c r="AJ224" s="158">
        <f>AE224+AG224</f>
        <v>1477789984</v>
      </c>
      <c r="AK224" s="158">
        <v>877</v>
      </c>
      <c r="AL224" s="94">
        <v>10</v>
      </c>
      <c r="AM224" s="158"/>
      <c r="AN224" s="158"/>
      <c r="AO224" s="11"/>
      <c r="AP224" s="12">
        <v>38</v>
      </c>
      <c r="AQ224" s="12"/>
      <c r="AR224" s="11"/>
      <c r="AS224" s="2">
        <v>8.3599999999999994E-2</v>
      </c>
      <c r="AT224" s="58" t="s">
        <v>942</v>
      </c>
      <c r="AU224" s="104" t="s">
        <v>2159</v>
      </c>
      <c r="AV224" s="158"/>
      <c r="AW224" s="11"/>
      <c r="AX224" s="11"/>
      <c r="AY224" s="11"/>
      <c r="AZ224" s="11"/>
      <c r="BA224" s="11"/>
      <c r="BB224" s="70"/>
      <c r="BC224" s="69"/>
      <c r="BD224" s="271"/>
      <c r="BE224" s="271">
        <v>2019</v>
      </c>
      <c r="BF224" s="271">
        <v>2020</v>
      </c>
    </row>
    <row r="225" spans="1:58" s="204" customFormat="1" ht="18" customHeight="1">
      <c r="A225" s="160" t="s">
        <v>504</v>
      </c>
      <c r="B225" s="58" t="s">
        <v>754</v>
      </c>
      <c r="C225" s="147" t="s">
        <v>753</v>
      </c>
      <c r="D225" s="147" t="s">
        <v>149</v>
      </c>
      <c r="E225" s="147"/>
      <c r="F225" s="147"/>
      <c r="G225" s="147"/>
      <c r="H225" s="30" t="s">
        <v>715</v>
      </c>
      <c r="I225" s="30">
        <v>2857</v>
      </c>
      <c r="J225" s="212">
        <v>43080</v>
      </c>
      <c r="K225" s="158"/>
      <c r="L225" s="158"/>
      <c r="M225" s="158">
        <v>4</v>
      </c>
      <c r="N225" s="158"/>
      <c r="O225" s="158">
        <v>4</v>
      </c>
      <c r="P225" s="158">
        <v>265347784</v>
      </c>
      <c r="Q225" s="158"/>
      <c r="R225" s="158"/>
      <c r="S225" s="158"/>
      <c r="T225" s="158"/>
      <c r="U225" s="158"/>
      <c r="V225" s="158"/>
      <c r="W225" s="158"/>
      <c r="X225" s="158"/>
      <c r="Y225" s="94"/>
      <c r="Z225" s="158"/>
      <c r="AA225" s="158"/>
      <c r="AB225" s="158"/>
      <c r="AC225" s="297"/>
      <c r="AD225" s="158"/>
      <c r="AE225" s="158">
        <f>P225-T225-Y225-265347784</f>
        <v>0</v>
      </c>
      <c r="AF225" s="158"/>
      <c r="AG225" s="158">
        <v>265347784</v>
      </c>
      <c r="AH225" s="158"/>
      <c r="AI225" s="158"/>
      <c r="AJ225" s="158">
        <f>AE225+AG225</f>
        <v>265347784</v>
      </c>
      <c r="AK225" s="158">
        <v>877</v>
      </c>
      <c r="AL225" s="94">
        <v>10</v>
      </c>
      <c r="AM225" s="158"/>
      <c r="AN225" s="158"/>
      <c r="AO225" s="11"/>
      <c r="AP225" s="12">
        <v>4</v>
      </c>
      <c r="AQ225" s="11"/>
      <c r="AR225" s="11"/>
      <c r="AS225" s="2">
        <v>8.3599999999999994E-2</v>
      </c>
      <c r="AT225" s="58" t="s">
        <v>942</v>
      </c>
      <c r="AU225" s="104" t="s">
        <v>2159</v>
      </c>
      <c r="AV225" s="158"/>
      <c r="AW225" s="11"/>
      <c r="AX225" s="11"/>
      <c r="AY225" s="11"/>
      <c r="AZ225" s="11"/>
      <c r="BA225" s="11"/>
      <c r="BB225" s="70"/>
      <c r="BC225" s="69"/>
      <c r="BD225" s="271"/>
      <c r="BE225" s="271">
        <v>2019</v>
      </c>
      <c r="BF225" s="271">
        <v>2020</v>
      </c>
    </row>
    <row r="226" spans="1:58" s="204" customFormat="1" ht="15" hidden="1" customHeight="1">
      <c r="A226" s="160" t="s">
        <v>504</v>
      </c>
      <c r="B226" s="58" t="s">
        <v>1001</v>
      </c>
      <c r="C226" s="58" t="s">
        <v>999</v>
      </c>
      <c r="D226" s="147" t="s">
        <v>1000</v>
      </c>
      <c r="E226" s="147"/>
      <c r="F226" s="147"/>
      <c r="G226" s="147"/>
      <c r="H226" s="30" t="s">
        <v>1002</v>
      </c>
      <c r="I226" s="30"/>
      <c r="J226" s="212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94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94"/>
      <c r="AM226" s="158"/>
      <c r="AN226" s="158"/>
      <c r="AO226" s="158"/>
      <c r="AP226" s="11"/>
      <c r="AQ226" s="11"/>
      <c r="AR226" s="11"/>
      <c r="AS226" s="2">
        <v>1</v>
      </c>
      <c r="AT226" s="58" t="s">
        <v>646</v>
      </c>
      <c r="AU226" s="106" t="s">
        <v>1010</v>
      </c>
      <c r="AV226" s="158"/>
      <c r="AW226" s="11"/>
      <c r="AX226" s="158">
        <v>3</v>
      </c>
      <c r="AY226" s="158"/>
      <c r="AZ226" s="158"/>
      <c r="BA226" s="158">
        <v>3</v>
      </c>
      <c r="BB226" s="69"/>
      <c r="BC226" s="69"/>
      <c r="BD226" s="271">
        <v>2018</v>
      </c>
      <c r="BE226" s="271"/>
      <c r="BF226" s="271"/>
    </row>
    <row r="227" spans="1:58" s="204" customFormat="1" ht="15" hidden="1" customHeight="1">
      <c r="A227" s="160" t="s">
        <v>504</v>
      </c>
      <c r="B227" s="58" t="s">
        <v>84</v>
      </c>
      <c r="C227" s="58" t="s">
        <v>110</v>
      </c>
      <c r="D227" s="148" t="s">
        <v>45</v>
      </c>
      <c r="E227" s="148"/>
      <c r="F227" s="148"/>
      <c r="G227" s="148"/>
      <c r="H227" s="30" t="s">
        <v>968</v>
      </c>
      <c r="I227" s="30">
        <v>1380</v>
      </c>
      <c r="J227" s="212">
        <v>43271</v>
      </c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94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94"/>
      <c r="AM227" s="158"/>
      <c r="AN227" s="158"/>
      <c r="AO227" s="12"/>
      <c r="AP227" s="11"/>
      <c r="AQ227" s="11"/>
      <c r="AR227" s="11"/>
      <c r="AS227" s="2">
        <v>1</v>
      </c>
      <c r="AT227" s="58" t="s">
        <v>646</v>
      </c>
      <c r="AU227" s="106" t="s">
        <v>1010</v>
      </c>
      <c r="AV227" s="158"/>
      <c r="AW227" s="11"/>
      <c r="AX227" s="12">
        <v>4</v>
      </c>
      <c r="AY227" s="12"/>
      <c r="AZ227" s="12"/>
      <c r="BA227" s="158"/>
      <c r="BB227" s="69">
        <f>+AX227</f>
        <v>4</v>
      </c>
      <c r="BC227" s="69"/>
      <c r="BD227" s="271">
        <v>2018</v>
      </c>
      <c r="BE227" s="271"/>
      <c r="BF227" s="271"/>
    </row>
    <row r="228" spans="1:58" s="204" customFormat="1" ht="15" hidden="1" customHeight="1">
      <c r="A228" s="160" t="s">
        <v>504</v>
      </c>
      <c r="B228" s="58" t="s">
        <v>84</v>
      </c>
      <c r="C228" s="58" t="s">
        <v>1034</v>
      </c>
      <c r="D228" s="148" t="s">
        <v>560</v>
      </c>
      <c r="E228" s="148"/>
      <c r="F228" s="148"/>
      <c r="G228" s="148"/>
      <c r="H228" s="30" t="s">
        <v>661</v>
      </c>
      <c r="I228" s="82"/>
      <c r="J228" s="212"/>
      <c r="K228" s="158"/>
      <c r="L228" s="158"/>
      <c r="M228" s="158"/>
      <c r="N228" s="158"/>
      <c r="O228" s="158"/>
      <c r="P228" s="158">
        <f>2296059670-102047096</f>
        <v>2194012574</v>
      </c>
      <c r="Q228" s="158"/>
      <c r="R228" s="158"/>
      <c r="S228" s="158"/>
      <c r="T228" s="158">
        <v>2194012574</v>
      </c>
      <c r="U228" s="158"/>
      <c r="V228" s="158"/>
      <c r="W228" s="158"/>
      <c r="X228" s="158"/>
      <c r="Y228" s="94"/>
      <c r="Z228" s="158"/>
      <c r="AA228" s="158"/>
      <c r="AB228" s="158"/>
      <c r="AC228" s="158"/>
      <c r="AD228" s="158"/>
      <c r="AE228" s="158">
        <f t="shared" ref="AE228:AE250" si="34">P228-T228-Y228</f>
        <v>0</v>
      </c>
      <c r="AF228" s="158"/>
      <c r="AG228" s="158"/>
      <c r="AH228" s="158"/>
      <c r="AI228" s="158"/>
      <c r="AJ228" s="158"/>
      <c r="AK228" s="158">
        <v>877</v>
      </c>
      <c r="AL228" s="94">
        <v>10</v>
      </c>
      <c r="AM228" s="158"/>
      <c r="AN228" s="158"/>
      <c r="AO228" s="158"/>
      <c r="AP228" s="11"/>
      <c r="AQ228" s="11"/>
      <c r="AR228" s="11"/>
      <c r="AS228" s="2">
        <v>1</v>
      </c>
      <c r="AT228" s="58" t="s">
        <v>646</v>
      </c>
      <c r="AU228" s="58" t="s">
        <v>1037</v>
      </c>
      <c r="AV228" s="158"/>
      <c r="AW228" s="11"/>
      <c r="AX228" s="158">
        <v>43</v>
      </c>
      <c r="AY228" s="158"/>
      <c r="AZ228" s="158"/>
      <c r="BA228" s="158">
        <v>43</v>
      </c>
      <c r="BB228" s="69"/>
      <c r="BC228" s="69"/>
      <c r="BD228" s="271">
        <v>2018</v>
      </c>
      <c r="BE228" s="271"/>
      <c r="BF228" s="271"/>
    </row>
    <row r="229" spans="1:58" s="204" customFormat="1" ht="18" customHeight="1">
      <c r="A229" s="160" t="s">
        <v>504</v>
      </c>
      <c r="B229" s="58" t="s">
        <v>84</v>
      </c>
      <c r="C229" s="58" t="s">
        <v>1034</v>
      </c>
      <c r="D229" s="148" t="s">
        <v>105</v>
      </c>
      <c r="E229" s="148"/>
      <c r="F229" s="148"/>
      <c r="G229" s="148"/>
      <c r="H229" s="30" t="s">
        <v>661</v>
      </c>
      <c r="I229" s="82">
        <v>1695</v>
      </c>
      <c r="J229" s="212">
        <v>41162</v>
      </c>
      <c r="K229" s="158"/>
      <c r="L229" s="158"/>
      <c r="M229" s="158">
        <v>2</v>
      </c>
      <c r="N229" s="158"/>
      <c r="O229" s="158">
        <v>2</v>
      </c>
      <c r="P229" s="158">
        <v>102047096</v>
      </c>
      <c r="Q229" s="158"/>
      <c r="R229" s="158"/>
      <c r="S229" s="158"/>
      <c r="T229" s="158"/>
      <c r="U229" s="158"/>
      <c r="V229" s="158"/>
      <c r="W229" s="158"/>
      <c r="X229" s="158"/>
      <c r="Y229" s="94"/>
      <c r="Z229" s="158"/>
      <c r="AA229" s="158"/>
      <c r="AB229" s="158"/>
      <c r="AC229" s="158"/>
      <c r="AD229" s="158"/>
      <c r="AE229" s="158">
        <f t="shared" si="34"/>
        <v>102047096</v>
      </c>
      <c r="AF229" s="158"/>
      <c r="AG229" s="94">
        <v>0</v>
      </c>
      <c r="AH229" s="94"/>
      <c r="AI229" s="94"/>
      <c r="AJ229" s="158">
        <f t="shared" ref="AJ229:AJ236" si="35">AE229+AG229</f>
        <v>102047096</v>
      </c>
      <c r="AK229" s="158">
        <v>877</v>
      </c>
      <c r="AL229" s="94">
        <v>20</v>
      </c>
      <c r="AM229" s="72"/>
      <c r="AN229" s="158"/>
      <c r="AO229" s="11"/>
      <c r="AP229" s="11"/>
      <c r="AQ229" s="11"/>
      <c r="AR229" s="158">
        <v>2</v>
      </c>
      <c r="AS229" s="2">
        <v>0</v>
      </c>
      <c r="AT229" s="58" t="s">
        <v>521</v>
      </c>
      <c r="AU229" s="58" t="s">
        <v>2187</v>
      </c>
      <c r="AV229" s="158"/>
      <c r="AW229" s="11"/>
      <c r="AX229" s="11"/>
      <c r="AY229" s="11"/>
      <c r="AZ229" s="11"/>
      <c r="BA229" s="11"/>
      <c r="BB229" s="70"/>
      <c r="BC229" s="69">
        <v>2</v>
      </c>
      <c r="BD229" s="271" t="s">
        <v>2200</v>
      </c>
      <c r="BE229" s="271">
        <v>2019</v>
      </c>
      <c r="BF229" s="271">
        <v>2020</v>
      </c>
    </row>
    <row r="230" spans="1:58" s="204" customFormat="1" ht="18" hidden="1" customHeight="1">
      <c r="A230" s="160" t="s">
        <v>504</v>
      </c>
      <c r="B230" s="58" t="s">
        <v>89</v>
      </c>
      <c r="C230" s="58" t="s">
        <v>94</v>
      </c>
      <c r="D230" s="148" t="s">
        <v>1067</v>
      </c>
      <c r="E230" s="148"/>
      <c r="F230" s="148"/>
      <c r="G230" s="148"/>
      <c r="H230" s="30" t="s">
        <v>1058</v>
      </c>
      <c r="I230" s="82">
        <v>21</v>
      </c>
      <c r="J230" s="212">
        <v>43363</v>
      </c>
      <c r="K230" s="158">
        <v>9</v>
      </c>
      <c r="L230" s="158">
        <v>9</v>
      </c>
      <c r="M230" s="158"/>
      <c r="N230" s="158"/>
      <c r="O230" s="158"/>
      <c r="P230" s="158">
        <v>562410456</v>
      </c>
      <c r="Q230" s="158"/>
      <c r="R230" s="158"/>
      <c r="S230" s="158"/>
      <c r="T230" s="158">
        <v>233910584</v>
      </c>
      <c r="U230" s="158">
        <v>10</v>
      </c>
      <c r="V230" s="158"/>
      <c r="W230" s="158"/>
      <c r="X230" s="158"/>
      <c r="Y230" s="94">
        <v>328499872</v>
      </c>
      <c r="Z230" s="158">
        <v>10</v>
      </c>
      <c r="AA230" s="311">
        <v>43525</v>
      </c>
      <c r="AB230" s="311"/>
      <c r="AC230" s="158"/>
      <c r="AD230" s="158"/>
      <c r="AE230" s="158">
        <f t="shared" si="34"/>
        <v>0</v>
      </c>
      <c r="AF230" s="158"/>
      <c r="AG230" s="94">
        <v>0</v>
      </c>
      <c r="AH230" s="94"/>
      <c r="AI230" s="94"/>
      <c r="AJ230" s="158">
        <f t="shared" si="35"/>
        <v>0</v>
      </c>
      <c r="AK230" s="158">
        <v>877</v>
      </c>
      <c r="AL230" s="94">
        <v>10</v>
      </c>
      <c r="AM230" s="158"/>
      <c r="AN230" s="158"/>
      <c r="AO230" s="158"/>
      <c r="AP230" s="11"/>
      <c r="AQ230" s="11"/>
      <c r="AR230" s="11"/>
      <c r="AS230" s="2">
        <v>1</v>
      </c>
      <c r="AT230" s="58" t="s">
        <v>646</v>
      </c>
      <c r="AU230" s="104"/>
      <c r="AV230" s="158"/>
      <c r="AW230" s="11"/>
      <c r="AX230" s="11"/>
      <c r="AY230" s="158">
        <v>9</v>
      </c>
      <c r="AZ230" s="158"/>
      <c r="BA230" s="11"/>
      <c r="BB230" s="69">
        <v>9</v>
      </c>
      <c r="BC230" s="69"/>
      <c r="BD230" s="271">
        <v>2019</v>
      </c>
      <c r="BE230" s="271">
        <v>2019</v>
      </c>
      <c r="BF230" s="271"/>
    </row>
    <row r="231" spans="1:58" s="204" customFormat="1" ht="18" hidden="1" customHeight="1">
      <c r="A231" s="160" t="s">
        <v>504</v>
      </c>
      <c r="B231" s="58" t="s">
        <v>83</v>
      </c>
      <c r="C231" s="58" t="s">
        <v>1085</v>
      </c>
      <c r="D231" s="148" t="s">
        <v>16</v>
      </c>
      <c r="E231" s="148"/>
      <c r="F231" s="148"/>
      <c r="G231" s="148"/>
      <c r="H231" s="30" t="s">
        <v>1058</v>
      </c>
      <c r="I231" s="82">
        <v>23</v>
      </c>
      <c r="J231" s="212">
        <v>43363</v>
      </c>
      <c r="K231" s="158">
        <v>50</v>
      </c>
      <c r="L231" s="158">
        <v>50</v>
      </c>
      <c r="M231" s="158"/>
      <c r="N231" s="158"/>
      <c r="O231" s="158"/>
      <c r="P231" s="158">
        <v>3862923580</v>
      </c>
      <c r="Q231" s="274"/>
      <c r="R231" s="158"/>
      <c r="S231" s="158"/>
      <c r="T231" s="158">
        <v>1675044068</v>
      </c>
      <c r="U231" s="158">
        <v>10</v>
      </c>
      <c r="V231" s="158"/>
      <c r="W231" s="158"/>
      <c r="X231" s="158"/>
      <c r="Y231" s="94">
        <v>2187879512</v>
      </c>
      <c r="Z231" s="158">
        <v>10</v>
      </c>
      <c r="AA231" s="311">
        <v>43497</v>
      </c>
      <c r="AB231" s="311"/>
      <c r="AC231" s="158"/>
      <c r="AD231" s="158"/>
      <c r="AE231" s="158">
        <f t="shared" si="34"/>
        <v>0</v>
      </c>
      <c r="AF231" s="158"/>
      <c r="AG231" s="94">
        <v>0</v>
      </c>
      <c r="AH231" s="94"/>
      <c r="AI231" s="94"/>
      <c r="AJ231" s="158">
        <f t="shared" si="35"/>
        <v>0</v>
      </c>
      <c r="AK231" s="158">
        <v>877</v>
      </c>
      <c r="AL231" s="94">
        <v>10</v>
      </c>
      <c r="AM231" s="158"/>
      <c r="AN231" s="158"/>
      <c r="AO231" s="158"/>
      <c r="AP231" s="11"/>
      <c r="AQ231" s="11"/>
      <c r="AR231" s="11"/>
      <c r="AS231" s="2">
        <v>1</v>
      </c>
      <c r="AT231" s="58" t="s">
        <v>646</v>
      </c>
      <c r="AU231" s="104"/>
      <c r="AV231" s="158"/>
      <c r="AW231" s="11"/>
      <c r="AX231" s="11"/>
      <c r="AY231" s="158">
        <v>50</v>
      </c>
      <c r="AZ231" s="158"/>
      <c r="BA231" s="11"/>
      <c r="BB231" s="69">
        <v>50</v>
      </c>
      <c r="BC231" s="69"/>
      <c r="BD231" s="271">
        <v>2019</v>
      </c>
      <c r="BE231" s="271">
        <v>2019</v>
      </c>
      <c r="BF231" s="271"/>
    </row>
    <row r="232" spans="1:58" s="204" customFormat="1" ht="18" customHeight="1">
      <c r="A232" s="160" t="s">
        <v>504</v>
      </c>
      <c r="B232" s="58" t="s">
        <v>86</v>
      </c>
      <c r="C232" s="58" t="s">
        <v>1086</v>
      </c>
      <c r="D232" s="148" t="s">
        <v>1087</v>
      </c>
      <c r="E232" s="148"/>
      <c r="F232" s="148"/>
      <c r="G232" s="148"/>
      <c r="H232" s="30" t="s">
        <v>1058</v>
      </c>
      <c r="I232" s="82">
        <v>22</v>
      </c>
      <c r="J232" s="212">
        <v>43363</v>
      </c>
      <c r="K232" s="158">
        <v>53</v>
      </c>
      <c r="L232" s="158">
        <v>53</v>
      </c>
      <c r="M232" s="158"/>
      <c r="N232" s="158">
        <v>53</v>
      </c>
      <c r="O232" s="158"/>
      <c r="P232" s="158">
        <v>3884442252</v>
      </c>
      <c r="Q232" s="158"/>
      <c r="R232" s="158"/>
      <c r="S232" s="158"/>
      <c r="T232" s="158">
        <v>1604839055</v>
      </c>
      <c r="U232" s="158">
        <v>10</v>
      </c>
      <c r="V232" s="158"/>
      <c r="W232" s="158"/>
      <c r="X232" s="158"/>
      <c r="Y232" s="94">
        <v>2279603197</v>
      </c>
      <c r="Z232" s="158">
        <v>20</v>
      </c>
      <c r="AA232" s="311">
        <v>43647</v>
      </c>
      <c r="AB232" s="311"/>
      <c r="AC232" s="158"/>
      <c r="AD232" s="158"/>
      <c r="AE232" s="158">
        <f t="shared" si="34"/>
        <v>0</v>
      </c>
      <c r="AF232" s="158"/>
      <c r="AG232" s="94">
        <v>0</v>
      </c>
      <c r="AH232" s="94"/>
      <c r="AI232" s="94"/>
      <c r="AJ232" s="158">
        <f t="shared" si="35"/>
        <v>0</v>
      </c>
      <c r="AK232" s="158">
        <v>877</v>
      </c>
      <c r="AL232" s="94">
        <v>20</v>
      </c>
      <c r="AM232" s="158"/>
      <c r="AN232" s="158">
        <v>53</v>
      </c>
      <c r="AO232" s="11"/>
      <c r="AP232" s="11"/>
      <c r="AQ232" s="11"/>
      <c r="AR232" s="11"/>
      <c r="AS232" s="2">
        <v>0.86919999999999997</v>
      </c>
      <c r="AT232" s="58" t="s">
        <v>38</v>
      </c>
      <c r="AU232" s="104"/>
      <c r="AV232" s="158"/>
      <c r="AW232" s="11"/>
      <c r="AX232" s="11"/>
      <c r="AY232" s="11"/>
      <c r="AZ232" s="11"/>
      <c r="BA232" s="11"/>
      <c r="BB232" s="70"/>
      <c r="BC232" s="69"/>
      <c r="BD232" s="271"/>
      <c r="BE232" s="271">
        <v>2019</v>
      </c>
      <c r="BF232" s="271">
        <v>2020</v>
      </c>
    </row>
    <row r="233" spans="1:58" s="204" customFormat="1" ht="18" hidden="1" customHeight="1">
      <c r="A233" s="230" t="s">
        <v>504</v>
      </c>
      <c r="B233" s="58" t="s">
        <v>84</v>
      </c>
      <c r="C233" s="58" t="s">
        <v>1139</v>
      </c>
      <c r="D233" s="148" t="s">
        <v>109</v>
      </c>
      <c r="E233" s="148"/>
      <c r="F233" s="148"/>
      <c r="G233" s="148"/>
      <c r="H233" s="30" t="s">
        <v>1113</v>
      </c>
      <c r="I233" s="82">
        <v>739</v>
      </c>
      <c r="J233" s="212">
        <v>43453</v>
      </c>
      <c r="K233" s="158">
        <v>13</v>
      </c>
      <c r="L233" s="158">
        <v>13</v>
      </c>
      <c r="M233" s="158"/>
      <c r="N233" s="158"/>
      <c r="O233" s="158"/>
      <c r="P233" s="158">
        <v>853326338</v>
      </c>
      <c r="Q233" s="158"/>
      <c r="R233" s="158"/>
      <c r="S233" s="158"/>
      <c r="T233" s="158">
        <v>459903414</v>
      </c>
      <c r="U233" s="158">
        <v>10</v>
      </c>
      <c r="V233" s="158"/>
      <c r="W233" s="158"/>
      <c r="X233" s="158"/>
      <c r="Y233" s="94">
        <v>393422924</v>
      </c>
      <c r="Z233" s="158">
        <v>10</v>
      </c>
      <c r="AA233" s="311">
        <v>43525</v>
      </c>
      <c r="AB233" s="329"/>
      <c r="AC233" s="5"/>
      <c r="AD233" s="158"/>
      <c r="AE233" s="158">
        <f t="shared" si="34"/>
        <v>0</v>
      </c>
      <c r="AF233" s="158"/>
      <c r="AG233" s="94">
        <v>0</v>
      </c>
      <c r="AH233" s="94"/>
      <c r="AI233" s="94"/>
      <c r="AJ233" s="158">
        <f t="shared" si="35"/>
        <v>0</v>
      </c>
      <c r="AK233" s="158">
        <v>877</v>
      </c>
      <c r="AL233" s="94">
        <v>10</v>
      </c>
      <c r="AM233" s="158"/>
      <c r="AN233" s="158"/>
      <c r="AO233" s="12"/>
      <c r="AP233" s="11"/>
      <c r="AQ233" s="11"/>
      <c r="AR233" s="11"/>
      <c r="AS233" s="2">
        <v>1</v>
      </c>
      <c r="AT233" s="58" t="s">
        <v>646</v>
      </c>
      <c r="AU233" s="104"/>
      <c r="AV233" s="158"/>
      <c r="AW233" s="11"/>
      <c r="AX233" s="11"/>
      <c r="AY233" s="158">
        <v>13</v>
      </c>
      <c r="AZ233" s="158"/>
      <c r="BA233" s="11"/>
      <c r="BB233" s="69">
        <v>13</v>
      </c>
      <c r="BC233" s="69"/>
      <c r="BD233" s="271">
        <v>2019</v>
      </c>
      <c r="BE233" s="271">
        <v>2019</v>
      </c>
      <c r="BF233" s="271"/>
    </row>
    <row r="234" spans="1:58" s="204" customFormat="1" ht="18" hidden="1" customHeight="1">
      <c r="A234" s="160" t="s">
        <v>504</v>
      </c>
      <c r="B234" s="58" t="s">
        <v>89</v>
      </c>
      <c r="C234" s="58" t="s">
        <v>1352</v>
      </c>
      <c r="D234" s="148" t="s">
        <v>1143</v>
      </c>
      <c r="E234" s="148"/>
      <c r="F234" s="148"/>
      <c r="G234" s="148"/>
      <c r="H234" s="30" t="s">
        <v>1113</v>
      </c>
      <c r="I234" s="226">
        <v>740</v>
      </c>
      <c r="J234" s="212">
        <v>43453</v>
      </c>
      <c r="K234" s="158">
        <v>14</v>
      </c>
      <c r="L234" s="158">
        <v>14</v>
      </c>
      <c r="M234" s="158"/>
      <c r="N234" s="158"/>
      <c r="O234" s="158"/>
      <c r="P234" s="158">
        <v>901884575</v>
      </c>
      <c r="Q234" s="158"/>
      <c r="R234" s="158"/>
      <c r="S234" s="158"/>
      <c r="T234" s="158">
        <v>467958441</v>
      </c>
      <c r="U234" s="158">
        <v>10</v>
      </c>
      <c r="V234" s="311">
        <v>43497</v>
      </c>
      <c r="W234" s="311"/>
      <c r="X234" s="311"/>
      <c r="Y234" s="94">
        <v>433926134</v>
      </c>
      <c r="Z234" s="69">
        <v>10</v>
      </c>
      <c r="AA234" s="311">
        <v>43647</v>
      </c>
      <c r="AB234" s="577"/>
      <c r="AC234" s="69"/>
      <c r="AD234" s="158"/>
      <c r="AE234" s="158">
        <f t="shared" si="34"/>
        <v>0</v>
      </c>
      <c r="AF234" s="158"/>
      <c r="AG234" s="94">
        <v>0</v>
      </c>
      <c r="AH234" s="94"/>
      <c r="AI234" s="94"/>
      <c r="AJ234" s="158">
        <f t="shared" si="35"/>
        <v>0</v>
      </c>
      <c r="AK234" s="158">
        <v>877</v>
      </c>
      <c r="AL234" s="94">
        <v>10</v>
      </c>
      <c r="AM234" s="158"/>
      <c r="AN234" s="158"/>
      <c r="AO234" s="158"/>
      <c r="AP234" s="11"/>
      <c r="AQ234" s="11"/>
      <c r="AR234" s="11"/>
      <c r="AS234" s="2">
        <v>1</v>
      </c>
      <c r="AT234" s="58" t="s">
        <v>646</v>
      </c>
      <c r="AU234" s="104"/>
      <c r="AV234" s="158"/>
      <c r="AW234" s="11"/>
      <c r="AX234" s="11"/>
      <c r="AY234" s="158">
        <v>14</v>
      </c>
      <c r="AZ234" s="158"/>
      <c r="BA234" s="11"/>
      <c r="BB234" s="158">
        <v>14</v>
      </c>
      <c r="BC234" s="69"/>
      <c r="BD234" s="271">
        <v>2019</v>
      </c>
      <c r="BE234" s="271">
        <v>2019</v>
      </c>
      <c r="BF234" s="271"/>
    </row>
    <row r="235" spans="1:58" s="204" customFormat="1" ht="18" hidden="1" customHeight="1">
      <c r="A235" s="248" t="s">
        <v>504</v>
      </c>
      <c r="B235" s="58" t="s">
        <v>84</v>
      </c>
      <c r="C235" s="251" t="s">
        <v>1141</v>
      </c>
      <c r="D235" s="259" t="s">
        <v>109</v>
      </c>
      <c r="E235" s="259"/>
      <c r="F235" s="259"/>
      <c r="G235" s="259"/>
      <c r="H235" s="30" t="s">
        <v>1113</v>
      </c>
      <c r="I235" s="82">
        <v>767</v>
      </c>
      <c r="J235" s="212">
        <v>43455</v>
      </c>
      <c r="K235" s="158">
        <v>26</v>
      </c>
      <c r="L235" s="158">
        <v>26</v>
      </c>
      <c r="M235" s="158"/>
      <c r="N235" s="158"/>
      <c r="O235" s="158"/>
      <c r="P235" s="158">
        <v>1708276700</v>
      </c>
      <c r="Q235" s="158"/>
      <c r="R235" s="158"/>
      <c r="S235" s="158"/>
      <c r="T235" s="158">
        <v>927356136</v>
      </c>
      <c r="U235" s="158">
        <v>10</v>
      </c>
      <c r="V235" s="311">
        <v>43497</v>
      </c>
      <c r="W235" s="311"/>
      <c r="X235" s="311"/>
      <c r="Y235" s="94">
        <v>780920564</v>
      </c>
      <c r="Z235" s="158">
        <v>10</v>
      </c>
      <c r="AA235" s="311">
        <v>43617</v>
      </c>
      <c r="AB235" s="311"/>
      <c r="AC235" s="158"/>
      <c r="AD235" s="158"/>
      <c r="AE235" s="158">
        <f t="shared" si="34"/>
        <v>0</v>
      </c>
      <c r="AF235" s="158"/>
      <c r="AG235" s="94">
        <v>0</v>
      </c>
      <c r="AH235" s="94"/>
      <c r="AI235" s="94"/>
      <c r="AJ235" s="158">
        <f t="shared" si="35"/>
        <v>0</v>
      </c>
      <c r="AK235" s="158">
        <v>877</v>
      </c>
      <c r="AL235" s="94">
        <v>10</v>
      </c>
      <c r="AM235" s="158"/>
      <c r="AN235" s="158"/>
      <c r="AO235" s="158"/>
      <c r="AP235" s="11"/>
      <c r="AQ235" s="11"/>
      <c r="AR235" s="11"/>
      <c r="AS235" s="2">
        <v>1</v>
      </c>
      <c r="AT235" s="58" t="s">
        <v>646</v>
      </c>
      <c r="AU235" s="104" t="s">
        <v>1709</v>
      </c>
      <c r="AV235" s="158"/>
      <c r="AW235" s="11"/>
      <c r="AX235" s="11"/>
      <c r="AY235" s="158">
        <v>26</v>
      </c>
      <c r="AZ235" s="158"/>
      <c r="BA235" s="11"/>
      <c r="BB235" s="158">
        <v>26</v>
      </c>
      <c r="BC235" s="69"/>
      <c r="BD235" s="271">
        <v>2019</v>
      </c>
      <c r="BE235" s="271">
        <v>2019</v>
      </c>
      <c r="BF235" s="271"/>
    </row>
    <row r="236" spans="1:58" s="204" customFormat="1" ht="18" hidden="1" customHeight="1">
      <c r="A236" s="160" t="s">
        <v>504</v>
      </c>
      <c r="B236" s="58" t="s">
        <v>84</v>
      </c>
      <c r="C236" s="58" t="s">
        <v>1142</v>
      </c>
      <c r="D236" s="148" t="s">
        <v>1144</v>
      </c>
      <c r="E236" s="148"/>
      <c r="F236" s="148"/>
      <c r="G236" s="148"/>
      <c r="H236" s="30" t="s">
        <v>1113</v>
      </c>
      <c r="I236" s="226">
        <v>784</v>
      </c>
      <c r="J236" s="212">
        <v>43455</v>
      </c>
      <c r="K236" s="158">
        <v>20</v>
      </c>
      <c r="L236" s="158">
        <v>20</v>
      </c>
      <c r="M236" s="158"/>
      <c r="N236" s="158"/>
      <c r="O236" s="158"/>
      <c r="P236" s="158">
        <f>1514005515-198845469</f>
        <v>1315160046</v>
      </c>
      <c r="Q236" s="158"/>
      <c r="R236" s="158"/>
      <c r="S236" s="158"/>
      <c r="T236" s="158">
        <v>821948282</v>
      </c>
      <c r="U236" s="158">
        <v>10</v>
      </c>
      <c r="V236" s="311">
        <v>43497</v>
      </c>
      <c r="W236" s="311"/>
      <c r="X236" s="311"/>
      <c r="Y236" s="94">
        <v>493211764</v>
      </c>
      <c r="Z236" s="69">
        <v>10</v>
      </c>
      <c r="AA236" s="311">
        <v>43647</v>
      </c>
      <c r="AB236" s="577"/>
      <c r="AC236" s="69"/>
      <c r="AD236" s="158"/>
      <c r="AE236" s="158">
        <f t="shared" si="34"/>
        <v>0</v>
      </c>
      <c r="AF236" s="158"/>
      <c r="AG236" s="94">
        <v>0</v>
      </c>
      <c r="AH236" s="94"/>
      <c r="AI236" s="94"/>
      <c r="AJ236" s="158">
        <f t="shared" si="35"/>
        <v>0</v>
      </c>
      <c r="AK236" s="158">
        <v>877</v>
      </c>
      <c r="AL236" s="94">
        <v>10</v>
      </c>
      <c r="AM236" s="158"/>
      <c r="AN236" s="158"/>
      <c r="AO236" s="158"/>
      <c r="AP236" s="11"/>
      <c r="AQ236" s="11"/>
      <c r="AR236" s="11"/>
      <c r="AS236" s="2">
        <v>1</v>
      </c>
      <c r="AT236" s="58" t="s">
        <v>646</v>
      </c>
      <c r="AU236" s="104"/>
      <c r="AV236" s="158"/>
      <c r="AW236" s="11"/>
      <c r="AX236" s="11"/>
      <c r="AY236" s="158">
        <v>20</v>
      </c>
      <c r="AZ236" s="158"/>
      <c r="BA236" s="11"/>
      <c r="BB236" s="158">
        <v>20</v>
      </c>
      <c r="BC236" s="69"/>
      <c r="BD236" s="271">
        <v>2019</v>
      </c>
      <c r="BE236" s="271">
        <v>2019</v>
      </c>
      <c r="BF236" s="271"/>
    </row>
    <row r="237" spans="1:58" s="204" customFormat="1" ht="18" customHeight="1">
      <c r="A237" s="243" t="s">
        <v>504</v>
      </c>
      <c r="B237" s="58" t="s">
        <v>84</v>
      </c>
      <c r="C237" s="246" t="s">
        <v>1142</v>
      </c>
      <c r="D237" s="261" t="s">
        <v>1144</v>
      </c>
      <c r="E237" s="261"/>
      <c r="F237" s="261"/>
      <c r="G237" s="261"/>
      <c r="H237" s="30" t="s">
        <v>1113</v>
      </c>
      <c r="I237" s="82">
        <v>784</v>
      </c>
      <c r="J237" s="212">
        <v>43455</v>
      </c>
      <c r="K237" s="158">
        <v>3</v>
      </c>
      <c r="L237" s="158">
        <v>3</v>
      </c>
      <c r="M237" s="158"/>
      <c r="N237" s="158">
        <v>3</v>
      </c>
      <c r="O237" s="158"/>
      <c r="P237" s="158">
        <v>198845469</v>
      </c>
      <c r="Q237" s="158"/>
      <c r="R237" s="158"/>
      <c r="S237" s="158"/>
      <c r="T237" s="158"/>
      <c r="U237" s="158"/>
      <c r="V237" s="158"/>
      <c r="W237" s="158"/>
      <c r="X237" s="158"/>
      <c r="Y237" s="94"/>
      <c r="Z237" s="158"/>
      <c r="AA237" s="247"/>
      <c r="AB237" s="247"/>
      <c r="AC237" s="247"/>
      <c r="AD237" s="158"/>
      <c r="AE237" s="158">
        <f t="shared" si="34"/>
        <v>198845469</v>
      </c>
      <c r="AF237" s="158"/>
      <c r="AG237" s="94">
        <v>0</v>
      </c>
      <c r="AH237" s="94"/>
      <c r="AI237" s="94"/>
      <c r="AJ237" s="158">
        <f>AE237+AG237</f>
        <v>198845469</v>
      </c>
      <c r="AK237" s="158">
        <v>877</v>
      </c>
      <c r="AL237" s="94">
        <v>10</v>
      </c>
      <c r="AM237" s="158">
        <v>3</v>
      </c>
      <c r="AN237" s="158"/>
      <c r="AO237" s="11"/>
      <c r="AP237" s="11"/>
      <c r="AQ237" s="11"/>
      <c r="AR237" s="11"/>
      <c r="AS237" s="2">
        <v>0</v>
      </c>
      <c r="AT237" s="58" t="s">
        <v>521</v>
      </c>
      <c r="AU237" s="104"/>
      <c r="AV237" s="158"/>
      <c r="AW237" s="11"/>
      <c r="AX237" s="11"/>
      <c r="AY237" s="11"/>
      <c r="AZ237" s="11"/>
      <c r="BA237" s="11"/>
      <c r="BB237" s="70"/>
      <c r="BC237" s="69"/>
      <c r="BD237" s="271"/>
      <c r="BE237" s="271">
        <v>2019</v>
      </c>
      <c r="BF237" s="271">
        <v>2020</v>
      </c>
    </row>
    <row r="238" spans="1:58" s="204" customFormat="1" ht="29.25" customHeight="1">
      <c r="A238" s="160" t="s">
        <v>504</v>
      </c>
      <c r="B238" s="58" t="s">
        <v>84</v>
      </c>
      <c r="C238" s="487" t="s">
        <v>1173</v>
      </c>
      <c r="D238" s="489" t="s">
        <v>1169</v>
      </c>
      <c r="E238" s="489"/>
      <c r="F238" s="489"/>
      <c r="G238" s="489"/>
      <c r="H238" s="30" t="s">
        <v>1113</v>
      </c>
      <c r="I238" s="226">
        <v>779</v>
      </c>
      <c r="J238" s="212">
        <v>43455</v>
      </c>
      <c r="K238" s="158">
        <v>20</v>
      </c>
      <c r="L238" s="158">
        <v>20</v>
      </c>
      <c r="M238" s="158"/>
      <c r="N238" s="158">
        <v>20</v>
      </c>
      <c r="O238" s="158"/>
      <c r="P238" s="158">
        <v>1294350428</v>
      </c>
      <c r="Q238" s="298"/>
      <c r="R238" s="158"/>
      <c r="S238" s="158"/>
      <c r="T238" s="158">
        <f>658897806+6270000+22117425</f>
        <v>687285231</v>
      </c>
      <c r="U238" s="158">
        <v>20</v>
      </c>
      <c r="V238" s="311">
        <v>43739</v>
      </c>
      <c r="W238" s="311"/>
      <c r="X238" s="311"/>
      <c r="Y238" s="611">
        <v>607065197</v>
      </c>
      <c r="Z238" s="495">
        <v>20</v>
      </c>
      <c r="AA238" s="484">
        <v>43951</v>
      </c>
      <c r="AB238" s="580"/>
      <c r="AC238" s="69"/>
      <c r="AD238" s="158"/>
      <c r="AE238" s="158">
        <f t="shared" si="34"/>
        <v>0</v>
      </c>
      <c r="AF238" s="158"/>
      <c r="AG238" s="94">
        <v>0</v>
      </c>
      <c r="AH238" s="94"/>
      <c r="AI238" s="94"/>
      <c r="AJ238" s="158">
        <f>AE238+AG238</f>
        <v>0</v>
      </c>
      <c r="AK238" s="158">
        <v>877</v>
      </c>
      <c r="AL238" s="94">
        <v>20</v>
      </c>
      <c r="AM238" s="158">
        <v>20</v>
      </c>
      <c r="AN238" s="158"/>
      <c r="AO238" s="11"/>
      <c r="AP238" s="11"/>
      <c r="AQ238" s="11"/>
      <c r="AR238" s="11"/>
      <c r="AS238" s="493">
        <v>0</v>
      </c>
      <c r="AT238" s="485" t="s">
        <v>38</v>
      </c>
      <c r="AU238" s="104"/>
      <c r="AV238" s="158"/>
      <c r="AW238" s="11"/>
      <c r="AX238" s="11"/>
      <c r="AY238" s="11"/>
      <c r="AZ238" s="11"/>
      <c r="BA238" s="11"/>
      <c r="BB238" s="70"/>
      <c r="BC238" s="69"/>
      <c r="BD238" s="271"/>
      <c r="BE238" s="271">
        <v>2019</v>
      </c>
      <c r="BF238" s="271">
        <v>2020</v>
      </c>
    </row>
    <row r="239" spans="1:58" s="204" customFormat="1" ht="18" hidden="1" customHeight="1">
      <c r="A239" s="160" t="s">
        <v>504</v>
      </c>
      <c r="B239" s="58" t="s">
        <v>89</v>
      </c>
      <c r="C239" s="58" t="s">
        <v>1259</v>
      </c>
      <c r="D239" s="148" t="s">
        <v>1078</v>
      </c>
      <c r="E239" s="148"/>
      <c r="F239" s="148"/>
      <c r="G239" s="148"/>
      <c r="H239" s="30" t="s">
        <v>1232</v>
      </c>
      <c r="I239" s="226">
        <v>473</v>
      </c>
      <c r="J239" s="212" t="s">
        <v>1469</v>
      </c>
      <c r="K239" s="158"/>
      <c r="L239" s="158"/>
      <c r="M239" s="158">
        <v>1</v>
      </c>
      <c r="N239" s="158"/>
      <c r="O239" s="158"/>
      <c r="P239" s="158">
        <v>70242040</v>
      </c>
      <c r="Q239" s="158"/>
      <c r="R239" s="158"/>
      <c r="S239" s="158"/>
      <c r="T239" s="158">
        <v>0</v>
      </c>
      <c r="U239" s="158"/>
      <c r="V239" s="158"/>
      <c r="W239" s="158"/>
      <c r="X239" s="158"/>
      <c r="Y239" s="94"/>
      <c r="Z239" s="69"/>
      <c r="AA239" s="69"/>
      <c r="AB239" s="69"/>
      <c r="AC239" s="69">
        <v>70242040</v>
      </c>
      <c r="AD239" s="158"/>
      <c r="AE239" s="158">
        <f>P239-T239-Y239-AC239</f>
        <v>0</v>
      </c>
      <c r="AF239" s="158"/>
      <c r="AG239" s="94">
        <v>0</v>
      </c>
      <c r="AH239" s="94"/>
      <c r="AI239" s="94"/>
      <c r="AJ239" s="158">
        <f t="shared" ref="AJ239:AJ249" si="36">AE239+AG239</f>
        <v>0</v>
      </c>
      <c r="AK239" s="158">
        <v>877</v>
      </c>
      <c r="AL239" s="94">
        <v>10</v>
      </c>
      <c r="AM239" s="158"/>
      <c r="AN239" s="158"/>
      <c r="AO239" s="11"/>
      <c r="AP239" s="11"/>
      <c r="AQ239" s="11"/>
      <c r="AR239" s="158"/>
      <c r="AS239" s="2">
        <v>0</v>
      </c>
      <c r="AT239" s="1" t="s">
        <v>687</v>
      </c>
      <c r="AU239" s="104" t="s">
        <v>1423</v>
      </c>
      <c r="AV239" s="158"/>
      <c r="AW239" s="11"/>
      <c r="AX239" s="11"/>
      <c r="AY239" s="11"/>
      <c r="AZ239" s="11"/>
      <c r="BA239" s="11"/>
      <c r="BB239" s="70"/>
      <c r="BC239" s="69">
        <v>1</v>
      </c>
      <c r="BD239" s="271" t="s">
        <v>1706</v>
      </c>
      <c r="BE239" s="271">
        <v>2019</v>
      </c>
      <c r="BF239" s="271"/>
    </row>
    <row r="240" spans="1:58" s="204" customFormat="1" ht="18" customHeight="1">
      <c r="A240" s="160" t="s">
        <v>504</v>
      </c>
      <c r="B240" s="58" t="s">
        <v>89</v>
      </c>
      <c r="C240" s="58" t="s">
        <v>1259</v>
      </c>
      <c r="D240" s="148" t="s">
        <v>1078</v>
      </c>
      <c r="E240" s="148"/>
      <c r="F240" s="148"/>
      <c r="G240" s="148"/>
      <c r="H240" s="30" t="s">
        <v>1232</v>
      </c>
      <c r="I240" s="226">
        <v>473</v>
      </c>
      <c r="J240" s="212" t="s">
        <v>1469</v>
      </c>
      <c r="K240" s="158"/>
      <c r="L240" s="158"/>
      <c r="M240" s="158">
        <f>69-1</f>
        <v>68</v>
      </c>
      <c r="N240" s="158">
        <v>68</v>
      </c>
      <c r="O240" s="158"/>
      <c r="P240" s="158">
        <f>4846700746-70242040</f>
        <v>4776458706</v>
      </c>
      <c r="Q240" s="158"/>
      <c r="R240" s="158"/>
      <c r="S240" s="158"/>
      <c r="T240" s="158">
        <v>2597168863</v>
      </c>
      <c r="U240" s="158">
        <v>10</v>
      </c>
      <c r="V240" s="311">
        <v>43556</v>
      </c>
      <c r="W240" s="311"/>
      <c r="X240" s="311"/>
      <c r="Y240" s="94">
        <v>2179289843</v>
      </c>
      <c r="Z240" s="158">
        <v>10</v>
      </c>
      <c r="AA240" s="311">
        <v>43678</v>
      </c>
      <c r="AB240" s="577"/>
      <c r="AC240" s="69"/>
      <c r="AD240" s="158"/>
      <c r="AE240" s="158">
        <f t="shared" si="34"/>
        <v>0</v>
      </c>
      <c r="AF240" s="158"/>
      <c r="AG240" s="94">
        <v>0</v>
      </c>
      <c r="AH240" s="94"/>
      <c r="AI240" s="94"/>
      <c r="AJ240" s="158">
        <f t="shared" si="36"/>
        <v>0</v>
      </c>
      <c r="AK240" s="158">
        <v>877</v>
      </c>
      <c r="AL240" s="94">
        <v>10</v>
      </c>
      <c r="AM240" s="158"/>
      <c r="AN240" s="158">
        <v>68</v>
      </c>
      <c r="AO240" s="11"/>
      <c r="AP240" s="11"/>
      <c r="AQ240" s="11"/>
      <c r="AR240" s="11"/>
      <c r="AS240" s="2">
        <v>0.81120000000000003</v>
      </c>
      <c r="AT240" s="58" t="s">
        <v>38</v>
      </c>
      <c r="AU240" s="104"/>
      <c r="AV240" s="158"/>
      <c r="AW240" s="11"/>
      <c r="AX240" s="11"/>
      <c r="AY240" s="11"/>
      <c r="AZ240" s="11"/>
      <c r="BA240" s="11"/>
      <c r="BB240" s="70"/>
      <c r="BC240" s="69"/>
      <c r="BD240" s="271"/>
      <c r="BE240" s="271">
        <v>2019</v>
      </c>
      <c r="BF240" s="271">
        <v>2020</v>
      </c>
    </row>
    <row r="241" spans="1:58" s="204" customFormat="1" ht="18" hidden="1" customHeight="1">
      <c r="A241" s="160" t="s">
        <v>504</v>
      </c>
      <c r="B241" s="58" t="s">
        <v>1243</v>
      </c>
      <c r="C241" s="58" t="s">
        <v>1260</v>
      </c>
      <c r="D241" s="148" t="s">
        <v>919</v>
      </c>
      <c r="E241" s="148"/>
      <c r="F241" s="148"/>
      <c r="G241" s="148"/>
      <c r="H241" s="30" t="s">
        <v>1232</v>
      </c>
      <c r="I241" s="226">
        <v>490</v>
      </c>
      <c r="J241" s="212">
        <v>43539</v>
      </c>
      <c r="K241" s="158"/>
      <c r="L241" s="158">
        <v>16</v>
      </c>
      <c r="M241" s="158"/>
      <c r="N241" s="158"/>
      <c r="O241" s="158"/>
      <c r="P241" s="158">
        <f>1237204572-137467175</f>
        <v>1099737397</v>
      </c>
      <c r="Q241" s="299"/>
      <c r="R241" s="158"/>
      <c r="S241" s="158"/>
      <c r="T241" s="158">
        <f>570703514</f>
        <v>570703514</v>
      </c>
      <c r="U241" s="158">
        <v>10</v>
      </c>
      <c r="V241" s="311">
        <v>43586</v>
      </c>
      <c r="W241" s="311"/>
      <c r="X241" s="311"/>
      <c r="Y241" s="94">
        <v>529033883</v>
      </c>
      <c r="Z241" s="69">
        <v>20</v>
      </c>
      <c r="AA241" s="311">
        <v>43709</v>
      </c>
      <c r="AB241" s="577"/>
      <c r="AC241" s="69"/>
      <c r="AD241" s="158"/>
      <c r="AE241" s="158">
        <f t="shared" si="34"/>
        <v>0</v>
      </c>
      <c r="AF241" s="158"/>
      <c r="AG241" s="94">
        <v>0</v>
      </c>
      <c r="AH241" s="94"/>
      <c r="AI241" s="94"/>
      <c r="AJ241" s="158">
        <f t="shared" si="36"/>
        <v>0</v>
      </c>
      <c r="AK241" s="158">
        <v>877</v>
      </c>
      <c r="AL241" s="94">
        <v>20</v>
      </c>
      <c r="AM241" s="158"/>
      <c r="AN241" s="158"/>
      <c r="AO241" s="158"/>
      <c r="AP241" s="11"/>
      <c r="AQ241" s="11"/>
      <c r="AR241" s="11"/>
      <c r="AS241" s="2">
        <v>1</v>
      </c>
      <c r="AT241" s="58" t="s">
        <v>646</v>
      </c>
      <c r="AU241" s="104" t="s">
        <v>1709</v>
      </c>
      <c r="AV241" s="158"/>
      <c r="AW241" s="11"/>
      <c r="AX241" s="11"/>
      <c r="AY241" s="12">
        <v>16</v>
      </c>
      <c r="AZ241" s="12"/>
      <c r="BA241" s="11"/>
      <c r="BB241" s="12">
        <v>16</v>
      </c>
      <c r="BC241" s="69"/>
      <c r="BD241" s="271">
        <v>2019</v>
      </c>
      <c r="BE241" s="271">
        <v>2019</v>
      </c>
      <c r="BF241" s="271"/>
    </row>
    <row r="242" spans="1:58" s="204" customFormat="1" ht="18" hidden="1" customHeight="1">
      <c r="A242" s="160" t="s">
        <v>504</v>
      </c>
      <c r="B242" s="58" t="s">
        <v>1243</v>
      </c>
      <c r="C242" s="58" t="s">
        <v>1260</v>
      </c>
      <c r="D242" s="148" t="s">
        <v>919</v>
      </c>
      <c r="E242" s="148"/>
      <c r="F242" s="148"/>
      <c r="G242" s="148"/>
      <c r="H242" s="30" t="s">
        <v>1232</v>
      </c>
      <c r="I242" s="226">
        <v>490</v>
      </c>
      <c r="J242" s="212">
        <v>43539</v>
      </c>
      <c r="K242" s="158"/>
      <c r="L242" s="158"/>
      <c r="M242" s="158">
        <v>2</v>
      </c>
      <c r="N242" s="158"/>
      <c r="O242" s="158"/>
      <c r="P242" s="158">
        <v>137467175</v>
      </c>
      <c r="Q242" s="158"/>
      <c r="R242" s="158"/>
      <c r="S242" s="158"/>
      <c r="T242" s="158">
        <v>72225824</v>
      </c>
      <c r="U242" s="158">
        <v>10</v>
      </c>
      <c r="V242" s="311">
        <v>43647</v>
      </c>
      <c r="W242" s="311"/>
      <c r="X242" s="311"/>
      <c r="Y242" s="94">
        <v>65241351</v>
      </c>
      <c r="Z242" s="69">
        <v>20</v>
      </c>
      <c r="AA242" s="311">
        <v>43709</v>
      </c>
      <c r="AB242" s="577"/>
      <c r="AC242" s="69"/>
      <c r="AD242" s="158"/>
      <c r="AE242" s="158">
        <f t="shared" si="34"/>
        <v>0</v>
      </c>
      <c r="AF242" s="158"/>
      <c r="AG242" s="94">
        <v>0</v>
      </c>
      <c r="AH242" s="94"/>
      <c r="AI242" s="94"/>
      <c r="AJ242" s="158">
        <f t="shared" si="36"/>
        <v>0</v>
      </c>
      <c r="AK242" s="158">
        <v>877</v>
      </c>
      <c r="AL242" s="94">
        <v>20</v>
      </c>
      <c r="AM242" s="158"/>
      <c r="AN242" s="158"/>
      <c r="AO242" s="61"/>
      <c r="AP242" s="11"/>
      <c r="AQ242" s="11"/>
      <c r="AR242" s="11"/>
      <c r="AS242" s="2">
        <v>1</v>
      </c>
      <c r="AT242" s="58" t="s">
        <v>646</v>
      </c>
      <c r="AU242" s="104" t="s">
        <v>1709</v>
      </c>
      <c r="AV242" s="158"/>
      <c r="AW242" s="11"/>
      <c r="AX242" s="11"/>
      <c r="AY242" s="12">
        <v>2</v>
      </c>
      <c r="AZ242" s="12"/>
      <c r="BA242" s="11"/>
      <c r="BB242" s="12">
        <v>2</v>
      </c>
      <c r="BC242" s="69"/>
      <c r="BD242" s="271">
        <v>2019</v>
      </c>
      <c r="BE242" s="271">
        <v>2019</v>
      </c>
      <c r="BF242" s="271"/>
    </row>
    <row r="243" spans="1:58" s="204" customFormat="1" ht="18" hidden="1" customHeight="1">
      <c r="A243" s="160" t="s">
        <v>504</v>
      </c>
      <c r="B243" s="58" t="s">
        <v>1243</v>
      </c>
      <c r="C243" s="58" t="s">
        <v>1261</v>
      </c>
      <c r="D243" s="148" t="s">
        <v>919</v>
      </c>
      <c r="E243" s="148"/>
      <c r="F243" s="148"/>
      <c r="G243" s="148"/>
      <c r="H243" s="30" t="s">
        <v>1232</v>
      </c>
      <c r="I243" s="226">
        <v>477</v>
      </c>
      <c r="J243" s="212">
        <v>43538</v>
      </c>
      <c r="K243" s="158"/>
      <c r="L243" s="158">
        <v>24</v>
      </c>
      <c r="M243" s="158"/>
      <c r="N243" s="158"/>
      <c r="O243" s="158"/>
      <c r="P243" s="158">
        <v>1683699620</v>
      </c>
      <c r="Q243" s="158"/>
      <c r="R243" s="158"/>
      <c r="S243" s="158"/>
      <c r="T243" s="158">
        <v>874893116</v>
      </c>
      <c r="U243" s="158">
        <v>10</v>
      </c>
      <c r="V243" s="311">
        <v>43556</v>
      </c>
      <c r="W243" s="311"/>
      <c r="X243" s="311"/>
      <c r="Y243" s="158">
        <v>808806504</v>
      </c>
      <c r="Z243" s="69">
        <v>10</v>
      </c>
      <c r="AA243" s="311">
        <v>43647</v>
      </c>
      <c r="AB243" s="577"/>
      <c r="AC243" s="69"/>
      <c r="AD243" s="158"/>
      <c r="AE243" s="158">
        <f t="shared" si="34"/>
        <v>0</v>
      </c>
      <c r="AF243" s="158"/>
      <c r="AG243" s="94">
        <v>0</v>
      </c>
      <c r="AH243" s="94"/>
      <c r="AI243" s="94"/>
      <c r="AJ243" s="158">
        <f t="shared" si="36"/>
        <v>0</v>
      </c>
      <c r="AK243" s="158">
        <v>877</v>
      </c>
      <c r="AL243" s="94">
        <v>10</v>
      </c>
      <c r="AM243" s="158"/>
      <c r="AN243" s="158"/>
      <c r="AO243" s="158"/>
      <c r="AP243" s="11"/>
      <c r="AQ243" s="11"/>
      <c r="AR243" s="11"/>
      <c r="AS243" s="2">
        <v>1</v>
      </c>
      <c r="AT243" s="58" t="s">
        <v>646</v>
      </c>
      <c r="AU243" s="104"/>
      <c r="AV243" s="158"/>
      <c r="AW243" s="11"/>
      <c r="AX243" s="11"/>
      <c r="AY243" s="158">
        <v>24</v>
      </c>
      <c r="AZ243" s="158"/>
      <c r="BA243" s="11"/>
      <c r="BB243" s="69">
        <v>24</v>
      </c>
      <c r="BC243" s="69"/>
      <c r="BD243" s="271">
        <v>2019</v>
      </c>
      <c r="BE243" s="271">
        <v>2019</v>
      </c>
      <c r="BF243" s="271"/>
    </row>
    <row r="244" spans="1:58" s="204" customFormat="1" ht="18" customHeight="1">
      <c r="A244" s="160" t="s">
        <v>504</v>
      </c>
      <c r="B244" s="58" t="s">
        <v>1619</v>
      </c>
      <c r="C244" s="58" t="s">
        <v>1616</v>
      </c>
      <c r="D244" s="148" t="s">
        <v>67</v>
      </c>
      <c r="E244" s="148"/>
      <c r="F244" s="148"/>
      <c r="G244" s="148"/>
      <c r="H244" s="30" t="s">
        <v>1605</v>
      </c>
      <c r="I244" s="226">
        <v>1361</v>
      </c>
      <c r="J244" s="212">
        <v>43685</v>
      </c>
      <c r="K244" s="158"/>
      <c r="L244" s="158"/>
      <c r="M244" s="205">
        <f>70-1</f>
        <v>69</v>
      </c>
      <c r="N244" s="158">
        <v>69</v>
      </c>
      <c r="O244" s="205"/>
      <c r="P244" s="158">
        <f>5687127414-81244677</f>
        <v>5605882737</v>
      </c>
      <c r="Q244" s="94"/>
      <c r="R244" s="158"/>
      <c r="S244" s="158"/>
      <c r="T244" s="158">
        <v>3022530175</v>
      </c>
      <c r="U244" s="158">
        <v>20</v>
      </c>
      <c r="V244" s="311">
        <v>43678</v>
      </c>
      <c r="W244" s="311"/>
      <c r="X244" s="311"/>
      <c r="Y244" s="158">
        <v>2583352562</v>
      </c>
      <c r="Z244" s="69">
        <v>20</v>
      </c>
      <c r="AA244" s="311">
        <v>43800</v>
      </c>
      <c r="AB244" s="582"/>
      <c r="AC244" s="284"/>
      <c r="AD244" s="158"/>
      <c r="AE244" s="158">
        <f t="shared" si="34"/>
        <v>0</v>
      </c>
      <c r="AF244" s="158"/>
      <c r="AG244" s="94">
        <v>0</v>
      </c>
      <c r="AH244" s="94"/>
      <c r="AI244" s="94"/>
      <c r="AJ244" s="158">
        <f t="shared" si="36"/>
        <v>0</v>
      </c>
      <c r="AK244" s="158">
        <v>877</v>
      </c>
      <c r="AL244" s="94">
        <v>20</v>
      </c>
      <c r="AM244" s="158"/>
      <c r="AN244" s="158">
        <v>69</v>
      </c>
      <c r="AO244" s="11"/>
      <c r="AP244" s="11"/>
      <c r="AQ244" s="11"/>
      <c r="AR244" s="11"/>
      <c r="AS244" s="2">
        <v>0.55789999999999995</v>
      </c>
      <c r="AT244" s="58" t="s">
        <v>38</v>
      </c>
      <c r="AU244" s="104"/>
      <c r="AV244" s="158"/>
      <c r="AW244" s="11"/>
      <c r="AX244" s="11"/>
      <c r="AY244" s="11"/>
      <c r="AZ244" s="11"/>
      <c r="BA244" s="11"/>
      <c r="BB244" s="70"/>
      <c r="BC244" s="69"/>
      <c r="BD244" s="271"/>
      <c r="BE244" s="271">
        <v>2019</v>
      </c>
      <c r="BF244" s="271">
        <v>2020</v>
      </c>
    </row>
    <row r="245" spans="1:58" s="204" customFormat="1" ht="18" customHeight="1">
      <c r="A245" s="160" t="s">
        <v>504</v>
      </c>
      <c r="B245" s="58" t="s">
        <v>1619</v>
      </c>
      <c r="C245" s="58" t="s">
        <v>1616</v>
      </c>
      <c r="D245" s="148" t="s">
        <v>67</v>
      </c>
      <c r="E245" s="148"/>
      <c r="F245" s="148"/>
      <c r="G245" s="148"/>
      <c r="H245" s="30" t="s">
        <v>1605</v>
      </c>
      <c r="I245" s="226">
        <v>1361</v>
      </c>
      <c r="J245" s="212">
        <v>43685</v>
      </c>
      <c r="K245" s="158"/>
      <c r="L245" s="158"/>
      <c r="M245" s="205">
        <v>1</v>
      </c>
      <c r="N245" s="158">
        <v>1</v>
      </c>
      <c r="O245" s="205"/>
      <c r="P245" s="158">
        <v>81244677</v>
      </c>
      <c r="Q245" s="94"/>
      <c r="R245" s="158"/>
      <c r="S245" s="158"/>
      <c r="T245" s="158">
        <v>43006723</v>
      </c>
      <c r="U245" s="69">
        <v>20</v>
      </c>
      <c r="V245" s="311">
        <v>43800</v>
      </c>
      <c r="W245" s="311"/>
      <c r="X245" s="311"/>
      <c r="Y245" s="158">
        <v>38237954</v>
      </c>
      <c r="Z245" s="69">
        <v>20</v>
      </c>
      <c r="AA245" s="311">
        <v>43800</v>
      </c>
      <c r="AB245" s="582"/>
      <c r="AC245" s="284"/>
      <c r="AD245" s="158"/>
      <c r="AE245" s="158">
        <f t="shared" si="34"/>
        <v>0</v>
      </c>
      <c r="AF245" s="158"/>
      <c r="AG245" s="94">
        <v>0</v>
      </c>
      <c r="AH245" s="94"/>
      <c r="AI245" s="94"/>
      <c r="AJ245" s="158">
        <f t="shared" si="36"/>
        <v>0</v>
      </c>
      <c r="AK245" s="158">
        <v>877</v>
      </c>
      <c r="AL245" s="94">
        <v>20</v>
      </c>
      <c r="AM245" s="158"/>
      <c r="AN245" s="158">
        <v>1</v>
      </c>
      <c r="AO245" s="11"/>
      <c r="AP245" s="11"/>
      <c r="AQ245" s="11"/>
      <c r="AR245" s="11"/>
      <c r="AS245" s="2">
        <v>0.55789999999999995</v>
      </c>
      <c r="AT245" s="58" t="s">
        <v>38</v>
      </c>
      <c r="AU245" s="104"/>
      <c r="AV245" s="158"/>
      <c r="AW245" s="11"/>
      <c r="AX245" s="11"/>
      <c r="AY245" s="11"/>
      <c r="AZ245" s="11"/>
      <c r="BA245" s="11"/>
      <c r="BB245" s="70"/>
      <c r="BC245" s="69"/>
      <c r="BD245" s="271"/>
      <c r="BE245" s="271">
        <v>2019</v>
      </c>
      <c r="BF245" s="271">
        <v>2020</v>
      </c>
    </row>
    <row r="246" spans="1:58" s="204" customFormat="1" ht="18" customHeight="1">
      <c r="A246" s="160" t="s">
        <v>504</v>
      </c>
      <c r="B246" s="58" t="s">
        <v>74</v>
      </c>
      <c r="C246" s="58" t="s">
        <v>1604</v>
      </c>
      <c r="D246" s="148" t="s">
        <v>1015</v>
      </c>
      <c r="E246" s="148"/>
      <c r="F246" s="148"/>
      <c r="G246" s="148"/>
      <c r="H246" s="30" t="s">
        <v>1605</v>
      </c>
      <c r="I246" s="226">
        <v>1363</v>
      </c>
      <c r="J246" s="212">
        <v>43685</v>
      </c>
      <c r="K246" s="158"/>
      <c r="L246" s="158"/>
      <c r="M246" s="205">
        <f>68-5</f>
        <v>63</v>
      </c>
      <c r="N246" s="158">
        <v>63</v>
      </c>
      <c r="O246" s="205"/>
      <c r="P246" s="158">
        <f>4919632442-364559346</f>
        <v>4555073096</v>
      </c>
      <c r="Q246" s="141"/>
      <c r="R246" s="158"/>
      <c r="S246" s="158"/>
      <c r="T246" s="158">
        <v>2473438497</v>
      </c>
      <c r="U246" s="158">
        <v>20</v>
      </c>
      <c r="V246" s="311">
        <v>43709</v>
      </c>
      <c r="W246" s="311"/>
      <c r="X246" s="311"/>
      <c r="Y246" s="158">
        <v>2081634599</v>
      </c>
      <c r="Z246" s="69">
        <v>20</v>
      </c>
      <c r="AA246" s="311">
        <v>43800</v>
      </c>
      <c r="AB246" s="582"/>
      <c r="AC246" s="284"/>
      <c r="AD246" s="158"/>
      <c r="AE246" s="158">
        <f t="shared" si="34"/>
        <v>0</v>
      </c>
      <c r="AF246" s="158"/>
      <c r="AG246" s="94">
        <v>0</v>
      </c>
      <c r="AH246" s="94"/>
      <c r="AI246" s="94"/>
      <c r="AJ246" s="158">
        <f t="shared" si="36"/>
        <v>0</v>
      </c>
      <c r="AK246" s="158">
        <v>877</v>
      </c>
      <c r="AL246" s="94">
        <v>20</v>
      </c>
      <c r="AM246" s="158"/>
      <c r="AN246" s="158">
        <v>63</v>
      </c>
      <c r="AO246" s="11"/>
      <c r="AP246" s="11"/>
      <c r="AQ246" s="11"/>
      <c r="AR246" s="11"/>
      <c r="AS246" s="2">
        <v>0.73939999999999995</v>
      </c>
      <c r="AT246" s="58" t="s">
        <v>38</v>
      </c>
      <c r="AU246" s="104"/>
      <c r="AV246" s="158"/>
      <c r="AW246" s="11"/>
      <c r="AX246" s="11"/>
      <c r="AY246" s="11"/>
      <c r="AZ246" s="11"/>
      <c r="BA246" s="11"/>
      <c r="BB246" s="70"/>
      <c r="BC246" s="69"/>
      <c r="BD246" s="271"/>
      <c r="BE246" s="271">
        <v>2019</v>
      </c>
      <c r="BF246" s="271">
        <v>2020</v>
      </c>
    </row>
    <row r="247" spans="1:58" s="204" customFormat="1" ht="18" customHeight="1">
      <c r="A247" s="160" t="s">
        <v>504</v>
      </c>
      <c r="B247" s="58" t="s">
        <v>74</v>
      </c>
      <c r="C247" s="58" t="s">
        <v>1604</v>
      </c>
      <c r="D247" s="148" t="s">
        <v>1015</v>
      </c>
      <c r="E247" s="148"/>
      <c r="F247" s="148"/>
      <c r="G247" s="148"/>
      <c r="H247" s="30" t="s">
        <v>1605</v>
      </c>
      <c r="I247" s="226">
        <v>1363</v>
      </c>
      <c r="J247" s="212">
        <v>43685</v>
      </c>
      <c r="K247" s="158"/>
      <c r="L247" s="158"/>
      <c r="M247" s="205">
        <v>5</v>
      </c>
      <c r="N247" s="158">
        <v>5</v>
      </c>
      <c r="O247" s="205"/>
      <c r="P247" s="158">
        <f>364559346</f>
        <v>364559346</v>
      </c>
      <c r="Q247" s="94"/>
      <c r="R247" s="158"/>
      <c r="S247" s="158"/>
      <c r="T247" s="158">
        <v>364559346</v>
      </c>
      <c r="U247" s="69">
        <v>20</v>
      </c>
      <c r="V247" s="311">
        <v>43800</v>
      </c>
      <c r="W247" s="311"/>
      <c r="X247" s="311"/>
      <c r="Y247" s="158"/>
      <c r="Z247" s="69"/>
      <c r="AA247" s="284"/>
      <c r="AB247" s="284"/>
      <c r="AC247" s="284"/>
      <c r="AD247" s="158"/>
      <c r="AE247" s="158">
        <f t="shared" si="34"/>
        <v>0</v>
      </c>
      <c r="AF247" s="158"/>
      <c r="AG247" s="94">
        <v>0</v>
      </c>
      <c r="AH247" s="94"/>
      <c r="AI247" s="94"/>
      <c r="AJ247" s="158">
        <f t="shared" si="36"/>
        <v>0</v>
      </c>
      <c r="AK247" s="158">
        <v>877</v>
      </c>
      <c r="AL247" s="94">
        <v>20</v>
      </c>
      <c r="AM247" s="158"/>
      <c r="AN247" s="158">
        <v>5</v>
      </c>
      <c r="AO247" s="11"/>
      <c r="AP247" s="11"/>
      <c r="AQ247" s="11"/>
      <c r="AR247" s="11"/>
      <c r="AS247" s="2">
        <v>0.73939999999999995</v>
      </c>
      <c r="AT247" s="58" t="s">
        <v>38</v>
      </c>
      <c r="AU247" s="104"/>
      <c r="AV247" s="158"/>
      <c r="AW247" s="11"/>
      <c r="AX247" s="11"/>
      <c r="AY247" s="11"/>
      <c r="AZ247" s="11"/>
      <c r="BA247" s="11"/>
      <c r="BB247" s="70"/>
      <c r="BC247" s="69"/>
      <c r="BD247" s="271"/>
      <c r="BE247" s="271">
        <v>2019</v>
      </c>
      <c r="BF247" s="271">
        <v>2020</v>
      </c>
    </row>
    <row r="248" spans="1:58" s="204" customFormat="1" ht="27.75" customHeight="1">
      <c r="A248" s="160" t="s">
        <v>504</v>
      </c>
      <c r="B248" s="58" t="s">
        <v>84</v>
      </c>
      <c r="C248" s="487" t="s">
        <v>1617</v>
      </c>
      <c r="D248" s="489" t="s">
        <v>1618</v>
      </c>
      <c r="E248" s="489"/>
      <c r="F248" s="489"/>
      <c r="G248" s="489"/>
      <c r="H248" s="30" t="s">
        <v>1605</v>
      </c>
      <c r="I248" s="272" t="s">
        <v>1620</v>
      </c>
      <c r="J248" s="212">
        <v>43685</v>
      </c>
      <c r="K248" s="158"/>
      <c r="L248" s="158"/>
      <c r="M248" s="205">
        <v>50</v>
      </c>
      <c r="N248" s="158">
        <v>50</v>
      </c>
      <c r="O248" s="205"/>
      <c r="P248" s="158">
        <v>4120172800</v>
      </c>
      <c r="Q248" s="158">
        <v>500000000</v>
      </c>
      <c r="R248" s="158">
        <v>20</v>
      </c>
      <c r="S248" s="311">
        <v>43678</v>
      </c>
      <c r="T248" s="625">
        <v>1942145866</v>
      </c>
      <c r="U248" s="72">
        <v>10</v>
      </c>
      <c r="V248" s="484">
        <v>43831</v>
      </c>
      <c r="W248" s="484"/>
      <c r="X248" s="484"/>
      <c r="Y248" s="72">
        <v>1678026934</v>
      </c>
      <c r="Z248" s="495">
        <v>10</v>
      </c>
      <c r="AA248" s="484">
        <v>43980</v>
      </c>
      <c r="AB248" s="616"/>
      <c r="AC248" s="284"/>
      <c r="AD248" s="158"/>
      <c r="AE248" s="158">
        <f>P248-Q248-T248-Y248</f>
        <v>0</v>
      </c>
      <c r="AF248" s="158"/>
      <c r="AG248" s="94">
        <v>0</v>
      </c>
      <c r="AH248" s="94"/>
      <c r="AI248" s="94"/>
      <c r="AJ248" s="158">
        <f>AE248+AG248</f>
        <v>0</v>
      </c>
      <c r="AK248" s="158">
        <v>877</v>
      </c>
      <c r="AL248" s="94">
        <v>10</v>
      </c>
      <c r="AM248" s="72"/>
      <c r="AN248" s="72">
        <v>50</v>
      </c>
      <c r="AO248" s="11"/>
      <c r="AP248" s="11"/>
      <c r="AQ248" s="11"/>
      <c r="AR248" s="11"/>
      <c r="AS248" s="493">
        <v>0</v>
      </c>
      <c r="AT248" s="498" t="s">
        <v>38</v>
      </c>
      <c r="AU248" s="104"/>
      <c r="AV248" s="158"/>
      <c r="AW248" s="11"/>
      <c r="AX248" s="11"/>
      <c r="AY248" s="11"/>
      <c r="AZ248" s="11"/>
      <c r="BA248" s="11"/>
      <c r="BB248" s="70"/>
      <c r="BC248" s="69"/>
      <c r="BD248" s="271"/>
      <c r="BE248" s="271">
        <v>2019</v>
      </c>
      <c r="BF248" s="271">
        <v>2020</v>
      </c>
    </row>
    <row r="249" spans="1:58" s="204" customFormat="1" ht="18" hidden="1" customHeight="1">
      <c r="A249" s="160" t="s">
        <v>504</v>
      </c>
      <c r="B249" s="58" t="s">
        <v>74</v>
      </c>
      <c r="C249" s="58" t="s">
        <v>1866</v>
      </c>
      <c r="D249" s="148" t="s">
        <v>119</v>
      </c>
      <c r="E249" s="148"/>
      <c r="F249" s="148"/>
      <c r="G249" s="148"/>
      <c r="H249" s="30" t="s">
        <v>1605</v>
      </c>
      <c r="I249" s="226">
        <v>1375</v>
      </c>
      <c r="J249" s="212">
        <v>43685</v>
      </c>
      <c r="K249" s="158"/>
      <c r="L249" s="158"/>
      <c r="M249" s="205">
        <v>28</v>
      </c>
      <c r="N249" s="158"/>
      <c r="O249" s="205"/>
      <c r="P249" s="158">
        <v>2041476767</v>
      </c>
      <c r="Q249" s="94"/>
      <c r="R249" s="158"/>
      <c r="S249" s="158"/>
      <c r="T249" s="158">
        <v>1093858563</v>
      </c>
      <c r="U249" s="158">
        <v>20</v>
      </c>
      <c r="V249" s="311">
        <v>43678</v>
      </c>
      <c r="W249" s="311"/>
      <c r="X249" s="311"/>
      <c r="Y249" s="158">
        <v>947618204</v>
      </c>
      <c r="Z249" s="69">
        <v>20</v>
      </c>
      <c r="AA249" s="311">
        <v>43770</v>
      </c>
      <c r="AB249" s="582"/>
      <c r="AC249" s="284"/>
      <c r="AD249" s="158"/>
      <c r="AE249" s="158">
        <f t="shared" si="34"/>
        <v>0</v>
      </c>
      <c r="AF249" s="158"/>
      <c r="AG249" s="158">
        <f>P249-T249-Y249</f>
        <v>0</v>
      </c>
      <c r="AH249" s="158"/>
      <c r="AI249" s="158"/>
      <c r="AJ249" s="158">
        <f t="shared" si="36"/>
        <v>0</v>
      </c>
      <c r="AK249" s="158">
        <v>877</v>
      </c>
      <c r="AL249" s="94">
        <v>20</v>
      </c>
      <c r="AM249" s="158"/>
      <c r="AN249" s="158"/>
      <c r="AO249" s="158"/>
      <c r="AP249" s="11"/>
      <c r="AQ249" s="11"/>
      <c r="AR249" s="11"/>
      <c r="AS249" s="2">
        <v>1</v>
      </c>
      <c r="AT249" s="58" t="s">
        <v>646</v>
      </c>
      <c r="AU249" s="104" t="s">
        <v>1867</v>
      </c>
      <c r="AV249" s="158"/>
      <c r="AW249" s="11"/>
      <c r="AX249" s="11"/>
      <c r="AY249" s="158">
        <v>28</v>
      </c>
      <c r="AZ249" s="158"/>
      <c r="BA249" s="11"/>
      <c r="BB249" s="158">
        <v>28</v>
      </c>
      <c r="BC249" s="69"/>
      <c r="BD249" s="271">
        <v>2019</v>
      </c>
      <c r="BE249" s="271">
        <v>2019</v>
      </c>
      <c r="BF249" s="271"/>
    </row>
    <row r="250" spans="1:58" s="204" customFormat="1" ht="30.75" customHeight="1">
      <c r="A250" s="160" t="s">
        <v>504</v>
      </c>
      <c r="B250" s="58" t="s">
        <v>86</v>
      </c>
      <c r="C250" s="487" t="s">
        <v>1608</v>
      </c>
      <c r="D250" s="489" t="s">
        <v>1609</v>
      </c>
      <c r="E250" s="489"/>
      <c r="F250" s="489"/>
      <c r="G250" s="489"/>
      <c r="H250" s="30" t="s">
        <v>1605</v>
      </c>
      <c r="I250" s="226">
        <v>1378</v>
      </c>
      <c r="J250" s="212">
        <v>43685</v>
      </c>
      <c r="K250" s="158"/>
      <c r="L250" s="158"/>
      <c r="M250" s="205">
        <v>35</v>
      </c>
      <c r="N250" s="158">
        <v>35</v>
      </c>
      <c r="O250" s="205"/>
      <c r="P250" s="158">
        <v>2916475881</v>
      </c>
      <c r="Q250" s="94"/>
      <c r="R250" s="158"/>
      <c r="S250" s="158"/>
      <c r="T250" s="158">
        <v>1556260957</v>
      </c>
      <c r="U250" s="158">
        <v>20</v>
      </c>
      <c r="V250" s="311">
        <v>43709</v>
      </c>
      <c r="W250" s="311"/>
      <c r="X250" s="311"/>
      <c r="Y250" s="625">
        <v>1360214924</v>
      </c>
      <c r="Z250" s="495">
        <v>20</v>
      </c>
      <c r="AA250" s="484">
        <v>43889</v>
      </c>
      <c r="AB250" s="616"/>
      <c r="AC250" s="284"/>
      <c r="AD250" s="158"/>
      <c r="AE250" s="158">
        <f t="shared" si="34"/>
        <v>0</v>
      </c>
      <c r="AF250" s="158"/>
      <c r="AG250" s="94">
        <v>0</v>
      </c>
      <c r="AH250" s="94"/>
      <c r="AI250" s="94"/>
      <c r="AJ250" s="158">
        <f>AE250+AG250</f>
        <v>0</v>
      </c>
      <c r="AK250" s="158">
        <v>877</v>
      </c>
      <c r="AL250" s="94">
        <v>20</v>
      </c>
      <c r="AM250" s="158"/>
      <c r="AN250" s="158">
        <v>35</v>
      </c>
      <c r="AO250" s="11"/>
      <c r="AP250" s="11"/>
      <c r="AQ250" s="11"/>
      <c r="AR250" s="11"/>
      <c r="AS250" s="493">
        <v>6.2300000000000001E-2</v>
      </c>
      <c r="AT250" s="485" t="s">
        <v>38</v>
      </c>
      <c r="AU250" s="104" t="s">
        <v>2216</v>
      </c>
      <c r="AV250" s="158"/>
      <c r="AW250" s="11"/>
      <c r="AX250" s="11"/>
      <c r="AY250" s="11"/>
      <c r="AZ250" s="11"/>
      <c r="BA250" s="11"/>
      <c r="BB250" s="70"/>
      <c r="BC250" s="69"/>
      <c r="BD250" s="271"/>
      <c r="BE250" s="271">
        <v>2019</v>
      </c>
      <c r="BF250" s="271">
        <v>2020</v>
      </c>
    </row>
    <row r="251" spans="1:58" s="204" customFormat="1" ht="18" customHeight="1">
      <c r="A251" s="160" t="s">
        <v>504</v>
      </c>
      <c r="B251" s="58" t="s">
        <v>1568</v>
      </c>
      <c r="C251" s="485" t="s">
        <v>1566</v>
      </c>
      <c r="D251" s="489" t="s">
        <v>1567</v>
      </c>
      <c r="E251" s="489"/>
      <c r="F251" s="489"/>
      <c r="G251" s="489"/>
      <c r="H251" s="30" t="s">
        <v>1553</v>
      </c>
      <c r="I251" s="226">
        <v>1645</v>
      </c>
      <c r="J251" s="212">
        <v>43728</v>
      </c>
      <c r="K251" s="158"/>
      <c r="L251" s="158"/>
      <c r="M251" s="158">
        <v>25</v>
      </c>
      <c r="N251" s="158">
        <v>25</v>
      </c>
      <c r="O251" s="158"/>
      <c r="P251" s="158">
        <v>2081400648</v>
      </c>
      <c r="Q251" s="158"/>
      <c r="R251" s="158"/>
      <c r="S251" s="158"/>
      <c r="T251" s="158">
        <v>1144034725</v>
      </c>
      <c r="U251" s="158">
        <v>20</v>
      </c>
      <c r="V251" s="311">
        <v>43739</v>
      </c>
      <c r="W251" s="311"/>
      <c r="X251" s="311"/>
      <c r="Y251" s="623">
        <v>937365923</v>
      </c>
      <c r="Z251" s="495">
        <v>20</v>
      </c>
      <c r="AA251" s="484">
        <v>43900</v>
      </c>
      <c r="AB251" s="616"/>
      <c r="AC251" s="284"/>
      <c r="AD251" s="158"/>
      <c r="AE251" s="158">
        <f>P251-T251-Y251-AG251</f>
        <v>0</v>
      </c>
      <c r="AF251" s="158"/>
      <c r="AG251" s="158">
        <f>P251-T251-Y251</f>
        <v>0</v>
      </c>
      <c r="AH251" s="158"/>
      <c r="AI251" s="158"/>
      <c r="AJ251" s="158">
        <f>AE251+AG251</f>
        <v>0</v>
      </c>
      <c r="AK251" s="158">
        <v>877</v>
      </c>
      <c r="AL251" s="94">
        <v>20</v>
      </c>
      <c r="AM251" s="158"/>
      <c r="AN251" s="158">
        <v>25</v>
      </c>
      <c r="AO251" s="11"/>
      <c r="AP251" s="11"/>
      <c r="AQ251" s="11"/>
      <c r="AR251" s="11"/>
      <c r="AS251" s="2">
        <v>0</v>
      </c>
      <c r="AT251" s="485" t="s">
        <v>38</v>
      </c>
      <c r="AU251" s="104" t="s">
        <v>1565</v>
      </c>
      <c r="AV251" s="158"/>
      <c r="AW251" s="11"/>
      <c r="AX251" s="11"/>
      <c r="AY251" s="11"/>
      <c r="AZ251" s="11"/>
      <c r="BA251" s="11"/>
      <c r="BB251" s="70"/>
      <c r="BC251" s="69"/>
      <c r="BD251" s="271"/>
      <c r="BE251" s="271">
        <v>2019</v>
      </c>
      <c r="BF251" s="271">
        <v>2020</v>
      </c>
    </row>
    <row r="252" spans="1:58" s="204" customFormat="1" ht="18" customHeight="1">
      <c r="A252" s="160" t="s">
        <v>504</v>
      </c>
      <c r="B252" s="58" t="s">
        <v>84</v>
      </c>
      <c r="C252" s="501" t="s">
        <v>1762</v>
      </c>
      <c r="D252" s="502" t="s">
        <v>723</v>
      </c>
      <c r="E252" s="502"/>
      <c r="F252" s="502"/>
      <c r="G252" s="502"/>
      <c r="H252" s="30" t="s">
        <v>1763</v>
      </c>
      <c r="I252" s="226">
        <v>1840</v>
      </c>
      <c r="J252" s="212">
        <v>43763</v>
      </c>
      <c r="K252" s="158"/>
      <c r="L252" s="158"/>
      <c r="M252" s="158">
        <v>60</v>
      </c>
      <c r="N252" s="158">
        <v>60</v>
      </c>
      <c r="O252" s="158"/>
      <c r="P252" s="158">
        <v>4996057084</v>
      </c>
      <c r="Q252" s="158"/>
      <c r="R252" s="158"/>
      <c r="S252" s="158"/>
      <c r="T252" s="158">
        <v>2715844024</v>
      </c>
      <c r="U252" s="158">
        <v>20</v>
      </c>
      <c r="V252" s="311">
        <v>43770</v>
      </c>
      <c r="W252" s="311"/>
      <c r="X252" s="311"/>
      <c r="Y252" s="611">
        <v>2280213060</v>
      </c>
      <c r="Z252" s="495">
        <v>20</v>
      </c>
      <c r="AA252" s="484">
        <v>43951</v>
      </c>
      <c r="AB252" s="581"/>
      <c r="AC252" s="284"/>
      <c r="AD252" s="158"/>
      <c r="AE252" s="158">
        <f>P252-T252-Y252-AG252</f>
        <v>0</v>
      </c>
      <c r="AF252" s="158"/>
      <c r="AG252" s="94">
        <v>0</v>
      </c>
      <c r="AH252" s="94"/>
      <c r="AI252" s="94"/>
      <c r="AJ252" s="158">
        <f>AE252+AG252</f>
        <v>0</v>
      </c>
      <c r="AK252" s="158">
        <v>877</v>
      </c>
      <c r="AL252" s="94">
        <v>20</v>
      </c>
      <c r="AM252" s="158">
        <v>60</v>
      </c>
      <c r="AN252" s="158"/>
      <c r="AO252" s="11"/>
      <c r="AP252" s="11"/>
      <c r="AQ252" s="11"/>
      <c r="AR252" s="11"/>
      <c r="AS252" s="2">
        <v>0</v>
      </c>
      <c r="AT252" s="58" t="s">
        <v>521</v>
      </c>
      <c r="AU252" s="104"/>
      <c r="AV252" s="158"/>
      <c r="AW252" s="11"/>
      <c r="AX252" s="11"/>
      <c r="AY252" s="11"/>
      <c r="AZ252" s="11"/>
      <c r="BA252" s="11"/>
      <c r="BB252" s="70"/>
      <c r="BC252" s="69"/>
      <c r="BD252" s="271"/>
      <c r="BE252" s="271">
        <v>2019</v>
      </c>
      <c r="BF252" s="271">
        <v>2020</v>
      </c>
    </row>
    <row r="253" spans="1:58" s="204" customFormat="1" ht="18" customHeight="1">
      <c r="A253" s="160" t="s">
        <v>504</v>
      </c>
      <c r="B253" s="58" t="s">
        <v>1773</v>
      </c>
      <c r="C253" s="501" t="s">
        <v>1772</v>
      </c>
      <c r="D253" s="502" t="s">
        <v>287</v>
      </c>
      <c r="E253" s="502"/>
      <c r="F253" s="502"/>
      <c r="G253" s="502"/>
      <c r="H253" s="30" t="s">
        <v>1763</v>
      </c>
      <c r="I253" s="226">
        <v>1866</v>
      </c>
      <c r="J253" s="212">
        <v>43766</v>
      </c>
      <c r="K253" s="158"/>
      <c r="L253" s="158"/>
      <c r="M253" s="158">
        <v>39</v>
      </c>
      <c r="N253" s="158">
        <v>39</v>
      </c>
      <c r="O253" s="158"/>
      <c r="P253" s="158">
        <v>3214063944</v>
      </c>
      <c r="Q253" s="158">
        <v>390000000</v>
      </c>
      <c r="R253" s="158">
        <v>20</v>
      </c>
      <c r="S253" s="311">
        <v>43770</v>
      </c>
      <c r="T253" s="623">
        <v>1542558489</v>
      </c>
      <c r="U253" s="72">
        <v>10</v>
      </c>
      <c r="V253" s="484">
        <v>43888</v>
      </c>
      <c r="W253" s="484"/>
      <c r="X253" s="484"/>
      <c r="Y253" s="94"/>
      <c r="Z253" s="69"/>
      <c r="AA253" s="284"/>
      <c r="AB253" s="614"/>
      <c r="AC253" s="284"/>
      <c r="AD253" s="158"/>
      <c r="AE253" s="158">
        <f>P253-Q253-T253-Y253</f>
        <v>1281505455</v>
      </c>
      <c r="AF253" s="158"/>
      <c r="AG253" s="94">
        <v>0</v>
      </c>
      <c r="AH253" s="94"/>
      <c r="AI253" s="94"/>
      <c r="AJ253" s="158">
        <f>AE253+AG253</f>
        <v>1281505455</v>
      </c>
      <c r="AK253" s="158">
        <v>877</v>
      </c>
      <c r="AL253" s="94">
        <v>10</v>
      </c>
      <c r="AM253" s="72"/>
      <c r="AN253" s="72">
        <v>39</v>
      </c>
      <c r="AO253" s="11"/>
      <c r="AP253" s="11"/>
      <c r="AQ253" s="11"/>
      <c r="AR253" s="11"/>
      <c r="AS253" s="2">
        <v>0</v>
      </c>
      <c r="AT253" s="485" t="s">
        <v>38</v>
      </c>
      <c r="AU253" s="104" t="s">
        <v>1565</v>
      </c>
      <c r="AV253" s="158"/>
      <c r="AW253" s="11"/>
      <c r="AX253" s="11"/>
      <c r="AY253" s="11"/>
      <c r="AZ253" s="11"/>
      <c r="BA253" s="11"/>
      <c r="BB253" s="70"/>
      <c r="BC253" s="69"/>
      <c r="BD253" s="271"/>
      <c r="BE253" s="271">
        <v>2019</v>
      </c>
      <c r="BF253" s="351">
        <v>2020</v>
      </c>
    </row>
    <row r="254" spans="1:58" s="204" customFormat="1" ht="26.25" customHeight="1">
      <c r="A254" s="160" t="s">
        <v>504</v>
      </c>
      <c r="B254" s="58" t="s">
        <v>84</v>
      </c>
      <c r="C254" s="483" t="s">
        <v>1778</v>
      </c>
      <c r="D254" s="502" t="s">
        <v>1779</v>
      </c>
      <c r="E254" s="502"/>
      <c r="F254" s="502"/>
      <c r="G254" s="502"/>
      <c r="H254" s="30" t="s">
        <v>1763</v>
      </c>
      <c r="I254" s="226">
        <v>1846</v>
      </c>
      <c r="J254" s="212">
        <v>43763</v>
      </c>
      <c r="K254" s="158"/>
      <c r="L254" s="158"/>
      <c r="M254" s="158">
        <f>21-1</f>
        <v>20</v>
      </c>
      <c r="N254" s="158">
        <v>20</v>
      </c>
      <c r="O254" s="158"/>
      <c r="P254" s="158">
        <f>1531057064-72907479</f>
        <v>1458149585</v>
      </c>
      <c r="Q254" s="158"/>
      <c r="R254" s="158"/>
      <c r="S254" s="311"/>
      <c r="T254" s="158">
        <f>793423508+6866000</f>
        <v>800289508</v>
      </c>
      <c r="U254" s="158">
        <v>20</v>
      </c>
      <c r="V254" s="311">
        <v>43770</v>
      </c>
      <c r="W254" s="311"/>
      <c r="X254" s="311"/>
      <c r="Y254" s="625">
        <v>657860077</v>
      </c>
      <c r="Z254" s="495">
        <v>20</v>
      </c>
      <c r="AA254" s="484">
        <v>43889</v>
      </c>
      <c r="AB254" s="616"/>
      <c r="AC254" s="284"/>
      <c r="AD254" s="158"/>
      <c r="AE254" s="158">
        <f>P254-Q254-T254-Y254</f>
        <v>0</v>
      </c>
      <c r="AF254" s="158"/>
      <c r="AG254" s="94">
        <v>0</v>
      </c>
      <c r="AH254" s="94"/>
      <c r="AI254" s="94"/>
      <c r="AJ254" s="158">
        <f t="shared" ref="AJ254:AJ255" si="37">AE254+AG254</f>
        <v>0</v>
      </c>
      <c r="AK254" s="158">
        <v>877</v>
      </c>
      <c r="AL254" s="94">
        <v>20</v>
      </c>
      <c r="AM254" s="72"/>
      <c r="AN254" s="72">
        <v>20</v>
      </c>
      <c r="AO254" s="11"/>
      <c r="AP254" s="11"/>
      <c r="AQ254" s="11"/>
      <c r="AR254" s="11"/>
      <c r="AS254" s="2">
        <v>0</v>
      </c>
      <c r="AT254" s="485" t="s">
        <v>38</v>
      </c>
      <c r="AU254" s="104"/>
      <c r="AV254" s="158"/>
      <c r="AW254" s="11"/>
      <c r="AX254" s="11"/>
      <c r="AY254" s="11"/>
      <c r="AZ254" s="11"/>
      <c r="BA254" s="11"/>
      <c r="BB254" s="70"/>
      <c r="BC254" s="69"/>
      <c r="BD254" s="271"/>
      <c r="BE254" s="271">
        <v>2019</v>
      </c>
      <c r="BF254" s="351">
        <v>2020</v>
      </c>
    </row>
    <row r="255" spans="1:58" s="204" customFormat="1" ht="26.25" customHeight="1">
      <c r="A255" s="160" t="s">
        <v>504</v>
      </c>
      <c r="B255" s="58" t="s">
        <v>84</v>
      </c>
      <c r="C255" s="483" t="s">
        <v>1778</v>
      </c>
      <c r="D255" s="502" t="s">
        <v>1779</v>
      </c>
      <c r="E255" s="502"/>
      <c r="F255" s="502"/>
      <c r="G255" s="502"/>
      <c r="H255" s="30" t="s">
        <v>1763</v>
      </c>
      <c r="I255" s="226">
        <v>1846</v>
      </c>
      <c r="J255" s="212">
        <v>43763</v>
      </c>
      <c r="K255" s="158"/>
      <c r="L255" s="158"/>
      <c r="M255" s="158">
        <v>1</v>
      </c>
      <c r="N255" s="158">
        <v>1</v>
      </c>
      <c r="O255" s="158"/>
      <c r="P255" s="158">
        <v>72907479</v>
      </c>
      <c r="Q255" s="158"/>
      <c r="R255" s="158"/>
      <c r="S255" s="311"/>
      <c r="T255" s="638">
        <f>36823175+343300</f>
        <v>37166475</v>
      </c>
      <c r="U255" s="72">
        <v>20</v>
      </c>
      <c r="V255" s="484">
        <v>43900</v>
      </c>
      <c r="W255" s="484"/>
      <c r="X255" s="484"/>
      <c r="Y255" s="175"/>
      <c r="Z255" s="495">
        <v>20</v>
      </c>
      <c r="AA255" s="484">
        <v>43980</v>
      </c>
      <c r="AB255" s="616"/>
      <c r="AC255" s="284"/>
      <c r="AD255" s="158"/>
      <c r="AE255" s="158">
        <f>P255-Q255-T255-Y255</f>
        <v>35741004</v>
      </c>
      <c r="AF255" s="158"/>
      <c r="AG255" s="94">
        <v>0</v>
      </c>
      <c r="AH255" s="94"/>
      <c r="AI255" s="94"/>
      <c r="AJ255" s="158">
        <f t="shared" si="37"/>
        <v>35741004</v>
      </c>
      <c r="AK255" s="158">
        <v>877</v>
      </c>
      <c r="AL255" s="94">
        <v>20</v>
      </c>
      <c r="AM255" s="72"/>
      <c r="AN255" s="72">
        <v>1</v>
      </c>
      <c r="AO255" s="11"/>
      <c r="AP255" s="11"/>
      <c r="AQ255" s="11"/>
      <c r="AR255" s="11"/>
      <c r="AS255" s="2">
        <v>0</v>
      </c>
      <c r="AT255" s="485" t="s">
        <v>38</v>
      </c>
      <c r="AU255" s="104" t="s">
        <v>2209</v>
      </c>
      <c r="AV255" s="158"/>
      <c r="AW255" s="11"/>
      <c r="AX255" s="11"/>
      <c r="AY255" s="11"/>
      <c r="AZ255" s="11"/>
      <c r="BA255" s="11"/>
      <c r="BB255" s="70"/>
      <c r="BC255" s="69"/>
      <c r="BD255" s="271"/>
      <c r="BE255" s="271">
        <v>2019</v>
      </c>
      <c r="BF255" s="271">
        <v>2020</v>
      </c>
    </row>
    <row r="256" spans="1:58" s="204" customFormat="1" ht="32.25" customHeight="1">
      <c r="A256" s="160" t="s">
        <v>504</v>
      </c>
      <c r="B256" s="58" t="s">
        <v>1773</v>
      </c>
      <c r="C256" s="483" t="s">
        <v>1973</v>
      </c>
      <c r="D256" s="483" t="s">
        <v>740</v>
      </c>
      <c r="E256" s="483"/>
      <c r="F256" s="483"/>
      <c r="G256" s="483"/>
      <c r="H256" s="30" t="s">
        <v>1920</v>
      </c>
      <c r="I256" s="226">
        <v>2045</v>
      </c>
      <c r="J256" s="212">
        <v>43797</v>
      </c>
      <c r="K256" s="158"/>
      <c r="L256" s="158"/>
      <c r="M256" s="158">
        <v>37</v>
      </c>
      <c r="N256" s="158">
        <v>37</v>
      </c>
      <c r="O256" s="158"/>
      <c r="P256" s="158">
        <v>3006053062</v>
      </c>
      <c r="Q256" s="158"/>
      <c r="R256" s="158"/>
      <c r="S256" s="311"/>
      <c r="T256" s="623">
        <v>1653295110</v>
      </c>
      <c r="U256" s="72">
        <v>10</v>
      </c>
      <c r="V256" s="484">
        <v>43831</v>
      </c>
      <c r="W256" s="484"/>
      <c r="X256" s="484"/>
      <c r="Y256" s="94"/>
      <c r="Z256" s="69"/>
      <c r="AA256" s="284"/>
      <c r="AB256" s="614"/>
      <c r="AC256" s="284"/>
      <c r="AD256" s="158">
        <v>10</v>
      </c>
      <c r="AE256" s="158">
        <f>P256-Q256-T256-Y256-AG256</f>
        <v>0</v>
      </c>
      <c r="AF256" s="158"/>
      <c r="AG256" s="158">
        <v>1352757952</v>
      </c>
      <c r="AH256" s="158"/>
      <c r="AI256" s="158"/>
      <c r="AJ256" s="158">
        <f>AE256+AG256</f>
        <v>1352757952</v>
      </c>
      <c r="AK256" s="158">
        <v>877</v>
      </c>
      <c r="AL256" s="94">
        <v>10</v>
      </c>
      <c r="AM256" s="597"/>
      <c r="AN256" s="72">
        <v>37</v>
      </c>
      <c r="AO256" s="11"/>
      <c r="AP256" s="11"/>
      <c r="AQ256" s="11"/>
      <c r="AR256" s="11"/>
      <c r="AS256" s="2">
        <v>0</v>
      </c>
      <c r="AT256" s="485" t="s">
        <v>38</v>
      </c>
      <c r="AU256" s="104" t="s">
        <v>1565</v>
      </c>
      <c r="AV256" s="158"/>
      <c r="AW256" s="11"/>
      <c r="AX256" s="11"/>
      <c r="AY256" s="11"/>
      <c r="AZ256" s="11"/>
      <c r="BA256" s="11"/>
      <c r="BB256" s="70"/>
      <c r="BC256" s="69"/>
      <c r="BD256" s="271"/>
      <c r="BE256" s="271">
        <v>2019</v>
      </c>
      <c r="BF256" s="430">
        <v>2020</v>
      </c>
    </row>
    <row r="257" spans="1:58 16253:16373" s="204" customFormat="1" ht="25.5" customHeight="1">
      <c r="A257" s="160" t="s">
        <v>504</v>
      </c>
      <c r="B257" s="58" t="s">
        <v>84</v>
      </c>
      <c r="C257" s="486" t="s">
        <v>1945</v>
      </c>
      <c r="D257" s="483" t="s">
        <v>1779</v>
      </c>
      <c r="E257" s="483"/>
      <c r="F257" s="483"/>
      <c r="G257" s="483"/>
      <c r="H257" s="30" t="s">
        <v>1920</v>
      </c>
      <c r="I257" s="226">
        <v>2112</v>
      </c>
      <c r="J257" s="212">
        <v>43805</v>
      </c>
      <c r="K257" s="269"/>
      <c r="L257" s="374"/>
      <c r="M257" s="158">
        <v>15</v>
      </c>
      <c r="N257" s="158">
        <v>15</v>
      </c>
      <c r="O257" s="158"/>
      <c r="P257" s="158">
        <v>1093677824</v>
      </c>
      <c r="Q257" s="269"/>
      <c r="R257" s="158"/>
      <c r="S257" s="269"/>
      <c r="T257" s="592">
        <f>593697612+5134879</f>
        <v>598832491</v>
      </c>
      <c r="U257" s="72">
        <v>10</v>
      </c>
      <c r="V257" s="484">
        <v>43831</v>
      </c>
      <c r="W257" s="484"/>
      <c r="X257" s="484"/>
      <c r="Y257" s="268"/>
      <c r="Z257" s="268"/>
      <c r="AA257" s="268"/>
      <c r="AB257" s="619"/>
      <c r="AC257" s="268"/>
      <c r="AD257" s="158">
        <v>10</v>
      </c>
      <c r="AE257" s="158">
        <f>P257-Q257-T257-Y257-AG257</f>
        <v>0</v>
      </c>
      <c r="AF257" s="158"/>
      <c r="AG257" s="158">
        <v>494845333</v>
      </c>
      <c r="AH257" s="158"/>
      <c r="AI257" s="158"/>
      <c r="AJ257" s="158">
        <f>AE257+AG257</f>
        <v>494845333</v>
      </c>
      <c r="AK257" s="158">
        <v>877</v>
      </c>
      <c r="AL257" s="94">
        <v>10</v>
      </c>
      <c r="AM257" s="72"/>
      <c r="AN257" s="72">
        <v>15</v>
      </c>
      <c r="AO257" s="471"/>
      <c r="AP257" s="471"/>
      <c r="AQ257" s="471"/>
      <c r="AR257" s="471"/>
      <c r="AS257" s="2">
        <v>0</v>
      </c>
      <c r="AT257" s="485" t="s">
        <v>38</v>
      </c>
      <c r="AU257" s="572" t="s">
        <v>2297</v>
      </c>
      <c r="AV257" s="268"/>
      <c r="AW257" s="268"/>
      <c r="AX257" s="268"/>
      <c r="AY257" s="268"/>
      <c r="AZ257" s="268"/>
      <c r="BA257" s="268"/>
      <c r="BB257" s="268"/>
      <c r="BC257" s="268"/>
      <c r="BD257" s="268"/>
      <c r="BE257" s="271">
        <v>2019</v>
      </c>
      <c r="BF257" s="271">
        <v>2020</v>
      </c>
    </row>
    <row r="258" spans="1:58 16253:16373" s="204" customFormat="1" ht="25.5" customHeight="1">
      <c r="A258" s="160" t="s">
        <v>504</v>
      </c>
      <c r="B258" s="520" t="s">
        <v>2240</v>
      </c>
      <c r="C258" s="526" t="s">
        <v>2241</v>
      </c>
      <c r="D258" s="526" t="s">
        <v>2242</v>
      </c>
      <c r="E258" s="536"/>
      <c r="F258" s="538">
        <v>4</v>
      </c>
      <c r="G258" s="538"/>
      <c r="H258" s="533" t="s">
        <v>2236</v>
      </c>
      <c r="I258" s="226">
        <v>253</v>
      </c>
      <c r="J258" s="459">
        <v>43893</v>
      </c>
      <c r="K258" s="529"/>
      <c r="L258" s="530"/>
      <c r="M258" s="61"/>
      <c r="N258" s="604">
        <v>61</v>
      </c>
      <c r="O258" s="61"/>
      <c r="P258" s="524">
        <f>(2771335365+2311351453)</f>
        <v>5082686818</v>
      </c>
      <c r="Q258" s="529"/>
      <c r="R258" s="61"/>
      <c r="S258" s="529"/>
      <c r="T258" s="586">
        <v>2771335365</v>
      </c>
      <c r="U258" s="524">
        <v>10</v>
      </c>
      <c r="V258" s="527">
        <v>43921</v>
      </c>
      <c r="W258" s="527"/>
      <c r="X258" s="527"/>
      <c r="Y258" s="531"/>
      <c r="Z258" s="521">
        <v>10</v>
      </c>
      <c r="AA258" s="268"/>
      <c r="AB258" s="268"/>
      <c r="AC258" s="268"/>
      <c r="AD258" s="158"/>
      <c r="AE258" s="158"/>
      <c r="AF258" s="61"/>
      <c r="AG258" s="61"/>
      <c r="AH258" s="61">
        <v>5082686818</v>
      </c>
      <c r="AI258" s="61"/>
      <c r="AJ258" s="61">
        <f>(AH258-Q258-T258-Y258)</f>
        <v>2311351453</v>
      </c>
      <c r="AK258" s="61">
        <v>877</v>
      </c>
      <c r="AL258" s="61">
        <v>10</v>
      </c>
      <c r="AM258" s="61"/>
      <c r="AN258" s="524">
        <v>61</v>
      </c>
      <c r="AO258" s="532"/>
      <c r="AP258" s="532"/>
      <c r="AQ258" s="532"/>
      <c r="AR258" s="532"/>
      <c r="AS258" s="2">
        <v>0</v>
      </c>
      <c r="AT258" s="485" t="s">
        <v>38</v>
      </c>
      <c r="AU258" s="462"/>
      <c r="AV258" s="531"/>
      <c r="AW258" s="531"/>
      <c r="AX258" s="531"/>
      <c r="AY258" s="531"/>
      <c r="AZ258" s="531"/>
      <c r="BA258" s="531"/>
      <c r="BB258" s="531"/>
      <c r="BC258" s="531"/>
      <c r="BD258" s="531"/>
      <c r="BE258" s="464"/>
      <c r="BF258" s="464">
        <v>2020</v>
      </c>
    </row>
    <row r="259" spans="1:58 16253:16373" s="204" customFormat="1" ht="25.5" customHeight="1">
      <c r="A259" s="160" t="s">
        <v>504</v>
      </c>
      <c r="B259" s="520" t="s">
        <v>2255</v>
      </c>
      <c r="C259" s="526" t="s">
        <v>2256</v>
      </c>
      <c r="D259" s="548" t="s">
        <v>61</v>
      </c>
      <c r="E259" s="536"/>
      <c r="F259" s="538">
        <v>4</v>
      </c>
      <c r="G259" s="538"/>
      <c r="H259" s="533" t="s">
        <v>2236</v>
      </c>
      <c r="I259" s="272" t="s">
        <v>2257</v>
      </c>
      <c r="J259" s="272" t="s">
        <v>2258</v>
      </c>
      <c r="K259" s="529"/>
      <c r="L259" s="530"/>
      <c r="M259" s="61"/>
      <c r="N259" s="604">
        <v>40</v>
      </c>
      <c r="O259" s="61"/>
      <c r="P259" s="524">
        <f>(1584114036+1324335895)</f>
        <v>2908449931</v>
      </c>
      <c r="Q259" s="529"/>
      <c r="R259" s="61"/>
      <c r="S259" s="529"/>
      <c r="T259" s="586">
        <v>1584114036</v>
      </c>
      <c r="U259" s="524">
        <v>20</v>
      </c>
      <c r="V259" s="527">
        <v>43950</v>
      </c>
      <c r="W259" s="527"/>
      <c r="X259" s="527"/>
      <c r="Y259" s="531"/>
      <c r="Z259" s="521">
        <v>20</v>
      </c>
      <c r="AA259" s="268"/>
      <c r="AB259" s="268"/>
      <c r="AC259" s="268"/>
      <c r="AD259" s="158"/>
      <c r="AE259" s="158"/>
      <c r="AF259" s="61"/>
      <c r="AG259" s="61"/>
      <c r="AH259" s="61">
        <v>2908449931</v>
      </c>
      <c r="AI259" s="61"/>
      <c r="AJ259" s="61">
        <f t="shared" ref="AJ259:AJ260" si="38">(AH259-Q259-T259-Y259)</f>
        <v>1324335895</v>
      </c>
      <c r="AK259" s="61">
        <v>877</v>
      </c>
      <c r="AL259" s="61">
        <v>20</v>
      </c>
      <c r="AM259" s="61"/>
      <c r="AN259" s="524">
        <v>40</v>
      </c>
      <c r="AO259" s="532"/>
      <c r="AP259" s="532"/>
      <c r="AQ259" s="532"/>
      <c r="AR259" s="532"/>
      <c r="AS259" s="2">
        <v>0</v>
      </c>
      <c r="AT259" s="485" t="s">
        <v>38</v>
      </c>
      <c r="AU259" s="462" t="s">
        <v>2259</v>
      </c>
      <c r="AV259" s="531"/>
      <c r="AW259" s="531"/>
      <c r="AX259" s="531"/>
      <c r="AY259" s="531"/>
      <c r="AZ259" s="531"/>
      <c r="BA259" s="531"/>
      <c r="BB259" s="531"/>
      <c r="BC259" s="531"/>
      <c r="BD259" s="531"/>
      <c r="BE259" s="464"/>
      <c r="BF259" s="464">
        <v>2020</v>
      </c>
    </row>
    <row r="260" spans="1:58 16253:16373" s="204" customFormat="1" ht="25.5" customHeight="1">
      <c r="A260" s="160" t="s">
        <v>504</v>
      </c>
      <c r="B260" s="58" t="s">
        <v>84</v>
      </c>
      <c r="C260" s="554" t="s">
        <v>2267</v>
      </c>
      <c r="D260" s="554" t="s">
        <v>1087</v>
      </c>
      <c r="E260" s="536"/>
      <c r="F260" s="538">
        <v>4</v>
      </c>
      <c r="G260" s="538"/>
      <c r="H260" s="533" t="s">
        <v>2236</v>
      </c>
      <c r="I260" s="272">
        <v>307</v>
      </c>
      <c r="J260" s="555">
        <v>43937</v>
      </c>
      <c r="K260" s="529"/>
      <c r="L260" s="530"/>
      <c r="M260" s="61"/>
      <c r="N260" s="604">
        <v>33</v>
      </c>
      <c r="O260" s="61"/>
      <c r="P260" s="524">
        <f>(1248498382+1055376424)</f>
        <v>2303874806</v>
      </c>
      <c r="Q260" s="529"/>
      <c r="R260" s="61"/>
      <c r="S260" s="529"/>
      <c r="T260" s="586">
        <v>1248498382</v>
      </c>
      <c r="U260" s="524">
        <v>20</v>
      </c>
      <c r="V260" s="527">
        <v>43951</v>
      </c>
      <c r="W260" s="527"/>
      <c r="X260" s="527"/>
      <c r="Y260" s="531"/>
      <c r="Z260" s="521">
        <v>20</v>
      </c>
      <c r="AA260" s="268"/>
      <c r="AB260" s="268"/>
      <c r="AC260" s="268"/>
      <c r="AD260" s="158">
        <v>20</v>
      </c>
      <c r="AE260" s="158"/>
      <c r="AF260" s="61"/>
      <c r="AG260" s="61"/>
      <c r="AH260" s="61">
        <v>2303874806</v>
      </c>
      <c r="AI260" s="61"/>
      <c r="AJ260" s="61">
        <f t="shared" si="38"/>
        <v>1055376424</v>
      </c>
      <c r="AK260" s="61">
        <v>877</v>
      </c>
      <c r="AL260" s="61">
        <v>20</v>
      </c>
      <c r="AM260" s="61"/>
      <c r="AN260" s="524">
        <v>33</v>
      </c>
      <c r="AO260" s="532"/>
      <c r="AP260" s="532"/>
      <c r="AQ260" s="532"/>
      <c r="AR260" s="532"/>
      <c r="AS260" s="2">
        <v>0</v>
      </c>
      <c r="AT260" s="485" t="s">
        <v>38</v>
      </c>
      <c r="AU260" s="462"/>
      <c r="AV260" s="531"/>
      <c r="AW260" s="531"/>
      <c r="AX260" s="531"/>
      <c r="AY260" s="531"/>
      <c r="AZ260" s="531"/>
      <c r="BA260" s="531"/>
      <c r="BB260" s="531"/>
      <c r="BC260" s="531"/>
      <c r="BD260" s="531"/>
      <c r="BE260" s="464"/>
      <c r="BF260" s="464">
        <v>2020</v>
      </c>
    </row>
    <row r="261" spans="1:58 16253:16373" s="204" customFormat="1" ht="25.5" customHeight="1">
      <c r="A261" s="160" t="s">
        <v>504</v>
      </c>
      <c r="B261" s="520" t="s">
        <v>85</v>
      </c>
      <c r="C261" s="526" t="s">
        <v>2273</v>
      </c>
      <c r="D261" s="560" t="s">
        <v>2266</v>
      </c>
      <c r="E261" s="536"/>
      <c r="F261" s="538">
        <v>4</v>
      </c>
      <c r="G261" s="538"/>
      <c r="H261" s="533" t="s">
        <v>2236</v>
      </c>
      <c r="I261" s="561" t="s">
        <v>2274</v>
      </c>
      <c r="J261" s="272" t="s">
        <v>2258</v>
      </c>
      <c r="K261" s="529"/>
      <c r="L261" s="530"/>
      <c r="M261" s="61"/>
      <c r="N261" s="604">
        <v>38</v>
      </c>
      <c r="O261" s="61"/>
      <c r="P261" s="524">
        <f>(1489598311+1255810074)</f>
        <v>2745408385</v>
      </c>
      <c r="Q261" s="529"/>
      <c r="R261" s="61"/>
      <c r="S261" s="529"/>
      <c r="T261" s="586">
        <v>1489598311</v>
      </c>
      <c r="U261" s="524">
        <v>20</v>
      </c>
      <c r="V261" s="527">
        <v>43951</v>
      </c>
      <c r="W261" s="527"/>
      <c r="X261" s="527"/>
      <c r="Y261" s="531"/>
      <c r="Z261" s="521">
        <v>20</v>
      </c>
      <c r="AA261" s="268"/>
      <c r="AB261" s="268"/>
      <c r="AC261" s="268"/>
      <c r="AD261" s="158">
        <v>20</v>
      </c>
      <c r="AE261" s="158"/>
      <c r="AF261" s="61"/>
      <c r="AG261" s="61"/>
      <c r="AH261" s="61">
        <v>2745408385</v>
      </c>
      <c r="AI261" s="61"/>
      <c r="AJ261" s="61">
        <v>1489598311</v>
      </c>
      <c r="AK261" s="61">
        <v>877</v>
      </c>
      <c r="AL261" s="61">
        <v>20</v>
      </c>
      <c r="AM261" s="61"/>
      <c r="AN261" s="524">
        <v>38</v>
      </c>
      <c r="AO261" s="532"/>
      <c r="AP261" s="532"/>
      <c r="AQ261" s="532"/>
      <c r="AR261" s="532"/>
      <c r="AS261" s="2">
        <v>0</v>
      </c>
      <c r="AT261" s="485" t="s">
        <v>38</v>
      </c>
      <c r="AU261" s="462" t="s">
        <v>2259</v>
      </c>
      <c r="AV261" s="531"/>
      <c r="AW261" s="531"/>
      <c r="AX261" s="531"/>
      <c r="AY261" s="531"/>
      <c r="AZ261" s="531"/>
      <c r="BA261" s="531"/>
      <c r="BB261" s="531"/>
      <c r="BC261" s="531"/>
      <c r="BD261" s="531"/>
      <c r="BE261" s="464"/>
      <c r="BF261" s="464">
        <v>2020</v>
      </c>
    </row>
    <row r="262" spans="1:58 16253:16373" s="204" customFormat="1" ht="25.5" customHeight="1">
      <c r="A262" s="160" t="s">
        <v>504</v>
      </c>
      <c r="B262" s="58" t="s">
        <v>84</v>
      </c>
      <c r="C262" s="526" t="s">
        <v>2277</v>
      </c>
      <c r="D262" s="526" t="s">
        <v>2278</v>
      </c>
      <c r="E262" s="536"/>
      <c r="F262" s="538">
        <v>4</v>
      </c>
      <c r="G262" s="538"/>
      <c r="H262" s="533" t="s">
        <v>2236</v>
      </c>
      <c r="I262" s="561">
        <v>334</v>
      </c>
      <c r="J262" s="555">
        <v>43915</v>
      </c>
      <c r="K262" s="529"/>
      <c r="L262" s="530"/>
      <c r="M262" s="61"/>
      <c r="N262" s="604">
        <v>40</v>
      </c>
      <c r="O262" s="61"/>
      <c r="P262" s="524">
        <f>(360000000+2898442288)</f>
        <v>3258442288</v>
      </c>
      <c r="Q262" s="72">
        <v>360000000</v>
      </c>
      <c r="R262" s="72">
        <v>10</v>
      </c>
      <c r="S262" s="484">
        <v>43951</v>
      </c>
      <c r="T262" s="61"/>
      <c r="U262" s="521">
        <v>10</v>
      </c>
      <c r="V262" s="460"/>
      <c r="W262" s="460"/>
      <c r="X262" s="460"/>
      <c r="Y262" s="531"/>
      <c r="Z262" s="521">
        <v>10</v>
      </c>
      <c r="AA262" s="268"/>
      <c r="AB262" s="268"/>
      <c r="AC262" s="268"/>
      <c r="AD262" s="158">
        <v>10</v>
      </c>
      <c r="AE262" s="158"/>
      <c r="AF262" s="61"/>
      <c r="AG262" s="61"/>
      <c r="AH262" s="61">
        <v>3258442288</v>
      </c>
      <c r="AI262" s="61"/>
      <c r="AJ262" s="61">
        <f>(AH262-Q262-T262-Y262)</f>
        <v>2898442288</v>
      </c>
      <c r="AK262" s="61">
        <v>877</v>
      </c>
      <c r="AL262" s="61">
        <v>10</v>
      </c>
      <c r="AM262" s="61"/>
      <c r="AN262" s="524">
        <v>40</v>
      </c>
      <c r="AO262" s="532"/>
      <c r="AP262" s="532"/>
      <c r="AQ262" s="532"/>
      <c r="AR262" s="532"/>
      <c r="AS262" s="2">
        <v>0</v>
      </c>
      <c r="AT262" s="485" t="s">
        <v>38</v>
      </c>
      <c r="AU262" s="462"/>
      <c r="AV262" s="531"/>
      <c r="AW262" s="531"/>
      <c r="AX262" s="531"/>
      <c r="AY262" s="531"/>
      <c r="AZ262" s="531"/>
      <c r="BA262" s="531"/>
      <c r="BB262" s="531"/>
      <c r="BC262" s="531"/>
      <c r="BD262" s="531"/>
      <c r="BE262" s="464"/>
      <c r="BF262" s="464">
        <v>2020</v>
      </c>
    </row>
    <row r="263" spans="1:58 16253:16373" s="204" customFormat="1" ht="25.5" customHeight="1">
      <c r="A263" s="160" t="s">
        <v>504</v>
      </c>
      <c r="B263" s="58" t="s">
        <v>84</v>
      </c>
      <c r="C263" s="526" t="s">
        <v>2284</v>
      </c>
      <c r="D263" s="548" t="s">
        <v>1584</v>
      </c>
      <c r="E263" s="536"/>
      <c r="F263" s="538">
        <v>4</v>
      </c>
      <c r="G263" s="538"/>
      <c r="H263" s="533" t="s">
        <v>2236</v>
      </c>
      <c r="I263" s="561" t="s">
        <v>2285</v>
      </c>
      <c r="J263" s="272" t="s">
        <v>2286</v>
      </c>
      <c r="K263" s="529"/>
      <c r="L263" s="530"/>
      <c r="M263" s="61"/>
      <c r="N263" s="604">
        <v>41</v>
      </c>
      <c r="O263" s="61"/>
      <c r="P263" s="524">
        <f>(1804207153+1497851116)</f>
        <v>3302058269</v>
      </c>
      <c r="Q263" s="61"/>
      <c r="R263" s="61"/>
      <c r="S263" s="460"/>
      <c r="T263" s="586">
        <v>1804207153</v>
      </c>
      <c r="U263" s="524">
        <v>20</v>
      </c>
      <c r="V263" s="527">
        <v>43951</v>
      </c>
      <c r="W263" s="527"/>
      <c r="X263" s="527"/>
      <c r="Y263" s="531"/>
      <c r="Z263" s="521">
        <v>20</v>
      </c>
      <c r="AA263" s="268"/>
      <c r="AB263" s="268"/>
      <c r="AC263" s="268"/>
      <c r="AD263" s="158"/>
      <c r="AE263" s="158"/>
      <c r="AF263" s="61"/>
      <c r="AG263" s="61"/>
      <c r="AH263" s="61">
        <v>3302058269</v>
      </c>
      <c r="AI263" s="61"/>
      <c r="AJ263" s="61">
        <f>(AH263-Q263-T263-Y263)</f>
        <v>1497851116</v>
      </c>
      <c r="AK263" s="61">
        <v>877</v>
      </c>
      <c r="AL263" s="61">
        <v>20</v>
      </c>
      <c r="AM263" s="61"/>
      <c r="AN263" s="524">
        <v>41</v>
      </c>
      <c r="AO263" s="532"/>
      <c r="AP263" s="532"/>
      <c r="AQ263" s="532"/>
      <c r="AR263" s="532"/>
      <c r="AS263" s="2">
        <v>0</v>
      </c>
      <c r="AT263" s="485" t="s">
        <v>38</v>
      </c>
      <c r="AU263" s="462" t="s">
        <v>2259</v>
      </c>
      <c r="AV263" s="531"/>
      <c r="AW263" s="531"/>
      <c r="AX263" s="531"/>
      <c r="AY263" s="531"/>
      <c r="AZ263" s="531"/>
      <c r="BA263" s="531"/>
      <c r="BB263" s="531"/>
      <c r="BC263" s="531"/>
      <c r="BD263" s="531"/>
      <c r="BE263" s="464"/>
      <c r="BF263" s="464">
        <v>2020</v>
      </c>
    </row>
    <row r="264" spans="1:58 16253:16373" s="204" customFormat="1" ht="25.5" customHeight="1">
      <c r="A264" s="160" t="s">
        <v>504</v>
      </c>
      <c r="B264" s="58" t="s">
        <v>84</v>
      </c>
      <c r="C264" s="526" t="s">
        <v>2298</v>
      </c>
      <c r="D264" s="526" t="s">
        <v>40</v>
      </c>
      <c r="E264" s="536"/>
      <c r="F264" s="538">
        <v>4</v>
      </c>
      <c r="G264" s="538"/>
      <c r="H264" s="533" t="s">
        <v>2236</v>
      </c>
      <c r="I264" s="561">
        <v>257</v>
      </c>
      <c r="J264" s="555">
        <v>43894</v>
      </c>
      <c r="K264" s="529"/>
      <c r="L264" s="530"/>
      <c r="M264" s="61"/>
      <c r="N264" s="604">
        <v>7</v>
      </c>
      <c r="O264" s="61"/>
      <c r="P264" s="524">
        <f>(258914314+215968996)</f>
        <v>474883310</v>
      </c>
      <c r="Q264" s="61"/>
      <c r="R264" s="61"/>
      <c r="S264" s="460"/>
      <c r="T264" s="586">
        <v>258914314</v>
      </c>
      <c r="U264" s="524">
        <v>10</v>
      </c>
      <c r="V264" s="527">
        <v>43921</v>
      </c>
      <c r="W264" s="527"/>
      <c r="X264" s="527"/>
      <c r="Y264" s="531"/>
      <c r="Z264" s="521">
        <v>10</v>
      </c>
      <c r="AA264" s="268"/>
      <c r="AB264" s="268"/>
      <c r="AC264" s="268"/>
      <c r="AD264" s="158"/>
      <c r="AE264" s="158"/>
      <c r="AF264" s="61"/>
      <c r="AG264" s="61"/>
      <c r="AH264" s="61">
        <v>474883310</v>
      </c>
      <c r="AI264" s="61">
        <v>10</v>
      </c>
      <c r="AJ264" s="61">
        <f>(AH264-Q264-T264-Y264)</f>
        <v>215968996</v>
      </c>
      <c r="AK264" s="61">
        <v>877</v>
      </c>
      <c r="AL264" s="61">
        <v>10</v>
      </c>
      <c r="AM264" s="61"/>
      <c r="AN264" s="524">
        <v>7</v>
      </c>
      <c r="AO264" s="532"/>
      <c r="AP264" s="532"/>
      <c r="AQ264" s="532"/>
      <c r="AR264" s="532"/>
      <c r="AS264" s="2">
        <v>0</v>
      </c>
      <c r="AT264" s="485" t="s">
        <v>38</v>
      </c>
      <c r="AU264" s="462"/>
      <c r="AV264" s="531"/>
      <c r="AW264" s="531"/>
      <c r="AX264" s="531"/>
      <c r="AY264" s="531"/>
      <c r="AZ264" s="531"/>
      <c r="BA264" s="531"/>
      <c r="BB264" s="531"/>
      <c r="BC264" s="531"/>
      <c r="BD264" s="531"/>
      <c r="BE264" s="464"/>
      <c r="BF264" s="464">
        <v>2020</v>
      </c>
    </row>
    <row r="265" spans="1:58 16253:16373" ht="15" customHeight="1">
      <c r="A265" s="371" t="s">
        <v>505</v>
      </c>
      <c r="B265" s="371"/>
      <c r="C265" s="371"/>
      <c r="D265" s="371"/>
      <c r="E265" s="371"/>
      <c r="F265" s="371"/>
      <c r="G265" s="371"/>
      <c r="H265" s="371"/>
      <c r="I265" s="371"/>
      <c r="J265" s="371"/>
      <c r="K265" s="371">
        <f>SUM(K266:K303)</f>
        <v>131</v>
      </c>
      <c r="L265" s="370">
        <f t="shared" ref="L265:O265" si="39">SUM(L266:L303)</f>
        <v>213</v>
      </c>
      <c r="M265" s="370">
        <f t="shared" si="39"/>
        <v>239</v>
      </c>
      <c r="N265" s="424">
        <f>SUM(N266:N304)</f>
        <v>341</v>
      </c>
      <c r="O265" s="370">
        <f t="shared" si="39"/>
        <v>47</v>
      </c>
      <c r="P265" s="371"/>
      <c r="Q265" s="371"/>
      <c r="R265" s="371"/>
      <c r="S265" s="371"/>
      <c r="T265" s="586"/>
      <c r="U265" s="371"/>
      <c r="V265" s="371"/>
      <c r="W265" s="371"/>
      <c r="X265" s="371"/>
      <c r="Y265" s="371"/>
      <c r="Z265" s="371"/>
      <c r="AA265" s="371"/>
      <c r="AB265" s="371"/>
      <c r="AC265" s="371"/>
      <c r="AD265" s="371"/>
      <c r="AE265" s="371"/>
      <c r="AF265" s="371"/>
      <c r="AG265" s="371"/>
      <c r="AH265" s="371"/>
      <c r="AI265" s="371"/>
      <c r="AJ265" s="371"/>
      <c r="AK265" s="371"/>
      <c r="AL265" s="371"/>
      <c r="AM265" s="424">
        <f t="shared" ref="AM265:AR265" si="40">SUM(AM266:AM304)</f>
        <v>4</v>
      </c>
      <c r="AN265" s="424">
        <f t="shared" si="40"/>
        <v>341</v>
      </c>
      <c r="AO265" s="424">
        <f t="shared" si="40"/>
        <v>0</v>
      </c>
      <c r="AP265" s="424">
        <f t="shared" si="40"/>
        <v>43</v>
      </c>
      <c r="AQ265" s="424">
        <f t="shared" si="40"/>
        <v>0</v>
      </c>
      <c r="AR265" s="424">
        <f t="shared" si="40"/>
        <v>0</v>
      </c>
      <c r="AS265" s="371"/>
      <c r="AT265" s="371"/>
      <c r="AU265" s="385"/>
      <c r="AV265" s="370">
        <f>SUM(AV266:AV303)</f>
        <v>367</v>
      </c>
      <c r="AW265" s="370">
        <f t="shared" ref="AW265:BC265" si="41">SUM(AW266:AW303)</f>
        <v>335</v>
      </c>
      <c r="AX265" s="370">
        <f t="shared" si="41"/>
        <v>122</v>
      </c>
      <c r="AY265" s="370">
        <f t="shared" si="41"/>
        <v>101</v>
      </c>
      <c r="AZ265" s="370"/>
      <c r="BA265" s="370">
        <f t="shared" si="41"/>
        <v>108</v>
      </c>
      <c r="BB265" s="370">
        <f t="shared" si="41"/>
        <v>115</v>
      </c>
      <c r="BC265" s="371">
        <f t="shared" si="41"/>
        <v>24</v>
      </c>
      <c r="BD265" s="371"/>
      <c r="BE265" s="371">
        <v>2019</v>
      </c>
      <c r="BF265" s="371">
        <v>2020</v>
      </c>
      <c r="XAC265" s="371"/>
      <c r="XAD265" s="371"/>
      <c r="XAE265" s="371"/>
      <c r="XAF265" s="371"/>
      <c r="XAG265" s="371"/>
      <c r="XAH265" s="370"/>
      <c r="XAI265" s="370"/>
      <c r="XAJ265" s="370"/>
      <c r="XAK265" s="370"/>
      <c r="XAL265" s="370"/>
      <c r="XAM265" s="370"/>
      <c r="XAN265" s="370"/>
      <c r="XAO265" s="370"/>
      <c r="XAP265" s="370"/>
      <c r="XAQ265" s="370"/>
      <c r="XBF265" s="371"/>
      <c r="XBG265" s="371"/>
      <c r="XBH265" s="371"/>
      <c r="XBI265" s="371"/>
      <c r="XBJ265" s="371"/>
      <c r="XBK265" s="370"/>
      <c r="XBL265" s="370"/>
      <c r="XCI265" s="371"/>
      <c r="XCJ265" s="371"/>
      <c r="XCK265" s="371"/>
      <c r="XCL265" s="371"/>
      <c r="XCM265" s="371"/>
      <c r="XDL265" s="371"/>
      <c r="XDM265" s="371"/>
      <c r="XDN265" s="371"/>
      <c r="XDO265" s="371"/>
      <c r="XDP265" s="371"/>
      <c r="XEO265" s="371"/>
      <c r="XEP265" s="371"/>
      <c r="XEQ265" s="371"/>
      <c r="XER265" s="371"/>
      <c r="XES265" s="371"/>
    </row>
    <row r="266" spans="1:58 16253:16373" s="204" customFormat="1" ht="15" hidden="1" customHeight="1">
      <c r="A266" s="160" t="s">
        <v>505</v>
      </c>
      <c r="B266" s="58" t="s">
        <v>120</v>
      </c>
      <c r="C266" s="148" t="s">
        <v>121</v>
      </c>
      <c r="D266" s="58" t="s">
        <v>122</v>
      </c>
      <c r="E266" s="58"/>
      <c r="F266" s="58"/>
      <c r="G266" s="58"/>
      <c r="H266" s="30"/>
      <c r="I266" s="58"/>
      <c r="J266" s="212"/>
      <c r="K266" s="158"/>
      <c r="L266" s="158"/>
      <c r="M266" s="158"/>
      <c r="N266" s="158"/>
      <c r="O266" s="158"/>
      <c r="P266" s="158"/>
      <c r="Q266" s="158"/>
      <c r="R266" s="158"/>
      <c r="S266" s="158"/>
      <c r="T266" s="586"/>
      <c r="U266" s="158"/>
      <c r="V266" s="158"/>
      <c r="W266" s="158"/>
      <c r="X266" s="158"/>
      <c r="Y266" s="94"/>
      <c r="Z266" s="158"/>
      <c r="AA266" s="158"/>
      <c r="AB266" s="158"/>
      <c r="AC266" s="158"/>
      <c r="AD266" s="158"/>
      <c r="AE266" s="158"/>
      <c r="AF266" s="158"/>
      <c r="AG266" s="158"/>
      <c r="AH266" s="158"/>
      <c r="AI266" s="158"/>
      <c r="AJ266" s="158"/>
      <c r="AK266" s="158"/>
      <c r="AL266" s="94"/>
      <c r="AM266" s="158"/>
      <c r="AN266" s="158"/>
      <c r="AO266" s="158"/>
      <c r="AP266" s="158"/>
      <c r="AQ266" s="158"/>
      <c r="AR266" s="158"/>
      <c r="AS266" s="2"/>
      <c r="AT266" s="58"/>
      <c r="AU266" s="102"/>
      <c r="AV266" s="158">
        <v>22</v>
      </c>
      <c r="AW266" s="158"/>
      <c r="AX266" s="158"/>
      <c r="AY266" s="158"/>
      <c r="AZ266" s="158"/>
      <c r="BA266" s="158"/>
      <c r="BB266" s="69"/>
      <c r="BC266" s="69"/>
      <c r="BD266" s="271">
        <v>2016</v>
      </c>
      <c r="BE266" s="271"/>
      <c r="BF266" s="271"/>
    </row>
    <row r="267" spans="1:58 16253:16373" s="204" customFormat="1" ht="15" hidden="1" customHeight="1">
      <c r="A267" s="160" t="s">
        <v>505</v>
      </c>
      <c r="B267" s="58" t="s">
        <v>1146</v>
      </c>
      <c r="C267" s="148" t="s">
        <v>834</v>
      </c>
      <c r="D267" s="1" t="s">
        <v>13</v>
      </c>
      <c r="E267" s="1"/>
      <c r="F267" s="1"/>
      <c r="G267" s="1"/>
      <c r="H267" s="30"/>
      <c r="I267" s="58"/>
      <c r="J267" s="212"/>
      <c r="K267" s="158"/>
      <c r="L267" s="158"/>
      <c r="M267" s="158"/>
      <c r="N267" s="158"/>
      <c r="O267" s="158"/>
      <c r="P267" s="158"/>
      <c r="Q267" s="158"/>
      <c r="R267" s="158"/>
      <c r="S267" s="158"/>
      <c r="T267" s="586"/>
      <c r="U267" s="158"/>
      <c r="V267" s="158"/>
      <c r="W267" s="158"/>
      <c r="X267" s="158"/>
      <c r="Y267" s="94"/>
      <c r="Z267" s="158"/>
      <c r="AA267" s="158"/>
      <c r="AB267" s="158"/>
      <c r="AC267" s="158"/>
      <c r="AD267" s="158"/>
      <c r="AE267" s="158"/>
      <c r="AF267" s="158"/>
      <c r="AG267" s="158"/>
      <c r="AH267" s="158"/>
      <c r="AI267" s="158"/>
      <c r="AJ267" s="158"/>
      <c r="AK267" s="158"/>
      <c r="AL267" s="94"/>
      <c r="AM267" s="158"/>
      <c r="AN267" s="158"/>
      <c r="AO267" s="158"/>
      <c r="AP267" s="158"/>
      <c r="AQ267" s="158"/>
      <c r="AR267" s="158"/>
      <c r="AS267" s="2"/>
      <c r="AT267" s="58"/>
      <c r="AU267" s="106"/>
      <c r="AV267" s="158">
        <v>20</v>
      </c>
      <c r="AW267" s="158"/>
      <c r="AX267" s="158"/>
      <c r="AY267" s="158"/>
      <c r="AZ267" s="158"/>
      <c r="BA267" s="158"/>
      <c r="BB267" s="69"/>
      <c r="BC267" s="69"/>
      <c r="BD267" s="271">
        <v>2016</v>
      </c>
      <c r="BE267" s="271"/>
      <c r="BF267" s="271"/>
    </row>
    <row r="268" spans="1:58 16253:16373" s="204" customFormat="1" ht="15" hidden="1" customHeight="1">
      <c r="A268" s="160" t="s">
        <v>505</v>
      </c>
      <c r="B268" s="58" t="s">
        <v>1146</v>
      </c>
      <c r="C268" s="148" t="s">
        <v>834</v>
      </c>
      <c r="D268" s="1" t="s">
        <v>13</v>
      </c>
      <c r="E268" s="1"/>
      <c r="F268" s="1"/>
      <c r="G268" s="1"/>
      <c r="H268" s="30" t="s">
        <v>648</v>
      </c>
      <c r="I268" s="30"/>
      <c r="J268" s="212"/>
      <c r="K268" s="158"/>
      <c r="L268" s="158"/>
      <c r="M268" s="158"/>
      <c r="N268" s="158"/>
      <c r="O268" s="158"/>
      <c r="P268" s="158"/>
      <c r="Q268" s="158"/>
      <c r="R268" s="158"/>
      <c r="S268" s="158"/>
      <c r="T268" s="586"/>
      <c r="U268" s="158"/>
      <c r="V268" s="158"/>
      <c r="W268" s="158"/>
      <c r="X268" s="158"/>
      <c r="Y268" s="94"/>
      <c r="Z268" s="158"/>
      <c r="AA268" s="158"/>
      <c r="AB268" s="158"/>
      <c r="AC268" s="158"/>
      <c r="AD268" s="158"/>
      <c r="AE268" s="158"/>
      <c r="AF268" s="158"/>
      <c r="AG268" s="158"/>
      <c r="AH268" s="158"/>
      <c r="AI268" s="158"/>
      <c r="AJ268" s="158"/>
      <c r="AK268" s="158"/>
      <c r="AL268" s="94"/>
      <c r="AM268" s="158"/>
      <c r="AN268" s="158"/>
      <c r="AO268" s="11"/>
      <c r="AP268" s="11"/>
      <c r="AQ268" s="11"/>
      <c r="AR268" s="11"/>
      <c r="AS268" s="2">
        <v>1</v>
      </c>
      <c r="AT268" s="58" t="s">
        <v>646</v>
      </c>
      <c r="AU268" s="106"/>
      <c r="AV268" s="158"/>
      <c r="AW268" s="11">
        <v>1</v>
      </c>
      <c r="AX268" s="11"/>
      <c r="AY268" s="11"/>
      <c r="AZ268" s="11"/>
      <c r="BA268" s="11"/>
      <c r="BB268" s="70"/>
      <c r="BC268" s="69"/>
      <c r="BD268" s="271">
        <v>2017</v>
      </c>
      <c r="BE268" s="271"/>
      <c r="BF268" s="271"/>
    </row>
    <row r="269" spans="1:58 16253:16373" s="204" customFormat="1" ht="15" hidden="1" customHeight="1">
      <c r="A269" s="160" t="s">
        <v>505</v>
      </c>
      <c r="B269" s="58" t="s">
        <v>1146</v>
      </c>
      <c r="C269" s="148" t="s">
        <v>124</v>
      </c>
      <c r="D269" s="1" t="s">
        <v>13</v>
      </c>
      <c r="E269" s="1"/>
      <c r="F269" s="1"/>
      <c r="G269" s="1"/>
      <c r="H269" s="30"/>
      <c r="I269" s="58"/>
      <c r="J269" s="212"/>
      <c r="K269" s="158"/>
      <c r="L269" s="158"/>
      <c r="M269" s="158"/>
      <c r="N269" s="158"/>
      <c r="O269" s="158"/>
      <c r="P269" s="158">
        <f>6571872242-67059921</f>
        <v>6504812321</v>
      </c>
      <c r="Q269" s="158"/>
      <c r="R269" s="158"/>
      <c r="S269" s="158"/>
      <c r="T269" s="586">
        <v>2712459718</v>
      </c>
      <c r="U269" s="158"/>
      <c r="V269" s="158"/>
      <c r="W269" s="158"/>
      <c r="X269" s="158"/>
      <c r="Y269" s="158">
        <v>3792352603</v>
      </c>
      <c r="Z269" s="158"/>
      <c r="AA269" s="158"/>
      <c r="AB269" s="158"/>
      <c r="AC269" s="158"/>
      <c r="AD269" s="158"/>
      <c r="AE269" s="158"/>
      <c r="AF269" s="158"/>
      <c r="AG269" s="158"/>
      <c r="AH269" s="158"/>
      <c r="AI269" s="158"/>
      <c r="AJ269" s="158"/>
      <c r="AK269" s="158"/>
      <c r="AL269" s="94"/>
      <c r="AM269" s="158"/>
      <c r="AN269" s="158"/>
      <c r="AO269" s="158"/>
      <c r="AP269" s="158"/>
      <c r="AQ269" s="158"/>
      <c r="AR269" s="158"/>
      <c r="AS269" s="2"/>
      <c r="AT269" s="58"/>
      <c r="AU269" s="106"/>
      <c r="AV269" s="158">
        <v>97</v>
      </c>
      <c r="AW269" s="158"/>
      <c r="AX269" s="158"/>
      <c r="AY269" s="158"/>
      <c r="AZ269" s="158"/>
      <c r="BA269" s="158"/>
      <c r="BB269" s="69"/>
      <c r="BC269" s="69"/>
      <c r="BD269" s="271">
        <v>2016</v>
      </c>
      <c r="BE269" s="271"/>
      <c r="BF269" s="271"/>
    </row>
    <row r="270" spans="1:58 16253:16373" s="204" customFormat="1" ht="18" customHeight="1">
      <c r="A270" s="160" t="s">
        <v>505</v>
      </c>
      <c r="B270" s="58" t="s">
        <v>1146</v>
      </c>
      <c r="C270" s="148" t="s">
        <v>124</v>
      </c>
      <c r="D270" s="1" t="s">
        <v>13</v>
      </c>
      <c r="E270" s="1"/>
      <c r="F270" s="1"/>
      <c r="G270" s="1"/>
      <c r="H270" s="30" t="s">
        <v>674</v>
      </c>
      <c r="I270" s="30">
        <v>1445</v>
      </c>
      <c r="J270" s="212">
        <v>42209</v>
      </c>
      <c r="K270" s="158"/>
      <c r="L270" s="158"/>
      <c r="M270" s="158">
        <v>1</v>
      </c>
      <c r="N270" s="158"/>
      <c r="O270" s="158">
        <v>1</v>
      </c>
      <c r="P270" s="158">
        <v>67059921</v>
      </c>
      <c r="Q270" s="158"/>
      <c r="R270" s="158"/>
      <c r="S270" s="158"/>
      <c r="T270" s="586"/>
      <c r="U270" s="158"/>
      <c r="V270" s="158"/>
      <c r="W270" s="158"/>
      <c r="X270" s="158"/>
      <c r="Y270" s="94"/>
      <c r="Z270" s="158"/>
      <c r="AA270" s="158"/>
      <c r="AB270" s="158"/>
      <c r="AC270" s="158"/>
      <c r="AD270" s="158"/>
      <c r="AE270" s="158">
        <f>P270-T270-Y270</f>
        <v>67059921</v>
      </c>
      <c r="AF270" s="158"/>
      <c r="AG270" s="94">
        <v>0</v>
      </c>
      <c r="AH270" s="94"/>
      <c r="AI270" s="94"/>
      <c r="AJ270" s="158">
        <f t="shared" ref="AJ270" si="42">AE270+AG270</f>
        <v>67059921</v>
      </c>
      <c r="AK270" s="158"/>
      <c r="AL270" s="94"/>
      <c r="AM270" s="158">
        <v>1</v>
      </c>
      <c r="AN270" s="158"/>
      <c r="AO270" s="11"/>
      <c r="AP270" s="11"/>
      <c r="AQ270" s="11"/>
      <c r="AR270" s="11"/>
      <c r="AS270" s="2">
        <v>0</v>
      </c>
      <c r="AT270" s="58" t="s">
        <v>521</v>
      </c>
      <c r="AU270" s="104" t="s">
        <v>1074</v>
      </c>
      <c r="AV270" s="158" t="s">
        <v>0</v>
      </c>
      <c r="AW270" s="11"/>
      <c r="AX270" s="11"/>
      <c r="AY270" s="11"/>
      <c r="AZ270" s="11"/>
      <c r="BA270" s="11"/>
      <c r="BB270" s="70"/>
      <c r="BC270" s="69"/>
      <c r="BD270" s="271"/>
      <c r="BE270" s="271">
        <v>2019</v>
      </c>
      <c r="BF270" s="271">
        <v>2020</v>
      </c>
    </row>
    <row r="271" spans="1:58 16253:16373" s="204" customFormat="1" ht="15" hidden="1" customHeight="1">
      <c r="A271" s="160" t="s">
        <v>505</v>
      </c>
      <c r="B271" s="58" t="s">
        <v>126</v>
      </c>
      <c r="C271" s="148" t="s">
        <v>125</v>
      </c>
      <c r="D271" s="1" t="s">
        <v>43</v>
      </c>
      <c r="E271" s="1"/>
      <c r="F271" s="1"/>
      <c r="G271" s="1"/>
      <c r="H271" s="30"/>
      <c r="I271" s="58"/>
      <c r="J271" s="212"/>
      <c r="K271" s="158"/>
      <c r="L271" s="158"/>
      <c r="M271" s="158"/>
      <c r="N271" s="158"/>
      <c r="O271" s="158"/>
      <c r="P271" s="158"/>
      <c r="Q271" s="158"/>
      <c r="R271" s="158"/>
      <c r="S271" s="158"/>
      <c r="T271" s="586"/>
      <c r="U271" s="158"/>
      <c r="V271" s="158"/>
      <c r="W271" s="158"/>
      <c r="X271" s="158"/>
      <c r="Y271" s="94"/>
      <c r="Z271" s="158"/>
      <c r="AA271" s="158"/>
      <c r="AB271" s="158"/>
      <c r="AC271" s="158"/>
      <c r="AD271" s="158"/>
      <c r="AE271" s="158"/>
      <c r="AF271" s="158"/>
      <c r="AG271" s="158"/>
      <c r="AH271" s="158"/>
      <c r="AI271" s="158"/>
      <c r="AJ271" s="158"/>
      <c r="AK271" s="158"/>
      <c r="AL271" s="94"/>
      <c r="AM271" s="158"/>
      <c r="AN271" s="158"/>
      <c r="AO271" s="158"/>
      <c r="AP271" s="158"/>
      <c r="AQ271" s="158"/>
      <c r="AR271" s="158"/>
      <c r="AS271" s="2"/>
      <c r="AT271" s="58"/>
      <c r="AU271" s="104" t="s">
        <v>1038</v>
      </c>
      <c r="AV271" s="158">
        <v>70</v>
      </c>
      <c r="AW271" s="158"/>
      <c r="AX271" s="158"/>
      <c r="AY271" s="158"/>
      <c r="AZ271" s="158"/>
      <c r="BA271" s="158"/>
      <c r="BB271" s="69"/>
      <c r="BC271" s="69"/>
      <c r="BD271" s="271">
        <v>2016</v>
      </c>
      <c r="BE271" s="271"/>
      <c r="BF271" s="271"/>
    </row>
    <row r="272" spans="1:58 16253:16373" s="204" customFormat="1" ht="15" hidden="1" customHeight="1">
      <c r="A272" s="160" t="s">
        <v>505</v>
      </c>
      <c r="B272" s="58" t="s">
        <v>126</v>
      </c>
      <c r="C272" s="148" t="s">
        <v>125</v>
      </c>
      <c r="D272" s="1" t="s">
        <v>43</v>
      </c>
      <c r="E272" s="1"/>
      <c r="F272" s="1"/>
      <c r="G272" s="1"/>
      <c r="H272" s="30" t="s">
        <v>658</v>
      </c>
      <c r="I272" s="30"/>
      <c r="J272" s="212"/>
      <c r="K272" s="158"/>
      <c r="L272" s="158"/>
      <c r="M272" s="158"/>
      <c r="N272" s="158"/>
      <c r="O272" s="158"/>
      <c r="P272" s="158"/>
      <c r="Q272" s="158"/>
      <c r="R272" s="158"/>
      <c r="S272" s="158"/>
      <c r="T272" s="586"/>
      <c r="U272" s="158"/>
      <c r="V272" s="158"/>
      <c r="W272" s="158"/>
      <c r="X272" s="158"/>
      <c r="Y272" s="94"/>
      <c r="Z272" s="158"/>
      <c r="AA272" s="158"/>
      <c r="AB272" s="158"/>
      <c r="AC272" s="158"/>
      <c r="AD272" s="158"/>
      <c r="AE272" s="158"/>
      <c r="AF272" s="158"/>
      <c r="AG272" s="158"/>
      <c r="AH272" s="158"/>
      <c r="AI272" s="158"/>
      <c r="AJ272" s="158"/>
      <c r="AK272" s="158"/>
      <c r="AL272" s="94"/>
      <c r="AM272" s="158"/>
      <c r="AN272" s="158"/>
      <c r="AO272" s="158"/>
      <c r="AP272" s="158"/>
      <c r="AQ272" s="158"/>
      <c r="AR272" s="158"/>
      <c r="AS272" s="2">
        <v>1</v>
      </c>
      <c r="AT272" s="58" t="s">
        <v>646</v>
      </c>
      <c r="AU272" s="104"/>
      <c r="AV272" s="158"/>
      <c r="AW272" s="158">
        <v>21</v>
      </c>
      <c r="AX272" s="158"/>
      <c r="AY272" s="158"/>
      <c r="AZ272" s="158"/>
      <c r="BA272" s="158"/>
      <c r="BB272" s="69"/>
      <c r="BC272" s="69"/>
      <c r="BD272" s="271">
        <v>2017</v>
      </c>
      <c r="BE272" s="271"/>
      <c r="BF272" s="271"/>
    </row>
    <row r="273" spans="1:58" s="204" customFormat="1" ht="15" hidden="1" customHeight="1">
      <c r="A273" s="160" t="s">
        <v>505</v>
      </c>
      <c r="B273" s="58" t="s">
        <v>1146</v>
      </c>
      <c r="C273" s="148" t="s">
        <v>127</v>
      </c>
      <c r="D273" s="1" t="s">
        <v>13</v>
      </c>
      <c r="E273" s="1"/>
      <c r="F273" s="1"/>
      <c r="G273" s="1"/>
      <c r="H273" s="30"/>
      <c r="I273" s="58"/>
      <c r="J273" s="212"/>
      <c r="K273" s="158"/>
      <c r="L273" s="158"/>
      <c r="M273" s="158"/>
      <c r="N273" s="158"/>
      <c r="O273" s="158"/>
      <c r="P273" s="158"/>
      <c r="Q273" s="158"/>
      <c r="R273" s="158"/>
      <c r="S273" s="158"/>
      <c r="T273" s="586"/>
      <c r="U273" s="158"/>
      <c r="V273" s="158"/>
      <c r="W273" s="158"/>
      <c r="X273" s="158"/>
      <c r="Y273" s="94"/>
      <c r="Z273" s="158"/>
      <c r="AA273" s="158"/>
      <c r="AB273" s="158"/>
      <c r="AC273" s="158"/>
      <c r="AD273" s="158"/>
      <c r="AE273" s="158"/>
      <c r="AF273" s="158"/>
      <c r="AG273" s="158"/>
      <c r="AH273" s="158"/>
      <c r="AI273" s="158"/>
      <c r="AJ273" s="158"/>
      <c r="AK273" s="158"/>
      <c r="AL273" s="94"/>
      <c r="AM273" s="158"/>
      <c r="AN273" s="158"/>
      <c r="AO273" s="158"/>
      <c r="AP273" s="158"/>
      <c r="AQ273" s="158"/>
      <c r="AR273" s="158"/>
      <c r="AS273" s="2"/>
      <c r="AT273" s="58"/>
      <c r="AU273" s="104"/>
      <c r="AV273" s="158">
        <v>93</v>
      </c>
      <c r="AW273" s="158"/>
      <c r="AX273" s="158"/>
      <c r="AY273" s="158"/>
      <c r="AZ273" s="158"/>
      <c r="BA273" s="158"/>
      <c r="BB273" s="69"/>
      <c r="BC273" s="69"/>
      <c r="BD273" s="271">
        <v>2016</v>
      </c>
      <c r="BE273" s="271"/>
      <c r="BF273" s="271"/>
    </row>
    <row r="274" spans="1:58" s="204" customFormat="1" ht="15" hidden="1" customHeight="1">
      <c r="A274" s="160" t="s">
        <v>505</v>
      </c>
      <c r="B274" s="58" t="s">
        <v>1146</v>
      </c>
      <c r="C274" s="148" t="s">
        <v>127</v>
      </c>
      <c r="D274" s="1" t="s">
        <v>13</v>
      </c>
      <c r="E274" s="1"/>
      <c r="F274" s="1"/>
      <c r="G274" s="1"/>
      <c r="H274" s="30" t="s">
        <v>664</v>
      </c>
      <c r="I274" s="30"/>
      <c r="J274" s="212"/>
      <c r="K274" s="158"/>
      <c r="L274" s="158"/>
      <c r="M274" s="158"/>
      <c r="N274" s="158"/>
      <c r="O274" s="158"/>
      <c r="P274" s="158"/>
      <c r="Q274" s="158"/>
      <c r="R274" s="158"/>
      <c r="S274" s="158"/>
      <c r="T274" s="586"/>
      <c r="U274" s="158"/>
      <c r="V274" s="158"/>
      <c r="W274" s="158"/>
      <c r="X274" s="158"/>
      <c r="Y274" s="94"/>
      <c r="Z274" s="158"/>
      <c r="AA274" s="158"/>
      <c r="AB274" s="158"/>
      <c r="AC274" s="158"/>
      <c r="AD274" s="158"/>
      <c r="AE274" s="158"/>
      <c r="AF274" s="158"/>
      <c r="AG274" s="158"/>
      <c r="AH274" s="158"/>
      <c r="AI274" s="158"/>
      <c r="AJ274" s="158"/>
      <c r="AK274" s="158"/>
      <c r="AL274" s="94"/>
      <c r="AM274" s="158"/>
      <c r="AN274" s="158"/>
      <c r="AO274" s="11"/>
      <c r="AP274" s="11"/>
      <c r="AQ274" s="11"/>
      <c r="AR274" s="158"/>
      <c r="AS274" s="2">
        <v>0</v>
      </c>
      <c r="AT274" s="1" t="s">
        <v>687</v>
      </c>
      <c r="AU274" s="104" t="s">
        <v>1369</v>
      </c>
      <c r="AV274" s="158" t="s">
        <v>0</v>
      </c>
      <c r="AW274" s="11"/>
      <c r="AX274" s="11"/>
      <c r="AY274" s="11"/>
      <c r="AZ274" s="11"/>
      <c r="BA274" s="11"/>
      <c r="BB274" s="70"/>
      <c r="BC274" s="69">
        <v>1</v>
      </c>
      <c r="BD274" s="271" t="s">
        <v>1704</v>
      </c>
      <c r="BE274" s="271"/>
      <c r="BF274" s="271"/>
    </row>
    <row r="275" spans="1:58" s="204" customFormat="1" ht="15" hidden="1" customHeight="1">
      <c r="A275" s="160" t="s">
        <v>505</v>
      </c>
      <c r="B275" s="58" t="s">
        <v>129</v>
      </c>
      <c r="C275" s="148" t="s">
        <v>128</v>
      </c>
      <c r="D275" s="58" t="s">
        <v>16</v>
      </c>
      <c r="E275" s="58"/>
      <c r="F275" s="58"/>
      <c r="G275" s="58"/>
      <c r="H275" s="30"/>
      <c r="I275" s="58"/>
      <c r="J275" s="212"/>
      <c r="K275" s="158"/>
      <c r="L275" s="158"/>
      <c r="M275" s="158"/>
      <c r="N275" s="158"/>
      <c r="O275" s="158"/>
      <c r="P275" s="158"/>
      <c r="Q275" s="158"/>
      <c r="R275" s="158"/>
      <c r="S275" s="158"/>
      <c r="T275" s="586"/>
      <c r="U275" s="158"/>
      <c r="V275" s="158"/>
      <c r="W275" s="158"/>
      <c r="X275" s="158"/>
      <c r="Y275" s="94"/>
      <c r="Z275" s="158"/>
      <c r="AA275" s="158"/>
      <c r="AB275" s="158"/>
      <c r="AC275" s="158"/>
      <c r="AD275" s="158"/>
      <c r="AE275" s="158"/>
      <c r="AF275" s="158"/>
      <c r="AG275" s="158"/>
      <c r="AH275" s="158"/>
      <c r="AI275" s="158"/>
      <c r="AJ275" s="158"/>
      <c r="AK275" s="158"/>
      <c r="AL275" s="94"/>
      <c r="AM275" s="158"/>
      <c r="AN275" s="158"/>
      <c r="AO275" s="158"/>
      <c r="AP275" s="158"/>
      <c r="AQ275" s="158"/>
      <c r="AR275" s="158"/>
      <c r="AS275" s="2"/>
      <c r="AT275" s="58"/>
      <c r="AU275" s="104" t="s">
        <v>1011</v>
      </c>
      <c r="AV275" s="158">
        <v>39</v>
      </c>
      <c r="AW275" s="158"/>
      <c r="AX275" s="158"/>
      <c r="AY275" s="158"/>
      <c r="AZ275" s="158"/>
      <c r="BA275" s="158"/>
      <c r="BB275" s="69"/>
      <c r="BC275" s="69"/>
      <c r="BD275" s="271">
        <v>2016</v>
      </c>
      <c r="BE275" s="271"/>
      <c r="BF275" s="271"/>
    </row>
    <row r="276" spans="1:58" s="204" customFormat="1" ht="15" hidden="1" customHeight="1">
      <c r="A276" s="160" t="s">
        <v>505</v>
      </c>
      <c r="B276" s="58" t="s">
        <v>1146</v>
      </c>
      <c r="C276" s="148" t="s">
        <v>130</v>
      </c>
      <c r="D276" s="58" t="s">
        <v>67</v>
      </c>
      <c r="E276" s="58"/>
      <c r="F276" s="58"/>
      <c r="G276" s="58"/>
      <c r="H276" s="30" t="s">
        <v>651</v>
      </c>
      <c r="I276" s="30"/>
      <c r="J276" s="212"/>
      <c r="K276" s="158"/>
      <c r="L276" s="158"/>
      <c r="M276" s="158"/>
      <c r="N276" s="158"/>
      <c r="O276" s="158"/>
      <c r="P276" s="158"/>
      <c r="Q276" s="158"/>
      <c r="R276" s="158"/>
      <c r="S276" s="158"/>
      <c r="T276" s="586"/>
      <c r="U276" s="158"/>
      <c r="V276" s="158"/>
      <c r="W276" s="158"/>
      <c r="X276" s="158"/>
      <c r="Y276" s="94"/>
      <c r="Z276" s="158"/>
      <c r="AA276" s="158"/>
      <c r="AB276" s="158"/>
      <c r="AC276" s="158"/>
      <c r="AD276" s="158"/>
      <c r="AE276" s="158"/>
      <c r="AF276" s="158"/>
      <c r="AG276" s="158"/>
      <c r="AH276" s="158"/>
      <c r="AI276" s="158"/>
      <c r="AJ276" s="158"/>
      <c r="AK276" s="158"/>
      <c r="AL276" s="94"/>
      <c r="AM276" s="158"/>
      <c r="AN276" s="158"/>
      <c r="AO276" s="158"/>
      <c r="AP276" s="158"/>
      <c r="AQ276" s="158"/>
      <c r="AR276" s="158"/>
      <c r="AS276" s="2">
        <v>1</v>
      </c>
      <c r="AT276" s="58" t="s">
        <v>646</v>
      </c>
      <c r="AU276" s="104"/>
      <c r="AV276" s="158" t="s">
        <v>0</v>
      </c>
      <c r="AW276" s="158">
        <v>29</v>
      </c>
      <c r="AX276" s="158"/>
      <c r="AY276" s="158"/>
      <c r="AZ276" s="158"/>
      <c r="BA276" s="158"/>
      <c r="BB276" s="69"/>
      <c r="BC276" s="69"/>
      <c r="BD276" s="271">
        <v>2017</v>
      </c>
      <c r="BE276" s="271"/>
      <c r="BF276" s="271"/>
    </row>
    <row r="277" spans="1:58" s="204" customFormat="1" ht="15" hidden="1" customHeight="1">
      <c r="A277" s="160" t="s">
        <v>505</v>
      </c>
      <c r="B277" s="58" t="s">
        <v>132</v>
      </c>
      <c r="C277" s="148" t="s">
        <v>131</v>
      </c>
      <c r="D277" s="58" t="s">
        <v>67</v>
      </c>
      <c r="E277" s="58"/>
      <c r="F277" s="58"/>
      <c r="G277" s="58"/>
      <c r="H277" s="30" t="s">
        <v>651</v>
      </c>
      <c r="I277" s="30"/>
      <c r="J277" s="212"/>
      <c r="K277" s="158"/>
      <c r="L277" s="158"/>
      <c r="M277" s="158"/>
      <c r="N277" s="158"/>
      <c r="O277" s="158"/>
      <c r="P277" s="158"/>
      <c r="Q277" s="158"/>
      <c r="R277" s="158"/>
      <c r="S277" s="158"/>
      <c r="T277" s="586"/>
      <c r="U277" s="158"/>
      <c r="V277" s="158"/>
      <c r="W277" s="158"/>
      <c r="X277" s="158"/>
      <c r="Y277" s="94"/>
      <c r="Z277" s="158"/>
      <c r="AA277" s="158"/>
      <c r="AB277" s="158"/>
      <c r="AC277" s="158"/>
      <c r="AD277" s="158"/>
      <c r="AE277" s="158"/>
      <c r="AF277" s="158"/>
      <c r="AG277" s="158"/>
      <c r="AH277" s="158"/>
      <c r="AI277" s="158"/>
      <c r="AJ277" s="158"/>
      <c r="AK277" s="158"/>
      <c r="AL277" s="94"/>
      <c r="AM277" s="158"/>
      <c r="AN277" s="158"/>
      <c r="AO277" s="158"/>
      <c r="AP277" s="158"/>
      <c r="AQ277" s="158"/>
      <c r="AR277" s="158"/>
      <c r="AS277" s="2">
        <v>1</v>
      </c>
      <c r="AT277" s="58" t="s">
        <v>646</v>
      </c>
      <c r="AU277" s="104"/>
      <c r="AV277" s="158" t="s">
        <v>0</v>
      </c>
      <c r="AW277" s="158">
        <v>26</v>
      </c>
      <c r="AX277" s="158"/>
      <c r="AY277" s="158"/>
      <c r="AZ277" s="158"/>
      <c r="BA277" s="158"/>
      <c r="BB277" s="69"/>
      <c r="BC277" s="69"/>
      <c r="BD277" s="271">
        <v>2017</v>
      </c>
      <c r="BE277" s="271"/>
      <c r="BF277" s="271"/>
    </row>
    <row r="278" spans="1:58" s="204" customFormat="1" ht="15" hidden="1" customHeight="1">
      <c r="A278" s="160" t="s">
        <v>505</v>
      </c>
      <c r="B278" s="58" t="s">
        <v>129</v>
      </c>
      <c r="C278" s="148" t="s">
        <v>133</v>
      </c>
      <c r="D278" s="58" t="s">
        <v>16</v>
      </c>
      <c r="E278" s="58"/>
      <c r="F278" s="58"/>
      <c r="G278" s="58"/>
      <c r="H278" s="30"/>
      <c r="I278" s="58"/>
      <c r="J278" s="212"/>
      <c r="K278" s="158"/>
      <c r="L278" s="158"/>
      <c r="M278" s="158"/>
      <c r="N278" s="158"/>
      <c r="O278" s="158"/>
      <c r="P278" s="158"/>
      <c r="Q278" s="158"/>
      <c r="R278" s="158"/>
      <c r="S278" s="158"/>
      <c r="T278" s="586"/>
      <c r="U278" s="158"/>
      <c r="V278" s="158"/>
      <c r="W278" s="158"/>
      <c r="X278" s="158"/>
      <c r="Y278" s="94"/>
      <c r="Z278" s="158"/>
      <c r="AA278" s="158"/>
      <c r="AB278" s="158"/>
      <c r="AC278" s="158"/>
      <c r="AD278" s="158"/>
      <c r="AE278" s="158"/>
      <c r="AF278" s="158"/>
      <c r="AG278" s="158"/>
      <c r="AH278" s="158"/>
      <c r="AI278" s="158"/>
      <c r="AJ278" s="158"/>
      <c r="AK278" s="158"/>
      <c r="AL278" s="94"/>
      <c r="AM278" s="158"/>
      <c r="AN278" s="158"/>
      <c r="AO278" s="158"/>
      <c r="AP278" s="158"/>
      <c r="AQ278" s="158"/>
      <c r="AR278" s="158"/>
      <c r="AS278" s="2"/>
      <c r="AT278" s="58"/>
      <c r="AU278" s="104"/>
      <c r="AV278" s="158">
        <v>26</v>
      </c>
      <c r="AW278" s="158"/>
      <c r="AX278" s="158"/>
      <c r="AY278" s="158"/>
      <c r="AZ278" s="158"/>
      <c r="BA278" s="158"/>
      <c r="BB278" s="69"/>
      <c r="BC278" s="69"/>
      <c r="BD278" s="271">
        <v>2016</v>
      </c>
      <c r="BE278" s="271"/>
      <c r="BF278" s="271"/>
    </row>
    <row r="279" spans="1:58" s="204" customFormat="1" ht="15" hidden="1" customHeight="1">
      <c r="A279" s="160" t="s">
        <v>505</v>
      </c>
      <c r="B279" s="58" t="s">
        <v>126</v>
      </c>
      <c r="C279" s="148" t="s">
        <v>134</v>
      </c>
      <c r="D279" s="58" t="s">
        <v>119</v>
      </c>
      <c r="E279" s="58"/>
      <c r="F279" s="58"/>
      <c r="G279" s="58"/>
      <c r="H279" s="30" t="s">
        <v>651</v>
      </c>
      <c r="I279" s="30"/>
      <c r="J279" s="212"/>
      <c r="K279" s="158"/>
      <c r="L279" s="158"/>
      <c r="M279" s="158"/>
      <c r="N279" s="158"/>
      <c r="O279" s="158"/>
      <c r="P279" s="158"/>
      <c r="Q279" s="158"/>
      <c r="R279" s="158"/>
      <c r="S279" s="158"/>
      <c r="T279" s="586"/>
      <c r="U279" s="158"/>
      <c r="V279" s="158"/>
      <c r="W279" s="158"/>
      <c r="X279" s="158"/>
      <c r="Y279" s="94"/>
      <c r="Z279" s="158"/>
      <c r="AA279" s="158"/>
      <c r="AB279" s="158"/>
      <c r="AC279" s="158"/>
      <c r="AD279" s="158"/>
      <c r="AE279" s="158"/>
      <c r="AF279" s="158"/>
      <c r="AG279" s="158"/>
      <c r="AH279" s="158"/>
      <c r="AI279" s="158"/>
      <c r="AJ279" s="158"/>
      <c r="AK279" s="158"/>
      <c r="AL279" s="94"/>
      <c r="AM279" s="158"/>
      <c r="AN279" s="158"/>
      <c r="AO279" s="158"/>
      <c r="AP279" s="158"/>
      <c r="AQ279" s="158"/>
      <c r="AR279" s="158"/>
      <c r="AS279" s="2">
        <v>1</v>
      </c>
      <c r="AT279" s="58" t="s">
        <v>646</v>
      </c>
      <c r="AU279" s="104"/>
      <c r="AV279" s="11"/>
      <c r="AW279" s="158">
        <v>110</v>
      </c>
      <c r="AX279" s="158"/>
      <c r="AY279" s="158"/>
      <c r="AZ279" s="158"/>
      <c r="BA279" s="158"/>
      <c r="BB279" s="69"/>
      <c r="BC279" s="69"/>
      <c r="BD279" s="271">
        <v>2017</v>
      </c>
      <c r="BE279" s="271"/>
      <c r="BF279" s="271"/>
    </row>
    <row r="280" spans="1:58" s="204" customFormat="1" ht="15" hidden="1" customHeight="1">
      <c r="A280" s="160" t="s">
        <v>505</v>
      </c>
      <c r="B280" s="58" t="s">
        <v>1146</v>
      </c>
      <c r="C280" s="148" t="s">
        <v>135</v>
      </c>
      <c r="D280" s="1" t="s">
        <v>67</v>
      </c>
      <c r="E280" s="1"/>
      <c r="F280" s="1"/>
      <c r="G280" s="1"/>
      <c r="H280" s="30" t="s">
        <v>635</v>
      </c>
      <c r="I280" s="30"/>
      <c r="J280" s="212"/>
      <c r="K280" s="158"/>
      <c r="L280" s="158"/>
      <c r="M280" s="158"/>
      <c r="N280" s="158"/>
      <c r="O280" s="158"/>
      <c r="P280" s="158"/>
      <c r="Q280" s="158"/>
      <c r="R280" s="158"/>
      <c r="S280" s="158"/>
      <c r="T280" s="586"/>
      <c r="U280" s="158"/>
      <c r="V280" s="158"/>
      <c r="W280" s="158"/>
      <c r="X280" s="158"/>
      <c r="Y280" s="94"/>
      <c r="Z280" s="158"/>
      <c r="AA280" s="158"/>
      <c r="AB280" s="158"/>
      <c r="AC280" s="158"/>
      <c r="AD280" s="158"/>
      <c r="AE280" s="158"/>
      <c r="AF280" s="158"/>
      <c r="AG280" s="158"/>
      <c r="AH280" s="158"/>
      <c r="AI280" s="158"/>
      <c r="AJ280" s="158"/>
      <c r="AK280" s="158"/>
      <c r="AL280" s="94"/>
      <c r="AM280" s="158"/>
      <c r="AN280" s="158"/>
      <c r="AO280" s="158"/>
      <c r="AP280" s="158"/>
      <c r="AQ280" s="158"/>
      <c r="AR280" s="158"/>
      <c r="AS280" s="2">
        <v>1</v>
      </c>
      <c r="AT280" s="58" t="s">
        <v>646</v>
      </c>
      <c r="AU280" s="104"/>
      <c r="AV280" s="158"/>
      <c r="AW280" s="158">
        <v>76</v>
      </c>
      <c r="AX280" s="158"/>
      <c r="AY280" s="158"/>
      <c r="AZ280" s="158"/>
      <c r="BA280" s="158"/>
      <c r="BB280" s="69"/>
      <c r="BC280" s="69"/>
      <c r="BD280" s="271">
        <v>2017</v>
      </c>
      <c r="BE280" s="271"/>
      <c r="BF280" s="271"/>
    </row>
    <row r="281" spans="1:58" s="204" customFormat="1" ht="15" hidden="1" customHeight="1">
      <c r="A281" s="160" t="s">
        <v>505</v>
      </c>
      <c r="B281" s="58" t="s">
        <v>126</v>
      </c>
      <c r="C281" s="148" t="s">
        <v>136</v>
      </c>
      <c r="D281" s="1" t="s">
        <v>67</v>
      </c>
      <c r="E281" s="1"/>
      <c r="F281" s="1"/>
      <c r="G281" s="1"/>
      <c r="H281" s="30" t="s">
        <v>635</v>
      </c>
      <c r="I281" s="30"/>
      <c r="J281" s="212"/>
      <c r="K281" s="158"/>
      <c r="L281" s="158"/>
      <c r="M281" s="158"/>
      <c r="N281" s="158"/>
      <c r="O281" s="158"/>
      <c r="P281" s="158"/>
      <c r="Q281" s="158"/>
      <c r="R281" s="158"/>
      <c r="S281" s="158"/>
      <c r="T281" s="586"/>
      <c r="U281" s="158"/>
      <c r="V281" s="158"/>
      <c r="W281" s="158"/>
      <c r="X281" s="158"/>
      <c r="Y281" s="94"/>
      <c r="Z281" s="158"/>
      <c r="AA281" s="158"/>
      <c r="AB281" s="158"/>
      <c r="AC281" s="158"/>
      <c r="AD281" s="158"/>
      <c r="AE281" s="158"/>
      <c r="AF281" s="158"/>
      <c r="AG281" s="158"/>
      <c r="AH281" s="158"/>
      <c r="AI281" s="158"/>
      <c r="AJ281" s="158"/>
      <c r="AK281" s="158"/>
      <c r="AL281" s="94"/>
      <c r="AM281" s="158"/>
      <c r="AN281" s="158"/>
      <c r="AO281" s="158"/>
      <c r="AP281" s="158"/>
      <c r="AQ281" s="158"/>
      <c r="AR281" s="158"/>
      <c r="AS281" s="2">
        <v>1</v>
      </c>
      <c r="AT281" s="58" t="s">
        <v>646</v>
      </c>
      <c r="AU281" s="104"/>
      <c r="AV281" s="158"/>
      <c r="AW281" s="158">
        <v>30</v>
      </c>
      <c r="AX281" s="158"/>
      <c r="AY281" s="158"/>
      <c r="AZ281" s="158"/>
      <c r="BA281" s="158"/>
      <c r="BB281" s="69"/>
      <c r="BC281" s="69"/>
      <c r="BD281" s="271">
        <v>2017</v>
      </c>
      <c r="BE281" s="271"/>
      <c r="BF281" s="271"/>
    </row>
    <row r="282" spans="1:58" s="204" customFormat="1" ht="24" customHeight="1">
      <c r="A282" s="160" t="s">
        <v>505</v>
      </c>
      <c r="B282" s="58" t="s">
        <v>123</v>
      </c>
      <c r="C282" s="55" t="s">
        <v>665</v>
      </c>
      <c r="D282" s="58" t="s">
        <v>102</v>
      </c>
      <c r="E282" s="58"/>
      <c r="F282" s="58"/>
      <c r="G282" s="58"/>
      <c r="H282" s="30" t="s">
        <v>635</v>
      </c>
      <c r="I282" s="30">
        <v>1972</v>
      </c>
      <c r="J282" s="212">
        <v>42629</v>
      </c>
      <c r="K282" s="158"/>
      <c r="L282" s="158"/>
      <c r="M282" s="158">
        <v>43</v>
      </c>
      <c r="N282" s="158"/>
      <c r="O282" s="158">
        <v>43</v>
      </c>
      <c r="P282" s="158">
        <v>2980419676</v>
      </c>
      <c r="Q282" s="158"/>
      <c r="R282" s="158"/>
      <c r="S282" s="158"/>
      <c r="T282" s="586">
        <v>1251710388</v>
      </c>
      <c r="U282" s="158">
        <v>20</v>
      </c>
      <c r="V282" s="158"/>
      <c r="W282" s="158"/>
      <c r="X282" s="158"/>
      <c r="Y282" s="94"/>
      <c r="Z282" s="158"/>
      <c r="AA282" s="158"/>
      <c r="AB282" s="158"/>
      <c r="AC282" s="158"/>
      <c r="AD282" s="158"/>
      <c r="AE282" s="158">
        <f>P282-T282-Y282-1728709288</f>
        <v>0</v>
      </c>
      <c r="AF282" s="158"/>
      <c r="AG282" s="158">
        <v>1728709288</v>
      </c>
      <c r="AH282" s="158"/>
      <c r="AI282" s="158"/>
      <c r="AJ282" s="158">
        <f>AE282+AG282</f>
        <v>1728709288</v>
      </c>
      <c r="AK282" s="158">
        <v>877</v>
      </c>
      <c r="AL282" s="94">
        <v>10</v>
      </c>
      <c r="AM282" s="158"/>
      <c r="AN282" s="158"/>
      <c r="AO282" s="158"/>
      <c r="AP282" s="158">
        <v>43</v>
      </c>
      <c r="AQ282" s="158"/>
      <c r="AR282" s="158"/>
      <c r="AS282" s="2">
        <v>0.1211</v>
      </c>
      <c r="AT282" s="58" t="s">
        <v>942</v>
      </c>
      <c r="AU282" s="104" t="s">
        <v>1299</v>
      </c>
      <c r="AV282" s="158"/>
      <c r="AW282" s="158"/>
      <c r="AX282" s="158"/>
      <c r="AY282" s="158"/>
      <c r="AZ282" s="158"/>
      <c r="BA282" s="158"/>
      <c r="BB282" s="69"/>
      <c r="BC282" s="69"/>
      <c r="BD282" s="271"/>
      <c r="BE282" s="271">
        <v>2019</v>
      </c>
      <c r="BF282" s="271">
        <v>2020</v>
      </c>
    </row>
    <row r="283" spans="1:58" s="204" customFormat="1" ht="15" hidden="1" customHeight="1">
      <c r="A283" s="160" t="s">
        <v>505</v>
      </c>
      <c r="B283" s="58" t="s">
        <v>129</v>
      </c>
      <c r="C283" s="148" t="s">
        <v>137</v>
      </c>
      <c r="D283" s="1" t="s">
        <v>16</v>
      </c>
      <c r="E283" s="1"/>
      <c r="F283" s="1"/>
      <c r="G283" s="1"/>
      <c r="H283" s="30" t="s">
        <v>635</v>
      </c>
      <c r="I283" s="30"/>
      <c r="J283" s="212"/>
      <c r="K283" s="158"/>
      <c r="L283" s="158"/>
      <c r="M283" s="158"/>
      <c r="N283" s="158"/>
      <c r="O283" s="158"/>
      <c r="P283" s="158"/>
      <c r="Q283" s="158"/>
      <c r="R283" s="158"/>
      <c r="S283" s="158"/>
      <c r="T283" s="586"/>
      <c r="U283" s="158"/>
      <c r="V283" s="158"/>
      <c r="W283" s="158"/>
      <c r="X283" s="158"/>
      <c r="Y283" s="94"/>
      <c r="Z283" s="158"/>
      <c r="AA283" s="158"/>
      <c r="AB283" s="158"/>
      <c r="AC283" s="158"/>
      <c r="AD283" s="158"/>
      <c r="AE283" s="158"/>
      <c r="AF283" s="158"/>
      <c r="AG283" s="158"/>
      <c r="AH283" s="158"/>
      <c r="AI283" s="158"/>
      <c r="AJ283" s="158"/>
      <c r="AK283" s="158"/>
      <c r="AL283" s="158"/>
      <c r="AM283" s="158"/>
      <c r="AN283" s="158"/>
      <c r="AO283" s="158"/>
      <c r="AP283" s="158"/>
      <c r="AQ283" s="158"/>
      <c r="AR283" s="158"/>
      <c r="AS283" s="2">
        <v>1</v>
      </c>
      <c r="AT283" s="58" t="s">
        <v>646</v>
      </c>
      <c r="AU283" s="104"/>
      <c r="AV283" s="158"/>
      <c r="AW283" s="158">
        <f>43-1</f>
        <v>42</v>
      </c>
      <c r="AX283" s="158"/>
      <c r="AY283" s="158"/>
      <c r="AZ283" s="158"/>
      <c r="BA283" s="158"/>
      <c r="BB283" s="69"/>
      <c r="BC283" s="69"/>
      <c r="BD283" s="271">
        <v>2017</v>
      </c>
      <c r="BE283" s="271"/>
      <c r="BF283" s="271"/>
    </row>
    <row r="284" spans="1:58" s="204" customFormat="1" ht="15" hidden="1" customHeight="1">
      <c r="A284" s="160" t="s">
        <v>505</v>
      </c>
      <c r="B284" s="58" t="s">
        <v>129</v>
      </c>
      <c r="C284" s="148" t="s">
        <v>137</v>
      </c>
      <c r="D284" s="1" t="s">
        <v>16</v>
      </c>
      <c r="E284" s="1"/>
      <c r="F284" s="1"/>
      <c r="G284" s="1"/>
      <c r="H284" s="30" t="s">
        <v>635</v>
      </c>
      <c r="I284" s="30"/>
      <c r="J284" s="212"/>
      <c r="K284" s="158"/>
      <c r="L284" s="158"/>
      <c r="M284" s="158"/>
      <c r="N284" s="158"/>
      <c r="O284" s="158"/>
      <c r="P284" s="158"/>
      <c r="Q284" s="158"/>
      <c r="R284" s="158"/>
      <c r="S284" s="158"/>
      <c r="T284" s="586"/>
      <c r="U284" s="158"/>
      <c r="V284" s="158"/>
      <c r="W284" s="158"/>
      <c r="X284" s="158"/>
      <c r="Y284" s="94"/>
      <c r="Z284" s="158"/>
      <c r="AA284" s="158"/>
      <c r="AB284" s="158"/>
      <c r="AC284" s="158"/>
      <c r="AD284" s="158"/>
      <c r="AE284" s="158"/>
      <c r="AF284" s="158"/>
      <c r="AG284" s="158"/>
      <c r="AH284" s="158"/>
      <c r="AI284" s="158"/>
      <c r="AJ284" s="158"/>
      <c r="AK284" s="158"/>
      <c r="AL284" s="158"/>
      <c r="AM284" s="158"/>
      <c r="AN284" s="158"/>
      <c r="AO284" s="158"/>
      <c r="AP284" s="158"/>
      <c r="AQ284" s="158"/>
      <c r="AR284" s="158"/>
      <c r="AS284" s="2">
        <v>1</v>
      </c>
      <c r="AT284" s="58" t="s">
        <v>646</v>
      </c>
      <c r="AU284" s="104" t="s">
        <v>1110</v>
      </c>
      <c r="AV284" s="158" t="s">
        <v>0</v>
      </c>
      <c r="AW284" s="158"/>
      <c r="AX284" s="158">
        <v>1</v>
      </c>
      <c r="AY284" s="158"/>
      <c r="AZ284" s="158"/>
      <c r="BA284" s="158">
        <v>1</v>
      </c>
      <c r="BB284" s="69"/>
      <c r="BC284" s="69"/>
      <c r="BD284" s="271">
        <v>2018</v>
      </c>
      <c r="BE284" s="271"/>
      <c r="BF284" s="271"/>
    </row>
    <row r="285" spans="1:58" s="204" customFormat="1" ht="15" hidden="1" customHeight="1">
      <c r="A285" s="160" t="s">
        <v>505</v>
      </c>
      <c r="B285" s="58" t="s">
        <v>139</v>
      </c>
      <c r="C285" s="148" t="s">
        <v>138</v>
      </c>
      <c r="D285" s="1" t="s">
        <v>43</v>
      </c>
      <c r="E285" s="1"/>
      <c r="F285" s="1"/>
      <c r="G285" s="1"/>
      <c r="H285" s="30" t="s">
        <v>635</v>
      </c>
      <c r="I285" s="30"/>
      <c r="J285" s="212"/>
      <c r="K285" s="158"/>
      <c r="L285" s="158"/>
      <c r="M285" s="158"/>
      <c r="N285" s="158"/>
      <c r="O285" s="158"/>
      <c r="P285" s="158"/>
      <c r="Q285" s="158"/>
      <c r="R285" s="158"/>
      <c r="S285" s="158"/>
      <c r="T285" s="586"/>
      <c r="U285" s="158"/>
      <c r="V285" s="158"/>
      <c r="W285" s="158"/>
      <c r="X285" s="158"/>
      <c r="Y285" s="94"/>
      <c r="Z285" s="158"/>
      <c r="AA285" s="158"/>
      <c r="AB285" s="158"/>
      <c r="AC285" s="158"/>
      <c r="AD285" s="158"/>
      <c r="AE285" s="158"/>
      <c r="AF285" s="158"/>
      <c r="AG285" s="158"/>
      <c r="AH285" s="158"/>
      <c r="AI285" s="158"/>
      <c r="AJ285" s="158"/>
      <c r="AK285" s="158"/>
      <c r="AL285" s="158"/>
      <c r="AM285" s="158"/>
      <c r="AN285" s="158"/>
      <c r="AO285" s="158"/>
      <c r="AP285" s="158"/>
      <c r="AQ285" s="158"/>
      <c r="AR285" s="158"/>
      <c r="AS285" s="2">
        <v>1</v>
      </c>
      <c r="AT285" s="58" t="s">
        <v>646</v>
      </c>
      <c r="AU285" s="104"/>
      <c r="AV285" s="158"/>
      <c r="AW285" s="158"/>
      <c r="AX285" s="158">
        <v>71</v>
      </c>
      <c r="AY285" s="158"/>
      <c r="AZ285" s="158"/>
      <c r="BA285" s="158">
        <v>71</v>
      </c>
      <c r="BB285" s="69"/>
      <c r="BC285" s="69"/>
      <c r="BD285" s="271">
        <v>2018</v>
      </c>
      <c r="BE285" s="271"/>
      <c r="BF285" s="271"/>
    </row>
    <row r="286" spans="1:58" s="204" customFormat="1" ht="39" hidden="1" customHeight="1">
      <c r="A286" s="230" t="s">
        <v>505</v>
      </c>
      <c r="B286" s="58" t="s">
        <v>126</v>
      </c>
      <c r="C286" s="148" t="s">
        <v>1111</v>
      </c>
      <c r="D286" s="28" t="s">
        <v>119</v>
      </c>
      <c r="E286" s="28"/>
      <c r="F286" s="28"/>
      <c r="G286" s="28"/>
      <c r="H286" s="30" t="s">
        <v>630</v>
      </c>
      <c r="I286" s="115" t="s">
        <v>1667</v>
      </c>
      <c r="J286" s="215" t="s">
        <v>1668</v>
      </c>
      <c r="K286" s="158"/>
      <c r="L286" s="158"/>
      <c r="M286" s="158"/>
      <c r="N286" s="158"/>
      <c r="O286" s="158"/>
      <c r="P286" s="158">
        <v>1651631649</v>
      </c>
      <c r="Q286" s="158"/>
      <c r="R286" s="158"/>
      <c r="S286" s="158"/>
      <c r="T286" s="586"/>
      <c r="U286" s="158"/>
      <c r="V286" s="158"/>
      <c r="W286" s="158"/>
      <c r="X286" s="158"/>
      <c r="Y286" s="94"/>
      <c r="Z286" s="158"/>
      <c r="AA286" s="5"/>
      <c r="AB286" s="5"/>
      <c r="AC286" s="5"/>
      <c r="AD286" s="158"/>
      <c r="AE286" s="158"/>
      <c r="AF286" s="158"/>
      <c r="AG286" s="158"/>
      <c r="AH286" s="158"/>
      <c r="AI286" s="158"/>
      <c r="AJ286" s="158"/>
      <c r="AK286" s="158"/>
      <c r="AL286" s="158"/>
      <c r="AM286" s="158"/>
      <c r="AN286" s="158"/>
      <c r="AO286" s="158"/>
      <c r="AP286" s="11"/>
      <c r="AQ286" s="11"/>
      <c r="AR286" s="11"/>
      <c r="AS286" s="2">
        <v>1</v>
      </c>
      <c r="AT286" s="58" t="s">
        <v>646</v>
      </c>
      <c r="AU286" s="104"/>
      <c r="AV286" s="158"/>
      <c r="AW286" s="11"/>
      <c r="AX286" s="158">
        <v>27</v>
      </c>
      <c r="AY286" s="158"/>
      <c r="AZ286" s="158"/>
      <c r="BA286" s="158">
        <v>27</v>
      </c>
      <c r="BB286" s="69"/>
      <c r="BC286" s="69"/>
      <c r="BD286" s="271">
        <v>2018</v>
      </c>
      <c r="BE286" s="271"/>
      <c r="BF286" s="271"/>
    </row>
    <row r="287" spans="1:58" s="204" customFormat="1" ht="37.5" hidden="1" customHeight="1">
      <c r="A287" s="160" t="s">
        <v>505</v>
      </c>
      <c r="B287" s="58" t="s">
        <v>126</v>
      </c>
      <c r="C287" s="148" t="s">
        <v>1111</v>
      </c>
      <c r="D287" s="58" t="s">
        <v>119</v>
      </c>
      <c r="E287" s="58"/>
      <c r="F287" s="58"/>
      <c r="G287" s="58"/>
      <c r="H287" s="30" t="s">
        <v>630</v>
      </c>
      <c r="I287" s="115" t="s">
        <v>1667</v>
      </c>
      <c r="J287" s="215" t="s">
        <v>1668</v>
      </c>
      <c r="K287" s="158"/>
      <c r="L287" s="158"/>
      <c r="M287" s="158">
        <v>0</v>
      </c>
      <c r="N287" s="158"/>
      <c r="O287" s="158"/>
      <c r="P287" s="158">
        <v>61171543</v>
      </c>
      <c r="Q287" s="158"/>
      <c r="R287" s="158"/>
      <c r="S287" s="158"/>
      <c r="T287" s="586"/>
      <c r="U287" s="158"/>
      <c r="V287" s="158"/>
      <c r="W287" s="158"/>
      <c r="X287" s="158"/>
      <c r="Y287" s="94"/>
      <c r="Z287" s="69"/>
      <c r="AA287" s="69"/>
      <c r="AB287" s="69"/>
      <c r="AC287" s="69">
        <v>61171543</v>
      </c>
      <c r="AD287" s="158"/>
      <c r="AE287" s="158">
        <f>P287-T287-Y287-AC287</f>
        <v>0</v>
      </c>
      <c r="AF287" s="158"/>
      <c r="AG287" s="158"/>
      <c r="AH287" s="158"/>
      <c r="AI287" s="158"/>
      <c r="AJ287" s="158"/>
      <c r="AK287" s="158">
        <v>877</v>
      </c>
      <c r="AL287" s="158">
        <v>10</v>
      </c>
      <c r="AM287" s="158"/>
      <c r="AN287" s="158"/>
      <c r="AO287" s="11"/>
      <c r="AP287" s="11"/>
      <c r="AQ287" s="11"/>
      <c r="AR287" s="12"/>
      <c r="AS287" s="2">
        <v>0</v>
      </c>
      <c r="AT287" s="1" t="s">
        <v>687</v>
      </c>
      <c r="AU287" s="104" t="s">
        <v>1370</v>
      </c>
      <c r="AV287" s="158"/>
      <c r="AW287" s="11"/>
      <c r="AX287" s="11"/>
      <c r="AY287" s="11"/>
      <c r="AZ287" s="11"/>
      <c r="BA287" s="11"/>
      <c r="BB287" s="70"/>
      <c r="BC287" s="69">
        <v>1</v>
      </c>
      <c r="BD287" s="271" t="s">
        <v>1704</v>
      </c>
      <c r="BE287" s="271"/>
      <c r="BF287" s="271"/>
    </row>
    <row r="288" spans="1:58" s="204" customFormat="1" ht="15" hidden="1" customHeight="1">
      <c r="A288" s="248" t="s">
        <v>505</v>
      </c>
      <c r="B288" s="58" t="s">
        <v>755</v>
      </c>
      <c r="C288" s="148" t="s">
        <v>922</v>
      </c>
      <c r="D288" s="251" t="s">
        <v>61</v>
      </c>
      <c r="E288" s="251"/>
      <c r="F288" s="251"/>
      <c r="G288" s="251"/>
      <c r="H288" s="30" t="s">
        <v>630</v>
      </c>
      <c r="I288" s="30"/>
      <c r="J288" s="212"/>
      <c r="K288" s="158"/>
      <c r="L288" s="158"/>
      <c r="M288" s="158"/>
      <c r="N288" s="158"/>
      <c r="O288" s="158"/>
      <c r="P288" s="158"/>
      <c r="Q288" s="158"/>
      <c r="R288" s="158"/>
      <c r="S288" s="158"/>
      <c r="T288" s="586"/>
      <c r="U288" s="158"/>
      <c r="V288" s="158"/>
      <c r="W288" s="158"/>
      <c r="X288" s="158"/>
      <c r="Y288" s="94"/>
      <c r="Z288" s="158"/>
      <c r="AA288" s="92"/>
      <c r="AB288" s="92"/>
      <c r="AC288" s="92"/>
      <c r="AD288" s="158"/>
      <c r="AE288" s="158"/>
      <c r="AF288" s="158"/>
      <c r="AG288" s="158"/>
      <c r="AH288" s="158"/>
      <c r="AI288" s="158"/>
      <c r="AJ288" s="158"/>
      <c r="AK288" s="158"/>
      <c r="AL288" s="158"/>
      <c r="AM288" s="158"/>
      <c r="AN288" s="158"/>
      <c r="AO288" s="158"/>
      <c r="AP288" s="158"/>
      <c r="AQ288" s="158"/>
      <c r="AR288" s="158"/>
      <c r="AS288" s="2">
        <v>1</v>
      </c>
      <c r="AT288" s="58" t="s">
        <v>646</v>
      </c>
      <c r="AU288" s="104"/>
      <c r="AV288" s="158"/>
      <c r="AW288" s="158"/>
      <c r="AX288" s="158">
        <v>5</v>
      </c>
      <c r="AY288" s="158"/>
      <c r="AZ288" s="158"/>
      <c r="BA288" s="158">
        <v>5</v>
      </c>
      <c r="BB288" s="69"/>
      <c r="BC288" s="69"/>
      <c r="BD288" s="271">
        <v>2018</v>
      </c>
      <c r="BE288" s="271"/>
      <c r="BF288" s="271"/>
    </row>
    <row r="289" spans="1:58" s="204" customFormat="1" ht="15" hidden="1" customHeight="1">
      <c r="A289" s="160" t="s">
        <v>505</v>
      </c>
      <c r="B289" s="58" t="s">
        <v>755</v>
      </c>
      <c r="C289" s="148" t="s">
        <v>756</v>
      </c>
      <c r="D289" s="58" t="s">
        <v>61</v>
      </c>
      <c r="E289" s="58"/>
      <c r="F289" s="58"/>
      <c r="G289" s="58"/>
      <c r="H289" s="30" t="s">
        <v>630</v>
      </c>
      <c r="I289" s="30"/>
      <c r="J289" s="212"/>
      <c r="K289" s="158"/>
      <c r="L289" s="158"/>
      <c r="M289" s="158"/>
      <c r="N289" s="158"/>
      <c r="O289" s="158"/>
      <c r="P289" s="158"/>
      <c r="Q289" s="158"/>
      <c r="R289" s="158"/>
      <c r="S289" s="158"/>
      <c r="T289" s="586"/>
      <c r="U289" s="158"/>
      <c r="V289" s="158"/>
      <c r="W289" s="158"/>
      <c r="X289" s="158"/>
      <c r="Y289" s="94"/>
      <c r="Z289" s="158"/>
      <c r="AA289" s="158"/>
      <c r="AB289" s="158"/>
      <c r="AC289" s="158"/>
      <c r="AD289" s="158"/>
      <c r="AE289" s="158"/>
      <c r="AF289" s="158"/>
      <c r="AG289" s="158"/>
      <c r="AH289" s="158"/>
      <c r="AI289" s="158"/>
      <c r="AJ289" s="158"/>
      <c r="AK289" s="158"/>
      <c r="AL289" s="158"/>
      <c r="AM289" s="158"/>
      <c r="AN289" s="158"/>
      <c r="AO289" s="158"/>
      <c r="AP289" s="158"/>
      <c r="AQ289" s="158"/>
      <c r="AR289" s="158"/>
      <c r="AS289" s="2">
        <v>1</v>
      </c>
      <c r="AT289" s="58" t="s">
        <v>646</v>
      </c>
      <c r="AU289" s="104"/>
      <c r="AV289" s="158"/>
      <c r="AW289" s="158"/>
      <c r="AX289" s="158">
        <v>4</v>
      </c>
      <c r="AY289" s="158"/>
      <c r="AZ289" s="158"/>
      <c r="BA289" s="158">
        <v>4</v>
      </c>
      <c r="BB289" s="69"/>
      <c r="BC289" s="69"/>
      <c r="BD289" s="271">
        <v>2018</v>
      </c>
      <c r="BE289" s="271"/>
      <c r="BF289" s="271"/>
    </row>
    <row r="290" spans="1:58" s="204" customFormat="1" ht="15" hidden="1" customHeight="1">
      <c r="A290" s="160" t="s">
        <v>505</v>
      </c>
      <c r="B290" s="58" t="s">
        <v>123</v>
      </c>
      <c r="C290" s="148" t="s">
        <v>757</v>
      </c>
      <c r="D290" s="58" t="s">
        <v>925</v>
      </c>
      <c r="E290" s="58"/>
      <c r="F290" s="58"/>
      <c r="G290" s="58"/>
      <c r="H290" s="30" t="s">
        <v>713</v>
      </c>
      <c r="I290" s="30"/>
      <c r="J290" s="212"/>
      <c r="K290" s="158"/>
      <c r="L290" s="158"/>
      <c r="M290" s="158"/>
      <c r="N290" s="158"/>
      <c r="O290" s="158"/>
      <c r="P290" s="158"/>
      <c r="Q290" s="158"/>
      <c r="R290" s="158"/>
      <c r="S290" s="158"/>
      <c r="T290" s="586"/>
      <c r="U290" s="158"/>
      <c r="V290" s="158"/>
      <c r="W290" s="158"/>
      <c r="X290" s="158"/>
      <c r="Y290" s="94"/>
      <c r="Z290" s="158"/>
      <c r="AA290" s="158"/>
      <c r="AB290" s="158"/>
      <c r="AC290" s="158"/>
      <c r="AD290" s="158"/>
      <c r="AE290" s="158"/>
      <c r="AF290" s="158"/>
      <c r="AG290" s="158"/>
      <c r="AH290" s="158"/>
      <c r="AI290" s="158"/>
      <c r="AJ290" s="158"/>
      <c r="AK290" s="158"/>
      <c r="AL290" s="158"/>
      <c r="AM290" s="158"/>
      <c r="AN290" s="158"/>
      <c r="AO290" s="158"/>
      <c r="AP290" s="158"/>
      <c r="AQ290" s="158"/>
      <c r="AR290" s="158"/>
      <c r="AS290" s="2">
        <v>1</v>
      </c>
      <c r="AT290" s="58" t="s">
        <v>646</v>
      </c>
      <c r="AU290" s="104"/>
      <c r="AV290" s="158"/>
      <c r="AW290" s="158"/>
      <c r="AX290" s="158">
        <v>14</v>
      </c>
      <c r="AY290" s="96"/>
      <c r="AZ290" s="96"/>
      <c r="BA290" s="158"/>
      <c r="BB290" s="69">
        <v>14</v>
      </c>
      <c r="BC290" s="69"/>
      <c r="BD290" s="271">
        <v>2018</v>
      </c>
      <c r="BE290" s="271"/>
      <c r="BF290" s="271"/>
    </row>
    <row r="291" spans="1:58" s="204" customFormat="1" ht="18" hidden="1" customHeight="1">
      <c r="A291" s="160" t="s">
        <v>505</v>
      </c>
      <c r="B291" s="58" t="s">
        <v>1146</v>
      </c>
      <c r="C291" s="148" t="s">
        <v>835</v>
      </c>
      <c r="D291" s="58" t="s">
        <v>723</v>
      </c>
      <c r="E291" s="58"/>
      <c r="F291" s="58"/>
      <c r="G291" s="58"/>
      <c r="H291" s="30" t="s">
        <v>715</v>
      </c>
      <c r="I291" s="30">
        <v>2563</v>
      </c>
      <c r="J291" s="212">
        <v>43049</v>
      </c>
      <c r="K291" s="158"/>
      <c r="L291" s="158">
        <v>52</v>
      </c>
      <c r="M291" s="158"/>
      <c r="N291" s="158"/>
      <c r="O291" s="158"/>
      <c r="P291" s="158"/>
      <c r="Q291" s="158"/>
      <c r="R291" s="158"/>
      <c r="S291" s="158"/>
      <c r="T291" s="586"/>
      <c r="U291" s="158"/>
      <c r="V291" s="158"/>
      <c r="W291" s="158"/>
      <c r="X291" s="158"/>
      <c r="Y291" s="94"/>
      <c r="Z291" s="158"/>
      <c r="AA291" s="158"/>
      <c r="AB291" s="158"/>
      <c r="AC291" s="158"/>
      <c r="AD291" s="158"/>
      <c r="AE291" s="158">
        <f t="shared" ref="AE291:AE297" si="43">P291-T291-Y291</f>
        <v>0</v>
      </c>
      <c r="AF291" s="158"/>
      <c r="AG291" s="94">
        <v>0</v>
      </c>
      <c r="AH291" s="94"/>
      <c r="AI291" s="94"/>
      <c r="AJ291" s="158">
        <f t="shared" ref="AJ291:AJ294" si="44">AE291+AG291</f>
        <v>0</v>
      </c>
      <c r="AK291" s="158"/>
      <c r="AL291" s="158"/>
      <c r="AM291" s="158"/>
      <c r="AN291" s="158"/>
      <c r="AO291" s="158"/>
      <c r="AP291" s="11"/>
      <c r="AQ291" s="11"/>
      <c r="AR291" s="11"/>
      <c r="AS291" s="2">
        <v>1</v>
      </c>
      <c r="AT291" s="58" t="s">
        <v>646</v>
      </c>
      <c r="AU291" s="104"/>
      <c r="AV291" s="158"/>
      <c r="AW291" s="158"/>
      <c r="AX291" s="11"/>
      <c r="AY291" s="158">
        <v>52</v>
      </c>
      <c r="AZ291" s="158"/>
      <c r="BA291" s="158"/>
      <c r="BB291" s="69">
        <v>52</v>
      </c>
      <c r="BC291" s="69"/>
      <c r="BD291" s="271">
        <v>2019</v>
      </c>
      <c r="BE291" s="271">
        <v>2019</v>
      </c>
      <c r="BF291" s="271"/>
    </row>
    <row r="292" spans="1:58" s="204" customFormat="1" ht="28.5" customHeight="1">
      <c r="A292" s="160" t="s">
        <v>505</v>
      </c>
      <c r="B292" s="58" t="s">
        <v>132</v>
      </c>
      <c r="C292" s="55" t="s">
        <v>1073</v>
      </c>
      <c r="D292" s="58" t="s">
        <v>149</v>
      </c>
      <c r="E292" s="58"/>
      <c r="F292" s="58"/>
      <c r="G292" s="58"/>
      <c r="H292" s="30" t="s">
        <v>715</v>
      </c>
      <c r="I292" s="115" t="s">
        <v>1468</v>
      </c>
      <c r="J292" s="215" t="s">
        <v>1467</v>
      </c>
      <c r="K292" s="158"/>
      <c r="L292" s="158">
        <v>30</v>
      </c>
      <c r="M292" s="158"/>
      <c r="N292" s="158">
        <v>30</v>
      </c>
      <c r="O292" s="158"/>
      <c r="P292" s="158">
        <v>2088709771</v>
      </c>
      <c r="Q292" s="158"/>
      <c r="R292" s="158"/>
      <c r="S292" s="158"/>
      <c r="T292" s="586">
        <v>896537970</v>
      </c>
      <c r="U292" s="158">
        <v>30</v>
      </c>
      <c r="V292" s="158"/>
      <c r="W292" s="158"/>
      <c r="X292" s="158"/>
      <c r="Y292" s="94">
        <v>1192171801</v>
      </c>
      <c r="Z292" s="158">
        <v>10</v>
      </c>
      <c r="AA292" s="311">
        <v>43525</v>
      </c>
      <c r="AB292" s="311"/>
      <c r="AC292" s="158"/>
      <c r="AD292" s="158"/>
      <c r="AE292" s="158">
        <f t="shared" si="43"/>
        <v>0</v>
      </c>
      <c r="AF292" s="158"/>
      <c r="AG292" s="94">
        <v>0</v>
      </c>
      <c r="AH292" s="94"/>
      <c r="AI292" s="94"/>
      <c r="AJ292" s="158">
        <f t="shared" si="44"/>
        <v>0</v>
      </c>
      <c r="AK292" s="158">
        <v>877</v>
      </c>
      <c r="AL292" s="158">
        <v>10</v>
      </c>
      <c r="AM292" s="158"/>
      <c r="AN292" s="158">
        <v>30</v>
      </c>
      <c r="AO292" s="158"/>
      <c r="AP292" s="158"/>
      <c r="AQ292" s="158"/>
      <c r="AR292" s="158"/>
      <c r="AS292" s="2">
        <v>0.89200000000000002</v>
      </c>
      <c r="AT292" s="58" t="s">
        <v>38</v>
      </c>
      <c r="AU292" s="104"/>
      <c r="AV292" s="158"/>
      <c r="AW292" s="158"/>
      <c r="AX292" s="158"/>
      <c r="AY292" s="158"/>
      <c r="AZ292" s="158"/>
      <c r="BA292" s="158"/>
      <c r="BB292" s="69"/>
      <c r="BC292" s="69"/>
      <c r="BD292" s="271"/>
      <c r="BE292" s="271">
        <v>2019</v>
      </c>
      <c r="BF292" s="271">
        <v>2020</v>
      </c>
    </row>
    <row r="293" spans="1:58" s="204" customFormat="1" ht="22.5" hidden="1" customHeight="1">
      <c r="A293" s="160" t="s">
        <v>505</v>
      </c>
      <c r="B293" s="58" t="s">
        <v>123</v>
      </c>
      <c r="C293" s="55" t="s">
        <v>1145</v>
      </c>
      <c r="D293" s="58" t="s">
        <v>1021</v>
      </c>
      <c r="E293" s="58"/>
      <c r="F293" s="58"/>
      <c r="G293" s="58"/>
      <c r="H293" s="30" t="s">
        <v>1113</v>
      </c>
      <c r="I293" s="82">
        <v>737</v>
      </c>
      <c r="J293" s="212">
        <v>43453</v>
      </c>
      <c r="K293" s="158">
        <v>11</v>
      </c>
      <c r="L293" s="158">
        <v>11</v>
      </c>
      <c r="M293" s="158"/>
      <c r="N293" s="158"/>
      <c r="O293" s="158"/>
      <c r="P293" s="158">
        <v>823564500</v>
      </c>
      <c r="Q293" s="158"/>
      <c r="R293" s="158"/>
      <c r="S293" s="158"/>
      <c r="T293" s="586">
        <v>425313460</v>
      </c>
      <c r="U293" s="158">
        <v>10</v>
      </c>
      <c r="V293" s="158"/>
      <c r="W293" s="158"/>
      <c r="X293" s="158"/>
      <c r="Y293" s="94">
        <v>398251040</v>
      </c>
      <c r="Z293" s="158">
        <v>10</v>
      </c>
      <c r="AA293" s="311">
        <v>43586</v>
      </c>
      <c r="AB293" s="311"/>
      <c r="AC293" s="158"/>
      <c r="AD293" s="158"/>
      <c r="AE293" s="158">
        <f t="shared" si="43"/>
        <v>0</v>
      </c>
      <c r="AF293" s="158"/>
      <c r="AG293" s="94">
        <v>0</v>
      </c>
      <c r="AH293" s="94"/>
      <c r="AI293" s="94"/>
      <c r="AJ293" s="158">
        <f t="shared" si="44"/>
        <v>0</v>
      </c>
      <c r="AK293" s="158">
        <v>877</v>
      </c>
      <c r="AL293" s="158">
        <v>10</v>
      </c>
      <c r="AM293" s="158"/>
      <c r="AN293" s="158"/>
      <c r="AO293" s="158"/>
      <c r="AP293" s="158"/>
      <c r="AQ293" s="158"/>
      <c r="AR293" s="158"/>
      <c r="AS293" s="2">
        <v>1</v>
      </c>
      <c r="AT293" s="58" t="s">
        <v>646</v>
      </c>
      <c r="AU293" s="104"/>
      <c r="AV293" s="158"/>
      <c r="AW293" s="158"/>
      <c r="AX293" s="158"/>
      <c r="AY293" s="158">
        <v>11</v>
      </c>
      <c r="AZ293" s="158"/>
      <c r="BA293" s="158"/>
      <c r="BB293" s="69">
        <v>11</v>
      </c>
      <c r="BC293" s="69"/>
      <c r="BD293" s="271">
        <v>2019</v>
      </c>
      <c r="BE293" s="271">
        <v>2019</v>
      </c>
      <c r="BF293" s="271"/>
    </row>
    <row r="294" spans="1:58" s="204" customFormat="1" ht="18" hidden="1" customHeight="1">
      <c r="A294" s="230" t="s">
        <v>505</v>
      </c>
      <c r="B294" s="58" t="s">
        <v>1146</v>
      </c>
      <c r="C294" s="148" t="s">
        <v>1156</v>
      </c>
      <c r="D294" s="28" t="s">
        <v>13</v>
      </c>
      <c r="E294" s="28"/>
      <c r="F294" s="28"/>
      <c r="G294" s="28"/>
      <c r="H294" s="30" t="s">
        <v>1113</v>
      </c>
      <c r="I294" s="82">
        <v>768</v>
      </c>
      <c r="J294" s="212">
        <v>43455</v>
      </c>
      <c r="K294" s="158">
        <f>41-3</f>
        <v>38</v>
      </c>
      <c r="L294" s="158">
        <v>38</v>
      </c>
      <c r="M294" s="158"/>
      <c r="N294" s="158"/>
      <c r="O294" s="158"/>
      <c r="P294" s="158">
        <f>2697368572-197368433</f>
        <v>2500000139</v>
      </c>
      <c r="Q294" s="158"/>
      <c r="R294" s="158"/>
      <c r="S294" s="158"/>
      <c r="T294" s="586">
        <v>1361659735</v>
      </c>
      <c r="U294" s="158">
        <v>10</v>
      </c>
      <c r="V294" s="311">
        <v>43497</v>
      </c>
      <c r="W294" s="311"/>
      <c r="X294" s="311"/>
      <c r="Y294" s="94">
        <v>1138340404</v>
      </c>
      <c r="Z294" s="158">
        <v>10</v>
      </c>
      <c r="AA294" s="311">
        <v>43617</v>
      </c>
      <c r="AB294" s="329"/>
      <c r="AC294" s="5"/>
      <c r="AD294" s="158"/>
      <c r="AE294" s="158">
        <f t="shared" si="43"/>
        <v>0</v>
      </c>
      <c r="AF294" s="158"/>
      <c r="AG294" s="94">
        <v>0</v>
      </c>
      <c r="AH294" s="94"/>
      <c r="AI294" s="94"/>
      <c r="AJ294" s="158">
        <f t="shared" si="44"/>
        <v>0</v>
      </c>
      <c r="AK294" s="158">
        <v>877</v>
      </c>
      <c r="AL294" s="158">
        <v>10</v>
      </c>
      <c r="AM294" s="158"/>
      <c r="AN294" s="158"/>
      <c r="AO294" s="158"/>
      <c r="AP294" s="158"/>
      <c r="AQ294" s="158"/>
      <c r="AR294" s="158"/>
      <c r="AS294" s="2">
        <v>1</v>
      </c>
      <c r="AT294" s="58" t="s">
        <v>646</v>
      </c>
      <c r="AU294" s="104" t="s">
        <v>1709</v>
      </c>
      <c r="AV294" s="158"/>
      <c r="AW294" s="158"/>
      <c r="AX294" s="158"/>
      <c r="AY294" s="158">
        <v>38</v>
      </c>
      <c r="AZ294" s="158"/>
      <c r="BA294" s="158"/>
      <c r="BB294" s="69">
        <v>38</v>
      </c>
      <c r="BC294" s="69"/>
      <c r="BD294" s="271">
        <v>2019</v>
      </c>
      <c r="BE294" s="271">
        <v>2019</v>
      </c>
      <c r="BF294" s="271"/>
    </row>
    <row r="295" spans="1:58" s="204" customFormat="1" ht="18" customHeight="1">
      <c r="A295" s="160" t="s">
        <v>505</v>
      </c>
      <c r="B295" s="58" t="s">
        <v>1146</v>
      </c>
      <c r="C295" s="148" t="s">
        <v>1156</v>
      </c>
      <c r="D295" s="58" t="s">
        <v>13</v>
      </c>
      <c r="E295" s="58"/>
      <c r="F295" s="58"/>
      <c r="G295" s="58"/>
      <c r="H295" s="30" t="s">
        <v>1113</v>
      </c>
      <c r="I295" s="272">
        <v>768</v>
      </c>
      <c r="J295" s="212">
        <v>43455</v>
      </c>
      <c r="K295" s="158">
        <v>3</v>
      </c>
      <c r="L295" s="158">
        <v>3</v>
      </c>
      <c r="M295" s="158"/>
      <c r="N295" s="158"/>
      <c r="O295" s="158">
        <v>3</v>
      </c>
      <c r="P295" s="158">
        <v>197368433</v>
      </c>
      <c r="Q295" s="158"/>
      <c r="R295" s="158"/>
      <c r="S295" s="158"/>
      <c r="T295" s="586"/>
      <c r="U295" s="158"/>
      <c r="V295" s="158"/>
      <c r="W295" s="158"/>
      <c r="X295" s="158"/>
      <c r="Y295" s="94"/>
      <c r="Z295" s="69"/>
      <c r="AA295" s="69"/>
      <c r="AB295" s="69"/>
      <c r="AC295" s="69"/>
      <c r="AD295" s="158"/>
      <c r="AE295" s="158">
        <f t="shared" si="43"/>
        <v>197368433</v>
      </c>
      <c r="AF295" s="158"/>
      <c r="AG295" s="94">
        <v>0</v>
      </c>
      <c r="AH295" s="94"/>
      <c r="AI295" s="94"/>
      <c r="AJ295" s="158">
        <f>AE295+AG295</f>
        <v>197368433</v>
      </c>
      <c r="AK295" s="158">
        <v>877</v>
      </c>
      <c r="AL295" s="158">
        <v>10</v>
      </c>
      <c r="AM295" s="158">
        <v>3</v>
      </c>
      <c r="AN295" s="158"/>
      <c r="AO295" s="158"/>
      <c r="AP295" s="158"/>
      <c r="AQ295" s="158"/>
      <c r="AR295" s="158"/>
      <c r="AS295" s="2">
        <v>0</v>
      </c>
      <c r="AT295" s="58" t="s">
        <v>521</v>
      </c>
      <c r="AU295" s="104" t="s">
        <v>1297</v>
      </c>
      <c r="AV295" s="158"/>
      <c r="AW295" s="158"/>
      <c r="AX295" s="158"/>
      <c r="AY295" s="158"/>
      <c r="AZ295" s="158"/>
      <c r="BA295" s="158"/>
      <c r="BB295" s="69"/>
      <c r="BC295" s="69"/>
      <c r="BD295" s="271"/>
      <c r="BE295" s="271">
        <v>2019</v>
      </c>
      <c r="BF295" s="271">
        <v>2020</v>
      </c>
    </row>
    <row r="296" spans="1:58" s="204" customFormat="1" ht="18" hidden="1" customHeight="1">
      <c r="A296" s="248" t="s">
        <v>505</v>
      </c>
      <c r="B296" s="58" t="s">
        <v>139</v>
      </c>
      <c r="C296" s="148" t="s">
        <v>1340</v>
      </c>
      <c r="D296" s="251" t="s">
        <v>105</v>
      </c>
      <c r="E296" s="251"/>
      <c r="F296" s="251"/>
      <c r="G296" s="251"/>
      <c r="H296" s="30" t="s">
        <v>1113</v>
      </c>
      <c r="I296" s="82">
        <v>865</v>
      </c>
      <c r="J296" s="212">
        <v>43462</v>
      </c>
      <c r="K296" s="158">
        <v>22</v>
      </c>
      <c r="L296" s="158">
        <v>22</v>
      </c>
      <c r="M296" s="158"/>
      <c r="N296" s="158"/>
      <c r="O296" s="158"/>
      <c r="P296" s="158">
        <v>3328293730</v>
      </c>
      <c r="Q296" s="158"/>
      <c r="R296" s="158"/>
      <c r="S296" s="158"/>
      <c r="T296" s="586"/>
      <c r="U296" s="158"/>
      <c r="V296" s="158"/>
      <c r="W296" s="158"/>
      <c r="X296" s="158"/>
      <c r="Y296" s="94"/>
      <c r="Z296" s="158"/>
      <c r="AA296" s="92"/>
      <c r="AB296" s="92"/>
      <c r="AC296" s="92">
        <v>3328293730</v>
      </c>
      <c r="AD296" s="158"/>
      <c r="AE296" s="158">
        <f>P296-T296-Y296-AC296</f>
        <v>0</v>
      </c>
      <c r="AF296" s="158"/>
      <c r="AG296" s="94">
        <v>0</v>
      </c>
      <c r="AH296" s="94"/>
      <c r="AI296" s="94"/>
      <c r="AJ296" s="158">
        <f t="shared" ref="AJ296:AJ298" si="45">AE296+AG296</f>
        <v>0</v>
      </c>
      <c r="AK296" s="158">
        <v>877</v>
      </c>
      <c r="AL296" s="158">
        <v>20</v>
      </c>
      <c r="AM296" s="158"/>
      <c r="AN296" s="158"/>
      <c r="AO296" s="158"/>
      <c r="AP296" s="158"/>
      <c r="AQ296" s="11"/>
      <c r="AR296" s="158"/>
      <c r="AS296" s="2">
        <v>0</v>
      </c>
      <c r="AT296" s="58" t="s">
        <v>687</v>
      </c>
      <c r="AU296" s="104" t="s">
        <v>1700</v>
      </c>
      <c r="AV296" s="158"/>
      <c r="AW296" s="158"/>
      <c r="AX296" s="158"/>
      <c r="AY296" s="158"/>
      <c r="AZ296" s="158"/>
      <c r="BA296" s="158"/>
      <c r="BB296" s="69"/>
      <c r="BC296" s="69">
        <v>22</v>
      </c>
      <c r="BD296" s="271" t="s">
        <v>1706</v>
      </c>
      <c r="BE296" s="271">
        <v>2019</v>
      </c>
      <c r="BF296" s="271"/>
    </row>
    <row r="297" spans="1:58" s="204" customFormat="1" ht="18" customHeight="1">
      <c r="A297" s="160" t="s">
        <v>505</v>
      </c>
      <c r="B297" s="58" t="s">
        <v>139</v>
      </c>
      <c r="C297" s="148" t="s">
        <v>1340</v>
      </c>
      <c r="D297" s="58" t="s">
        <v>105</v>
      </c>
      <c r="E297" s="58"/>
      <c r="F297" s="58"/>
      <c r="G297" s="58"/>
      <c r="H297" s="30" t="s">
        <v>1113</v>
      </c>
      <c r="I297" s="82">
        <v>865</v>
      </c>
      <c r="J297" s="212">
        <v>43462</v>
      </c>
      <c r="K297" s="158">
        <f>79-22</f>
        <v>57</v>
      </c>
      <c r="L297" s="158">
        <v>57</v>
      </c>
      <c r="M297" s="158"/>
      <c r="N297" s="158">
        <v>57</v>
      </c>
      <c r="O297" s="158"/>
      <c r="P297" s="158">
        <v>4274481870</v>
      </c>
      <c r="Q297" s="158"/>
      <c r="R297" s="158"/>
      <c r="S297" s="158"/>
      <c r="T297" s="586">
        <v>2304491789</v>
      </c>
      <c r="U297" s="158">
        <v>20</v>
      </c>
      <c r="V297" s="311">
        <v>43617</v>
      </c>
      <c r="W297" s="311"/>
      <c r="X297" s="311"/>
      <c r="Y297" s="94">
        <v>1969990081</v>
      </c>
      <c r="Z297" s="158">
        <v>20</v>
      </c>
      <c r="AA297" s="311">
        <v>43739</v>
      </c>
      <c r="AB297" s="311"/>
      <c r="AC297" s="158"/>
      <c r="AD297" s="158"/>
      <c r="AE297" s="158">
        <f t="shared" si="43"/>
        <v>0</v>
      </c>
      <c r="AF297" s="158"/>
      <c r="AG297" s="94">
        <v>0</v>
      </c>
      <c r="AH297" s="94"/>
      <c r="AI297" s="94"/>
      <c r="AJ297" s="158">
        <f t="shared" si="45"/>
        <v>0</v>
      </c>
      <c r="AK297" s="158">
        <v>877</v>
      </c>
      <c r="AL297" s="158">
        <v>20</v>
      </c>
      <c r="AM297" s="158"/>
      <c r="AN297" s="158">
        <v>57</v>
      </c>
      <c r="AO297" s="158"/>
      <c r="AP297" s="158"/>
      <c r="AQ297" s="158"/>
      <c r="AR297" s="158"/>
      <c r="AS297" s="2">
        <v>0.57040000000000002</v>
      </c>
      <c r="AT297" s="58" t="s">
        <v>38</v>
      </c>
      <c r="AU297" s="386"/>
      <c r="AV297" s="158"/>
      <c r="AW297" s="158"/>
      <c r="AX297" s="158"/>
      <c r="AY297" s="158"/>
      <c r="AZ297" s="158"/>
      <c r="BA297" s="158"/>
      <c r="BB297" s="69"/>
      <c r="BC297" s="69"/>
      <c r="BD297" s="271"/>
      <c r="BE297" s="271">
        <v>2019</v>
      </c>
      <c r="BF297" s="271">
        <v>2020</v>
      </c>
    </row>
    <row r="298" spans="1:58" s="204" customFormat="1" ht="18" customHeight="1">
      <c r="A298" s="160" t="s">
        <v>505</v>
      </c>
      <c r="B298" s="58" t="s">
        <v>1614</v>
      </c>
      <c r="C298" s="148" t="s">
        <v>1613</v>
      </c>
      <c r="D298" s="58" t="s">
        <v>1609</v>
      </c>
      <c r="E298" s="58"/>
      <c r="F298" s="58"/>
      <c r="G298" s="58"/>
      <c r="H298" s="30" t="s">
        <v>1605</v>
      </c>
      <c r="I298" s="82">
        <v>1383</v>
      </c>
      <c r="J298" s="212">
        <v>43685</v>
      </c>
      <c r="K298" s="158"/>
      <c r="L298" s="158"/>
      <c r="M298" s="158">
        <f>45-1</f>
        <v>44</v>
      </c>
      <c r="N298" s="158">
        <v>44</v>
      </c>
      <c r="O298" s="158"/>
      <c r="P298" s="158">
        <f>3749754703-83327883</f>
        <v>3666426820</v>
      </c>
      <c r="Q298" s="158"/>
      <c r="R298" s="158"/>
      <c r="S298" s="158"/>
      <c r="T298" s="586">
        <v>1976136736</v>
      </c>
      <c r="U298" s="158">
        <v>20</v>
      </c>
      <c r="V298" s="311">
        <v>43709</v>
      </c>
      <c r="W298" s="311"/>
      <c r="X298" s="311"/>
      <c r="Y298" s="94">
        <v>1690290084</v>
      </c>
      <c r="Z298" s="158">
        <v>20</v>
      </c>
      <c r="AA298" s="311">
        <v>43800</v>
      </c>
      <c r="AB298" s="311"/>
      <c r="AC298" s="158"/>
      <c r="AD298" s="158"/>
      <c r="AE298" s="158">
        <f>P298-T298-Y298</f>
        <v>0</v>
      </c>
      <c r="AF298" s="158"/>
      <c r="AG298" s="94">
        <v>0</v>
      </c>
      <c r="AH298" s="94"/>
      <c r="AI298" s="94"/>
      <c r="AJ298" s="158">
        <f t="shared" si="45"/>
        <v>0</v>
      </c>
      <c r="AK298" s="158">
        <v>877</v>
      </c>
      <c r="AL298" s="158">
        <v>20</v>
      </c>
      <c r="AM298" s="158"/>
      <c r="AN298" s="158">
        <v>44</v>
      </c>
      <c r="AO298" s="158"/>
      <c r="AP298" s="158"/>
      <c r="AQ298" s="158"/>
      <c r="AR298" s="158"/>
      <c r="AS298" s="2">
        <v>0.55300000000000005</v>
      </c>
      <c r="AT298" s="58" t="s">
        <v>38</v>
      </c>
      <c r="AU298" s="104"/>
      <c r="AV298" s="158"/>
      <c r="AW298" s="158"/>
      <c r="AX298" s="158"/>
      <c r="AY298" s="158"/>
      <c r="AZ298" s="158"/>
      <c r="BA298" s="158"/>
      <c r="BB298" s="69"/>
      <c r="BC298" s="69"/>
      <c r="BD298" s="271"/>
      <c r="BE298" s="271">
        <v>2019</v>
      </c>
      <c r="BF298" s="271">
        <v>2020</v>
      </c>
    </row>
    <row r="299" spans="1:58" s="204" customFormat="1" ht="18" customHeight="1">
      <c r="A299" s="160" t="s">
        <v>505</v>
      </c>
      <c r="B299" s="58" t="s">
        <v>1614</v>
      </c>
      <c r="C299" s="489" t="s">
        <v>1613</v>
      </c>
      <c r="D299" s="485" t="s">
        <v>1609</v>
      </c>
      <c r="E299" s="485"/>
      <c r="F299" s="485"/>
      <c r="G299" s="485"/>
      <c r="H299" s="30" t="s">
        <v>1605</v>
      </c>
      <c r="I299" s="82">
        <v>1383</v>
      </c>
      <c r="J299" s="212">
        <v>43685</v>
      </c>
      <c r="K299" s="158"/>
      <c r="L299" s="158"/>
      <c r="M299" s="158">
        <v>1</v>
      </c>
      <c r="N299" s="158">
        <v>1</v>
      </c>
      <c r="O299" s="158"/>
      <c r="P299" s="158">
        <v>83327883</v>
      </c>
      <c r="Q299" s="158"/>
      <c r="R299" s="158"/>
      <c r="S299" s="158"/>
      <c r="T299" s="586">
        <v>44126595</v>
      </c>
      <c r="U299" s="158">
        <v>20</v>
      </c>
      <c r="V299" s="311">
        <v>43800</v>
      </c>
      <c r="W299" s="311"/>
      <c r="X299" s="311"/>
      <c r="Y299" s="625">
        <v>39201287</v>
      </c>
      <c r="Z299" s="72">
        <v>20</v>
      </c>
      <c r="AA299" s="484">
        <v>43920</v>
      </c>
      <c r="AB299" s="615"/>
      <c r="AC299" s="158"/>
      <c r="AD299" s="158"/>
      <c r="AE299" s="158">
        <f>P299-T299-Y299</f>
        <v>1</v>
      </c>
      <c r="AF299" s="158"/>
      <c r="AG299" s="94">
        <v>0</v>
      </c>
      <c r="AH299" s="94"/>
      <c r="AI299" s="94"/>
      <c r="AJ299" s="75">
        <f>AE299+AG299</f>
        <v>1</v>
      </c>
      <c r="AK299" s="158">
        <v>877</v>
      </c>
      <c r="AL299" s="158">
        <v>20</v>
      </c>
      <c r="AM299" s="72"/>
      <c r="AN299" s="72">
        <v>1</v>
      </c>
      <c r="AO299" s="158"/>
      <c r="AP299" s="158"/>
      <c r="AQ299" s="158"/>
      <c r="AR299" s="158"/>
      <c r="AS299" s="2">
        <v>0</v>
      </c>
      <c r="AT299" s="485" t="s">
        <v>38</v>
      </c>
      <c r="AU299" s="104"/>
      <c r="AV299" s="158"/>
      <c r="AW299" s="158"/>
      <c r="AX299" s="158"/>
      <c r="AY299" s="158"/>
      <c r="AZ299" s="158"/>
      <c r="BA299" s="158"/>
      <c r="BB299" s="69"/>
      <c r="BC299" s="69"/>
      <c r="BD299" s="271"/>
      <c r="BE299" s="271">
        <v>2019</v>
      </c>
      <c r="BF299" s="271">
        <v>2020</v>
      </c>
    </row>
    <row r="300" spans="1:58" s="204" customFormat="1" ht="28.5" customHeight="1">
      <c r="A300" s="160" t="s">
        <v>505</v>
      </c>
      <c r="B300" s="58" t="s">
        <v>126</v>
      </c>
      <c r="C300" s="55" t="s">
        <v>1569</v>
      </c>
      <c r="D300" s="58" t="s">
        <v>119</v>
      </c>
      <c r="E300" s="58"/>
      <c r="F300" s="58"/>
      <c r="G300" s="58"/>
      <c r="H300" s="30" t="s">
        <v>1553</v>
      </c>
      <c r="I300" s="82">
        <v>1655</v>
      </c>
      <c r="J300" s="212">
        <v>43728</v>
      </c>
      <c r="K300" s="158"/>
      <c r="L300" s="158"/>
      <c r="M300" s="158">
        <v>34</v>
      </c>
      <c r="N300" s="158">
        <v>34</v>
      </c>
      <c r="O300" s="158"/>
      <c r="P300" s="158">
        <v>2478871575</v>
      </c>
      <c r="Q300" s="158"/>
      <c r="R300" s="158"/>
      <c r="S300" s="158"/>
      <c r="T300" s="586">
        <v>1350146367</v>
      </c>
      <c r="U300" s="158">
        <v>20</v>
      </c>
      <c r="V300" s="311">
        <v>43770</v>
      </c>
      <c r="W300" s="311"/>
      <c r="X300" s="311"/>
      <c r="Y300" s="94"/>
      <c r="Z300" s="158"/>
      <c r="AA300" s="158"/>
      <c r="AB300" s="158"/>
      <c r="AC300" s="158"/>
      <c r="AD300" s="158"/>
      <c r="AE300" s="158">
        <f>P300-T300-Y300-AG300</f>
        <v>0</v>
      </c>
      <c r="AF300" s="158"/>
      <c r="AG300" s="158">
        <f>P300-T300-Y300</f>
        <v>1128725208</v>
      </c>
      <c r="AH300" s="158"/>
      <c r="AI300" s="158"/>
      <c r="AJ300" s="158">
        <f t="shared" ref="AJ300:AJ302" si="46">AE300+AG300</f>
        <v>1128725208</v>
      </c>
      <c r="AK300" s="158">
        <v>877</v>
      </c>
      <c r="AL300" s="158">
        <v>20</v>
      </c>
      <c r="AM300" s="158"/>
      <c r="AN300" s="158">
        <v>34</v>
      </c>
      <c r="AO300" s="158"/>
      <c r="AP300" s="158"/>
      <c r="AQ300" s="158"/>
      <c r="AR300" s="158"/>
      <c r="AS300" s="2">
        <v>0</v>
      </c>
      <c r="AT300" s="58" t="s">
        <v>38</v>
      </c>
      <c r="AU300" s="104" t="s">
        <v>1565</v>
      </c>
      <c r="AV300" s="158"/>
      <c r="AW300" s="158"/>
      <c r="AX300" s="158"/>
      <c r="AY300" s="158"/>
      <c r="AZ300" s="158"/>
      <c r="BA300" s="158"/>
      <c r="BB300" s="69"/>
      <c r="BC300" s="69"/>
      <c r="BD300" s="271"/>
      <c r="BE300" s="271">
        <v>2019</v>
      </c>
      <c r="BF300" s="271">
        <v>2020</v>
      </c>
    </row>
    <row r="301" spans="1:58" s="204" customFormat="1" ht="18" customHeight="1">
      <c r="A301" s="160" t="s">
        <v>505</v>
      </c>
      <c r="B301" s="58" t="s">
        <v>139</v>
      </c>
      <c r="C301" s="489" t="s">
        <v>1570</v>
      </c>
      <c r="D301" s="485" t="s">
        <v>105</v>
      </c>
      <c r="E301" s="485"/>
      <c r="F301" s="485"/>
      <c r="G301" s="485"/>
      <c r="H301" s="30" t="s">
        <v>1553</v>
      </c>
      <c r="I301" s="82">
        <v>1669</v>
      </c>
      <c r="J301" s="212">
        <v>43731</v>
      </c>
      <c r="K301" s="158"/>
      <c r="L301" s="158"/>
      <c r="M301" s="158">
        <v>41</v>
      </c>
      <c r="N301" s="158">
        <v>41</v>
      </c>
      <c r="O301" s="158"/>
      <c r="P301" s="158">
        <v>3407928664</v>
      </c>
      <c r="Q301" s="158"/>
      <c r="R301" s="158"/>
      <c r="S301" s="158"/>
      <c r="T301" s="586">
        <v>1864377992</v>
      </c>
      <c r="U301" s="158">
        <v>20</v>
      </c>
      <c r="V301" s="311">
        <v>43739</v>
      </c>
      <c r="W301" s="311"/>
      <c r="X301" s="311"/>
      <c r="Y301" s="610">
        <v>1543550672</v>
      </c>
      <c r="Z301" s="72">
        <v>20</v>
      </c>
      <c r="AA301" s="484">
        <v>43951</v>
      </c>
      <c r="AB301" s="484"/>
      <c r="AC301" s="158"/>
      <c r="AD301" s="158"/>
      <c r="AE301" s="158">
        <f>P301-T301-Y301-AG301</f>
        <v>0</v>
      </c>
      <c r="AF301" s="158"/>
      <c r="AG301" s="158">
        <f>P301-T301-Y301</f>
        <v>0</v>
      </c>
      <c r="AH301" s="158"/>
      <c r="AI301" s="158"/>
      <c r="AJ301" s="158">
        <f t="shared" si="46"/>
        <v>0</v>
      </c>
      <c r="AK301" s="158">
        <v>877</v>
      </c>
      <c r="AL301" s="158">
        <v>20</v>
      </c>
      <c r="AM301" s="158"/>
      <c r="AN301" s="72">
        <v>41</v>
      </c>
      <c r="AO301" s="158"/>
      <c r="AP301" s="158"/>
      <c r="AQ301" s="158"/>
      <c r="AR301" s="158"/>
      <c r="AS301" s="493">
        <v>0</v>
      </c>
      <c r="AT301" s="485" t="s">
        <v>38</v>
      </c>
      <c r="AU301" s="104" t="s">
        <v>1565</v>
      </c>
      <c r="AV301" s="158"/>
      <c r="AW301" s="158"/>
      <c r="AX301" s="158"/>
      <c r="AY301" s="158"/>
      <c r="AZ301" s="158"/>
      <c r="BA301" s="158"/>
      <c r="BB301" s="69"/>
      <c r="BC301" s="69"/>
      <c r="BD301" s="271"/>
      <c r="BE301" s="271">
        <v>2019</v>
      </c>
      <c r="BF301" s="271">
        <v>2020</v>
      </c>
    </row>
    <row r="302" spans="1:58" s="204" customFormat="1" ht="25.5" customHeight="1">
      <c r="A302" s="160" t="s">
        <v>505</v>
      </c>
      <c r="B302" s="58" t="s">
        <v>123</v>
      </c>
      <c r="C302" s="486" t="s">
        <v>1571</v>
      </c>
      <c r="D302" s="485" t="s">
        <v>1572</v>
      </c>
      <c r="E302" s="485"/>
      <c r="F302" s="485"/>
      <c r="G302" s="485"/>
      <c r="H302" s="30" t="s">
        <v>1553</v>
      </c>
      <c r="I302" s="238">
        <v>1668</v>
      </c>
      <c r="J302" s="212">
        <v>43731</v>
      </c>
      <c r="K302" s="158"/>
      <c r="L302" s="158"/>
      <c r="M302" s="158">
        <v>34</v>
      </c>
      <c r="N302" s="5">
        <v>34</v>
      </c>
      <c r="O302" s="5"/>
      <c r="P302" s="5">
        <v>2820807302</v>
      </c>
      <c r="Q302" s="5"/>
      <c r="R302" s="158"/>
      <c r="S302" s="5"/>
      <c r="T302" s="586">
        <v>1550642778</v>
      </c>
      <c r="U302" s="5">
        <v>20</v>
      </c>
      <c r="V302" s="329">
        <v>43739</v>
      </c>
      <c r="W302" s="329"/>
      <c r="X302" s="329"/>
      <c r="Y302" s="627">
        <v>1270164524</v>
      </c>
      <c r="Z302" s="496">
        <v>20</v>
      </c>
      <c r="AA302" s="484">
        <v>43900</v>
      </c>
      <c r="AB302" s="615"/>
      <c r="AC302" s="158"/>
      <c r="AD302" s="158"/>
      <c r="AE302" s="158">
        <f>P302-T302-Y302-AG302</f>
        <v>0</v>
      </c>
      <c r="AF302" s="158"/>
      <c r="AG302" s="158">
        <f>P302-T302-Y302</f>
        <v>0</v>
      </c>
      <c r="AH302" s="158"/>
      <c r="AI302" s="158"/>
      <c r="AJ302" s="158">
        <f t="shared" si="46"/>
        <v>0</v>
      </c>
      <c r="AK302" s="158">
        <v>877</v>
      </c>
      <c r="AL302" s="158">
        <v>20</v>
      </c>
      <c r="AM302" s="158"/>
      <c r="AN302" s="72">
        <v>34</v>
      </c>
      <c r="AO302" s="158"/>
      <c r="AP302" s="158"/>
      <c r="AQ302" s="158"/>
      <c r="AR302" s="158"/>
      <c r="AS302" s="493">
        <v>0</v>
      </c>
      <c r="AT302" s="485" t="s">
        <v>38</v>
      </c>
      <c r="AU302" s="104" t="s">
        <v>1565</v>
      </c>
      <c r="AV302" s="5"/>
      <c r="AW302" s="5"/>
      <c r="AX302" s="5"/>
      <c r="AY302" s="5"/>
      <c r="AZ302" s="5"/>
      <c r="BA302" s="5"/>
      <c r="BB302" s="276"/>
      <c r="BC302" s="276"/>
      <c r="BD302" s="470"/>
      <c r="BE302" s="271">
        <v>2019</v>
      </c>
      <c r="BF302" s="271">
        <v>2020</v>
      </c>
    </row>
    <row r="303" spans="1:58" s="204" customFormat="1" ht="21" customHeight="1">
      <c r="A303" s="160" t="s">
        <v>505</v>
      </c>
      <c r="B303" s="58" t="s">
        <v>1948</v>
      </c>
      <c r="C303" s="489" t="s">
        <v>1946</v>
      </c>
      <c r="D303" s="483" t="s">
        <v>1947</v>
      </c>
      <c r="E303" s="483"/>
      <c r="F303" s="483"/>
      <c r="G303" s="483"/>
      <c r="H303" s="30" t="s">
        <v>1920</v>
      </c>
      <c r="I303" s="238">
        <v>2044</v>
      </c>
      <c r="J303" s="212">
        <v>43797</v>
      </c>
      <c r="K303" s="269"/>
      <c r="L303" s="374"/>
      <c r="M303" s="158">
        <v>41</v>
      </c>
      <c r="N303" s="158">
        <v>41</v>
      </c>
      <c r="O303" s="158"/>
      <c r="P303" s="158">
        <v>3287294785</v>
      </c>
      <c r="Q303" s="269"/>
      <c r="R303" s="158"/>
      <c r="S303" s="269"/>
      <c r="T303" s="624">
        <v>1793008244</v>
      </c>
      <c r="U303" s="496">
        <v>10</v>
      </c>
      <c r="V303" s="488">
        <v>43889</v>
      </c>
      <c r="W303" s="488"/>
      <c r="X303" s="488"/>
      <c r="Y303" s="268"/>
      <c r="Z303" s="268"/>
      <c r="AA303" s="268"/>
      <c r="AB303" s="619"/>
      <c r="AC303" s="268"/>
      <c r="AD303" s="158">
        <v>10</v>
      </c>
      <c r="AE303" s="158">
        <v>1793008244</v>
      </c>
      <c r="AF303" s="158"/>
      <c r="AG303" s="158">
        <v>1494286541</v>
      </c>
      <c r="AH303" s="158"/>
      <c r="AI303" s="158"/>
      <c r="AJ303" s="158">
        <f>AE303+AG303</f>
        <v>3287294785</v>
      </c>
      <c r="AK303" s="158">
        <v>877</v>
      </c>
      <c r="AL303" s="158">
        <v>10</v>
      </c>
      <c r="AM303" s="72"/>
      <c r="AN303" s="72">
        <v>41</v>
      </c>
      <c r="AO303" s="471"/>
      <c r="AP303" s="471"/>
      <c r="AQ303" s="471"/>
      <c r="AR303" s="471"/>
      <c r="AS303" s="493">
        <v>0</v>
      </c>
      <c r="AT303" s="485" t="s">
        <v>38</v>
      </c>
      <c r="AU303" s="104" t="s">
        <v>1565</v>
      </c>
      <c r="AV303" s="268"/>
      <c r="AW303" s="268"/>
      <c r="AX303" s="268"/>
      <c r="AY303" s="268"/>
      <c r="AZ303" s="268"/>
      <c r="BA303" s="268"/>
      <c r="BB303" s="268"/>
      <c r="BC303" s="268"/>
      <c r="BD303" s="268"/>
      <c r="BE303" s="271">
        <v>2019</v>
      </c>
      <c r="BF303" s="271">
        <v>2020</v>
      </c>
    </row>
    <row r="304" spans="1:58" s="204" customFormat="1" ht="25.5" customHeight="1">
      <c r="A304" s="160" t="s">
        <v>505</v>
      </c>
      <c r="B304" s="58" t="s">
        <v>1948</v>
      </c>
      <c r="C304" s="526" t="s">
        <v>2268</v>
      </c>
      <c r="D304" s="548" t="s">
        <v>569</v>
      </c>
      <c r="E304" s="528"/>
      <c r="F304" s="558">
        <v>4</v>
      </c>
      <c r="G304" s="558"/>
      <c r="H304" s="533" t="s">
        <v>2236</v>
      </c>
      <c r="I304" s="559" t="s">
        <v>2269</v>
      </c>
      <c r="J304" s="549" t="s">
        <v>2270</v>
      </c>
      <c r="K304" s="529"/>
      <c r="L304" s="530"/>
      <c r="M304" s="61"/>
      <c r="N304" s="604">
        <v>59</v>
      </c>
      <c r="O304" s="61"/>
      <c r="P304" s="524">
        <f>(2360630184+1941171684)</f>
        <v>4301801868</v>
      </c>
      <c r="Q304" s="529"/>
      <c r="R304" s="61"/>
      <c r="S304" s="529"/>
      <c r="T304" s="586">
        <v>2360630184</v>
      </c>
      <c r="U304" s="556">
        <v>20</v>
      </c>
      <c r="V304" s="557">
        <v>43951</v>
      </c>
      <c r="W304" s="557"/>
      <c r="X304" s="557"/>
      <c r="Y304" s="531"/>
      <c r="Z304" s="521">
        <v>20</v>
      </c>
      <c r="AA304" s="268"/>
      <c r="AB304" s="268"/>
      <c r="AC304" s="268"/>
      <c r="AD304" s="158">
        <v>20</v>
      </c>
      <c r="AE304" s="158"/>
      <c r="AF304" s="61"/>
      <c r="AG304" s="61"/>
      <c r="AH304" s="61">
        <v>4301801868</v>
      </c>
      <c r="AI304" s="61"/>
      <c r="AJ304" s="61">
        <f>(AH304-Q304-T304-Y304)</f>
        <v>1941171684</v>
      </c>
      <c r="AK304" s="61">
        <v>877</v>
      </c>
      <c r="AL304" s="61">
        <v>20</v>
      </c>
      <c r="AM304" s="61"/>
      <c r="AN304" s="524">
        <v>59</v>
      </c>
      <c r="AO304" s="532"/>
      <c r="AP304" s="532"/>
      <c r="AQ304" s="532"/>
      <c r="AR304" s="532"/>
      <c r="AS304" s="493">
        <v>0</v>
      </c>
      <c r="AT304" s="485" t="s">
        <v>38</v>
      </c>
      <c r="AU304" s="462" t="s">
        <v>2260</v>
      </c>
      <c r="AV304" s="531"/>
      <c r="AW304" s="531"/>
      <c r="AX304" s="531"/>
      <c r="AY304" s="531"/>
      <c r="AZ304" s="531"/>
      <c r="BA304" s="531"/>
      <c r="BB304" s="531"/>
      <c r="BC304" s="531"/>
      <c r="BD304" s="531"/>
      <c r="BE304" s="464"/>
      <c r="BF304" s="464">
        <v>2020</v>
      </c>
    </row>
    <row r="305" spans="1:58 16224:16373" ht="15" customHeight="1">
      <c r="A305" s="371" t="s">
        <v>506</v>
      </c>
      <c r="B305" s="371"/>
      <c r="C305" s="371"/>
      <c r="D305" s="371"/>
      <c r="E305" s="371"/>
      <c r="F305" s="371"/>
      <c r="G305" s="371"/>
      <c r="H305" s="371"/>
      <c r="I305" s="371"/>
      <c r="J305" s="371"/>
      <c r="K305" s="371">
        <f>SUM(K306:K336)</f>
        <v>352</v>
      </c>
      <c r="L305" s="370">
        <f>SUM(L306:L336)</f>
        <v>504</v>
      </c>
      <c r="M305" s="370">
        <f>SUM(M306:M336)</f>
        <v>196</v>
      </c>
      <c r="N305" s="424">
        <f>SUM(N306:N337)</f>
        <v>324</v>
      </c>
      <c r="O305" s="370">
        <f>SUM(O306:O336)</f>
        <v>0</v>
      </c>
      <c r="P305" s="371"/>
      <c r="Q305" s="371"/>
      <c r="R305" s="371"/>
      <c r="S305" s="371"/>
      <c r="T305" s="586"/>
      <c r="U305" s="371"/>
      <c r="V305" s="371"/>
      <c r="W305" s="371"/>
      <c r="X305" s="371"/>
      <c r="Y305" s="371"/>
      <c r="Z305" s="371"/>
      <c r="AA305" s="371"/>
      <c r="AB305" s="371"/>
      <c r="AC305" s="371"/>
      <c r="AD305" s="371"/>
      <c r="AE305" s="371"/>
      <c r="AF305" s="371"/>
      <c r="AG305" s="371"/>
      <c r="AH305" s="371"/>
      <c r="AI305" s="371"/>
      <c r="AJ305" s="371"/>
      <c r="AK305" s="371"/>
      <c r="AL305" s="371"/>
      <c r="AM305" s="424">
        <f t="shared" ref="AM305:AR305" si="47">SUM(AM306:AM337)</f>
        <v>33</v>
      </c>
      <c r="AN305" s="424">
        <f t="shared" si="47"/>
        <v>291</v>
      </c>
      <c r="AO305" s="424">
        <f t="shared" si="47"/>
        <v>0</v>
      </c>
      <c r="AP305" s="424">
        <f t="shared" si="47"/>
        <v>0</v>
      </c>
      <c r="AQ305" s="424">
        <f t="shared" si="47"/>
        <v>0</v>
      </c>
      <c r="AR305" s="424">
        <f t="shared" si="47"/>
        <v>0</v>
      </c>
      <c r="AS305" s="371"/>
      <c r="AT305" s="371"/>
      <c r="AU305" s="385"/>
      <c r="AV305" s="370">
        <f>SUM(AV306:AV336)</f>
        <v>230</v>
      </c>
      <c r="AW305" s="370">
        <f>SUM(AW306:AW336)</f>
        <v>0</v>
      </c>
      <c r="AX305" s="370">
        <f>SUM(AX306:AX336)</f>
        <v>59</v>
      </c>
      <c r="AY305" s="370">
        <f>SUM(AY306:AY336)</f>
        <v>428</v>
      </c>
      <c r="AZ305" s="371"/>
      <c r="BA305" s="371">
        <f>SUM(BA306:BA336)</f>
        <v>0</v>
      </c>
      <c r="BB305" s="370">
        <f>SUM(BB306:BB336)</f>
        <v>487</v>
      </c>
      <c r="BC305" s="371">
        <f>SUM(BC306:BC336)</f>
        <v>3</v>
      </c>
      <c r="BD305" s="371"/>
      <c r="BE305" s="370">
        <v>2019</v>
      </c>
      <c r="BF305" s="370">
        <v>2020</v>
      </c>
      <c r="WYZ305" s="371"/>
      <c r="WZA305" s="371"/>
      <c r="WZB305" s="371"/>
      <c r="WZC305" s="371"/>
      <c r="WZD305" s="371"/>
      <c r="WZE305" s="370"/>
      <c r="WZF305" s="370"/>
      <c r="WZG305" s="370"/>
      <c r="WZH305" s="370"/>
      <c r="WZI305" s="370"/>
      <c r="WZJ305" s="370"/>
      <c r="WZK305" s="370"/>
      <c r="WZL305" s="370"/>
      <c r="WZM305" s="370"/>
      <c r="WZN305" s="370"/>
      <c r="XAC305" s="371"/>
      <c r="XAD305" s="371"/>
      <c r="XAE305" s="371"/>
      <c r="XAF305" s="371"/>
      <c r="XAG305" s="371"/>
      <c r="XAH305" s="370"/>
      <c r="XAI305" s="370"/>
      <c r="XBF305" s="371"/>
      <c r="XBG305" s="371"/>
      <c r="XBH305" s="371"/>
      <c r="XBI305" s="371"/>
      <c r="XBJ305" s="371"/>
      <c r="XCI305" s="371"/>
      <c r="XCJ305" s="371"/>
      <c r="XCK305" s="371"/>
      <c r="XCL305" s="371"/>
      <c r="XCM305" s="371"/>
      <c r="XDL305" s="371"/>
      <c r="XDM305" s="371"/>
      <c r="XDN305" s="371"/>
      <c r="XDO305" s="371"/>
      <c r="XDP305" s="371"/>
      <c r="XEO305" s="371"/>
      <c r="XEP305" s="371"/>
      <c r="XEQ305" s="371"/>
      <c r="XER305" s="371"/>
      <c r="XES305" s="371"/>
    </row>
    <row r="306" spans="1:58 16224:16373" s="204" customFormat="1" ht="15" hidden="1" customHeight="1">
      <c r="A306" s="160" t="s">
        <v>506</v>
      </c>
      <c r="B306" s="58" t="s">
        <v>141</v>
      </c>
      <c r="C306" s="148" t="s">
        <v>140</v>
      </c>
      <c r="D306" s="33" t="s">
        <v>97</v>
      </c>
      <c r="E306" s="33"/>
      <c r="F306" s="33"/>
      <c r="G306" s="33"/>
      <c r="H306" s="30"/>
      <c r="I306" s="58"/>
      <c r="J306" s="212"/>
      <c r="K306" s="158"/>
      <c r="L306" s="158"/>
      <c r="M306" s="158"/>
      <c r="N306" s="158"/>
      <c r="O306" s="158"/>
      <c r="P306" s="158"/>
      <c r="Q306" s="158"/>
      <c r="R306" s="158"/>
      <c r="S306" s="158"/>
      <c r="T306" s="586"/>
      <c r="U306" s="158"/>
      <c r="V306" s="158"/>
      <c r="W306" s="158"/>
      <c r="X306" s="158"/>
      <c r="Y306" s="94"/>
      <c r="Z306" s="158"/>
      <c r="AA306" s="158"/>
      <c r="AB306" s="158"/>
      <c r="AC306" s="158"/>
      <c r="AD306" s="158"/>
      <c r="AE306" s="158"/>
      <c r="AF306" s="158"/>
      <c r="AG306" s="158"/>
      <c r="AH306" s="158"/>
      <c r="AI306" s="158"/>
      <c r="AJ306" s="158"/>
      <c r="AK306" s="158"/>
      <c r="AL306" s="158"/>
      <c r="AM306" s="158"/>
      <c r="AN306" s="158"/>
      <c r="AO306" s="158"/>
      <c r="AP306" s="158"/>
      <c r="AQ306" s="158"/>
      <c r="AR306" s="158"/>
      <c r="AS306" s="2"/>
      <c r="AT306" s="58"/>
      <c r="AU306" s="102"/>
      <c r="AV306" s="158">
        <v>71</v>
      </c>
      <c r="AW306" s="158"/>
      <c r="AX306" s="158"/>
      <c r="AY306" s="158"/>
      <c r="AZ306" s="158"/>
      <c r="BA306" s="158"/>
      <c r="BB306" s="69"/>
      <c r="BC306" s="69"/>
      <c r="BD306" s="271">
        <v>2016</v>
      </c>
      <c r="BE306" s="271"/>
      <c r="BF306" s="271"/>
    </row>
    <row r="307" spans="1:58 16224:16373" s="204" customFormat="1" ht="15" hidden="1" customHeight="1">
      <c r="A307" s="160" t="s">
        <v>506</v>
      </c>
      <c r="B307" s="58" t="s">
        <v>143</v>
      </c>
      <c r="C307" s="148" t="s">
        <v>142</v>
      </c>
      <c r="D307" s="33" t="s">
        <v>16</v>
      </c>
      <c r="E307" s="33"/>
      <c r="F307" s="33"/>
      <c r="G307" s="33"/>
      <c r="H307" s="30"/>
      <c r="I307" s="58"/>
      <c r="J307" s="212"/>
      <c r="K307" s="158"/>
      <c r="L307" s="158"/>
      <c r="M307" s="158"/>
      <c r="N307" s="158"/>
      <c r="O307" s="158"/>
      <c r="P307" s="158"/>
      <c r="Q307" s="158"/>
      <c r="R307" s="158"/>
      <c r="S307" s="158"/>
      <c r="T307" s="586"/>
      <c r="U307" s="158"/>
      <c r="V307" s="158"/>
      <c r="W307" s="158"/>
      <c r="X307" s="158"/>
      <c r="Y307" s="94"/>
      <c r="Z307" s="158"/>
      <c r="AA307" s="158"/>
      <c r="AB307" s="158"/>
      <c r="AC307" s="158"/>
      <c r="AD307" s="158"/>
      <c r="AE307" s="158"/>
      <c r="AF307" s="158"/>
      <c r="AG307" s="158"/>
      <c r="AH307" s="158"/>
      <c r="AI307" s="158"/>
      <c r="AJ307" s="158"/>
      <c r="AK307" s="158"/>
      <c r="AL307" s="158"/>
      <c r="AM307" s="158"/>
      <c r="AN307" s="158"/>
      <c r="AO307" s="158"/>
      <c r="AP307" s="158"/>
      <c r="AQ307" s="158"/>
      <c r="AR307" s="158"/>
      <c r="AS307" s="2"/>
      <c r="AT307" s="58"/>
      <c r="AU307" s="106"/>
      <c r="AV307" s="158">
        <v>40</v>
      </c>
      <c r="AW307" s="158"/>
      <c r="AX307" s="158"/>
      <c r="AY307" s="158"/>
      <c r="AZ307" s="158"/>
      <c r="BA307" s="158"/>
      <c r="BB307" s="69"/>
      <c r="BC307" s="69"/>
      <c r="BD307" s="271">
        <v>2016</v>
      </c>
      <c r="BE307" s="271"/>
      <c r="BF307" s="271"/>
    </row>
    <row r="308" spans="1:58 16224:16373" s="204" customFormat="1" ht="15" hidden="1" customHeight="1">
      <c r="A308" s="160" t="s">
        <v>506</v>
      </c>
      <c r="B308" s="58" t="s">
        <v>143</v>
      </c>
      <c r="C308" s="148" t="s">
        <v>144</v>
      </c>
      <c r="D308" s="33" t="s">
        <v>16</v>
      </c>
      <c r="E308" s="33"/>
      <c r="F308" s="33"/>
      <c r="G308" s="33"/>
      <c r="H308" s="30"/>
      <c r="I308" s="58"/>
      <c r="J308" s="212"/>
      <c r="K308" s="158"/>
      <c r="L308" s="158"/>
      <c r="M308" s="158"/>
      <c r="N308" s="158"/>
      <c r="O308" s="158"/>
      <c r="P308" s="158"/>
      <c r="Q308" s="158"/>
      <c r="R308" s="158"/>
      <c r="S308" s="158"/>
      <c r="T308" s="586"/>
      <c r="U308" s="158"/>
      <c r="V308" s="158"/>
      <c r="W308" s="158"/>
      <c r="X308" s="158"/>
      <c r="Y308" s="94"/>
      <c r="Z308" s="158"/>
      <c r="AA308" s="158"/>
      <c r="AB308" s="158"/>
      <c r="AC308" s="158"/>
      <c r="AD308" s="158"/>
      <c r="AE308" s="158"/>
      <c r="AF308" s="158"/>
      <c r="AG308" s="158"/>
      <c r="AH308" s="158"/>
      <c r="AI308" s="158"/>
      <c r="AJ308" s="158"/>
      <c r="AK308" s="158"/>
      <c r="AL308" s="158"/>
      <c r="AM308" s="158"/>
      <c r="AN308" s="158"/>
      <c r="AO308" s="158"/>
      <c r="AP308" s="158"/>
      <c r="AQ308" s="158"/>
      <c r="AR308" s="158"/>
      <c r="AS308" s="2"/>
      <c r="AT308" s="58"/>
      <c r="AU308" s="106"/>
      <c r="AV308" s="158">
        <v>36</v>
      </c>
      <c r="AW308" s="158"/>
      <c r="AX308" s="158"/>
      <c r="AY308" s="158"/>
      <c r="AZ308" s="158"/>
      <c r="BA308" s="158"/>
      <c r="BB308" s="69"/>
      <c r="BC308" s="69"/>
      <c r="BD308" s="271">
        <v>2016</v>
      </c>
      <c r="BE308" s="271"/>
      <c r="BF308" s="271"/>
    </row>
    <row r="309" spans="1:58 16224:16373" s="204" customFormat="1" ht="24.75" customHeight="1">
      <c r="A309" s="160" t="s">
        <v>506</v>
      </c>
      <c r="B309" s="58" t="s">
        <v>141</v>
      </c>
      <c r="C309" s="55" t="s">
        <v>145</v>
      </c>
      <c r="D309" s="33" t="s">
        <v>146</v>
      </c>
      <c r="E309" s="33"/>
      <c r="F309" s="33"/>
      <c r="G309" s="33"/>
      <c r="H309" s="30" t="s">
        <v>653</v>
      </c>
      <c r="I309" s="30">
        <v>2949</v>
      </c>
      <c r="J309" s="212">
        <v>42344</v>
      </c>
      <c r="K309" s="158"/>
      <c r="L309" s="158"/>
      <c r="M309" s="158">
        <v>25</v>
      </c>
      <c r="N309" s="158">
        <v>25</v>
      </c>
      <c r="O309" s="158"/>
      <c r="P309" s="94">
        <v>1386180886</v>
      </c>
      <c r="Q309" s="94">
        <v>242970000</v>
      </c>
      <c r="R309" s="158"/>
      <c r="S309" s="158"/>
      <c r="T309" s="586"/>
      <c r="U309" s="158"/>
      <c r="V309" s="158"/>
      <c r="W309" s="158"/>
      <c r="X309" s="158"/>
      <c r="Y309" s="94"/>
      <c r="Z309" s="158"/>
      <c r="AA309" s="158"/>
      <c r="AB309" s="158"/>
      <c r="AC309" s="298"/>
      <c r="AD309" s="158"/>
      <c r="AE309" s="158">
        <f>P309-Q309-T309-Y309-1143210886</f>
        <v>0</v>
      </c>
      <c r="AF309" s="158"/>
      <c r="AG309" s="158">
        <v>1143210886</v>
      </c>
      <c r="AH309" s="158"/>
      <c r="AI309" s="158"/>
      <c r="AJ309" s="158">
        <f>AE309+AG309</f>
        <v>1143210886</v>
      </c>
      <c r="AK309" s="158">
        <v>877</v>
      </c>
      <c r="AL309" s="158">
        <v>10</v>
      </c>
      <c r="AM309" s="158">
        <v>25</v>
      </c>
      <c r="AN309" s="158"/>
      <c r="AO309" s="158"/>
      <c r="AP309" s="158"/>
      <c r="AQ309" s="158"/>
      <c r="AR309" s="158"/>
      <c r="AS309" s="2">
        <v>0</v>
      </c>
      <c r="AT309" s="58" t="s">
        <v>521</v>
      </c>
      <c r="AU309" s="104"/>
      <c r="AV309" s="158" t="s">
        <v>0</v>
      </c>
      <c r="AW309" s="158"/>
      <c r="AX309" s="158"/>
      <c r="AY309" s="158"/>
      <c r="AZ309" s="158"/>
      <c r="BA309" s="158"/>
      <c r="BB309" s="69"/>
      <c r="BC309" s="69"/>
      <c r="BD309" s="271"/>
      <c r="BE309" s="271">
        <v>2019</v>
      </c>
      <c r="BF309" s="271">
        <v>2020</v>
      </c>
    </row>
    <row r="310" spans="1:58 16224:16373" s="204" customFormat="1" ht="15" hidden="1" customHeight="1">
      <c r="A310" s="160" t="s">
        <v>506</v>
      </c>
      <c r="B310" s="58" t="s">
        <v>147</v>
      </c>
      <c r="C310" s="148" t="s">
        <v>562</v>
      </c>
      <c r="D310" s="33" t="s">
        <v>7</v>
      </c>
      <c r="E310" s="33"/>
      <c r="F310" s="33"/>
      <c r="G310" s="33"/>
      <c r="H310" s="30" t="s">
        <v>658</v>
      </c>
      <c r="I310" s="30"/>
      <c r="J310" s="212"/>
      <c r="K310" s="158"/>
      <c r="L310" s="158"/>
      <c r="M310" s="158"/>
      <c r="N310" s="158"/>
      <c r="O310" s="158"/>
      <c r="P310" s="158"/>
      <c r="Q310" s="158"/>
      <c r="R310" s="158"/>
      <c r="S310" s="158"/>
      <c r="T310" s="586"/>
      <c r="U310" s="158"/>
      <c r="V310" s="158"/>
      <c r="W310" s="158"/>
      <c r="X310" s="158"/>
      <c r="Y310" s="94"/>
      <c r="Z310" s="158"/>
      <c r="AA310" s="158"/>
      <c r="AB310" s="158"/>
      <c r="AC310" s="158"/>
      <c r="AD310" s="158"/>
      <c r="AE310" s="158"/>
      <c r="AF310" s="158"/>
      <c r="AG310" s="158"/>
      <c r="AH310" s="158"/>
      <c r="AI310" s="158"/>
      <c r="AJ310" s="158"/>
      <c r="AK310" s="158"/>
      <c r="AL310" s="158"/>
      <c r="AM310" s="158"/>
      <c r="AN310" s="158"/>
      <c r="AO310" s="158"/>
      <c r="AP310" s="158"/>
      <c r="AQ310" s="158"/>
      <c r="AR310" s="158"/>
      <c r="AS310" s="2"/>
      <c r="AT310" s="58"/>
      <c r="AU310" s="106"/>
      <c r="AV310" s="158">
        <v>43</v>
      </c>
      <c r="AW310" s="158"/>
      <c r="AX310" s="158"/>
      <c r="AY310" s="158"/>
      <c r="AZ310" s="158"/>
      <c r="BA310" s="158"/>
      <c r="BB310" s="69"/>
      <c r="BC310" s="69"/>
      <c r="BD310" s="271">
        <v>2016</v>
      </c>
      <c r="BE310" s="271"/>
      <c r="BF310" s="271"/>
    </row>
    <row r="311" spans="1:58 16224:16373" s="204" customFormat="1" ht="15" hidden="1" customHeight="1">
      <c r="A311" s="160" t="s">
        <v>506</v>
      </c>
      <c r="B311" s="58" t="s">
        <v>147</v>
      </c>
      <c r="C311" s="148" t="s">
        <v>562</v>
      </c>
      <c r="D311" s="33" t="s">
        <v>7</v>
      </c>
      <c r="E311" s="33"/>
      <c r="F311" s="33"/>
      <c r="G311" s="33"/>
      <c r="H311" s="30" t="s">
        <v>664</v>
      </c>
      <c r="I311" s="30"/>
      <c r="J311" s="212"/>
      <c r="K311" s="11"/>
      <c r="L311" s="11"/>
      <c r="M311" s="11"/>
      <c r="N311" s="11"/>
      <c r="O311" s="11"/>
      <c r="P311" s="11"/>
      <c r="Q311" s="11"/>
      <c r="R311" s="158"/>
      <c r="S311" s="11"/>
      <c r="T311" s="586"/>
      <c r="U311" s="11"/>
      <c r="V311" s="11"/>
      <c r="W311" s="11"/>
      <c r="X311" s="11"/>
      <c r="Y311" s="94"/>
      <c r="Z311" s="11"/>
      <c r="AA311" s="11"/>
      <c r="AB311" s="11"/>
      <c r="AC311" s="11"/>
      <c r="AD311" s="158"/>
      <c r="AE311" s="158"/>
      <c r="AF311" s="158"/>
      <c r="AG311" s="158"/>
      <c r="AH311" s="158"/>
      <c r="AI311" s="158"/>
      <c r="AJ311" s="158"/>
      <c r="AK311" s="158"/>
      <c r="AL311" s="158"/>
      <c r="AM311" s="158">
        <f>1-1</f>
        <v>0</v>
      </c>
      <c r="AN311" s="158"/>
      <c r="AO311" s="158"/>
      <c r="AP311" s="158"/>
      <c r="AQ311" s="158"/>
      <c r="AR311" s="158"/>
      <c r="AS311" s="98">
        <v>0</v>
      </c>
      <c r="AT311" s="58" t="s">
        <v>687</v>
      </c>
      <c r="AU311" s="162" t="s">
        <v>1371</v>
      </c>
      <c r="AV311" s="158"/>
      <c r="AW311" s="158"/>
      <c r="AX311" s="158"/>
      <c r="AY311" s="158"/>
      <c r="AZ311" s="158"/>
      <c r="BA311" s="158"/>
      <c r="BB311" s="69"/>
      <c r="BC311" s="69">
        <v>1</v>
      </c>
      <c r="BD311" s="271" t="s">
        <v>1703</v>
      </c>
      <c r="BE311" s="271"/>
      <c r="BF311" s="271"/>
    </row>
    <row r="312" spans="1:58 16224:16373" s="204" customFormat="1" ht="15" hidden="1" customHeight="1">
      <c r="A312" s="160" t="s">
        <v>506</v>
      </c>
      <c r="B312" s="58" t="s">
        <v>143</v>
      </c>
      <c r="C312" s="148" t="s">
        <v>148</v>
      </c>
      <c r="D312" s="33" t="s">
        <v>16</v>
      </c>
      <c r="E312" s="33"/>
      <c r="F312" s="33"/>
      <c r="G312" s="33"/>
      <c r="H312" s="30"/>
      <c r="I312" s="58"/>
      <c r="J312" s="212"/>
      <c r="K312" s="158"/>
      <c r="L312" s="158"/>
      <c r="M312" s="158"/>
      <c r="N312" s="158"/>
      <c r="O312" s="158"/>
      <c r="P312" s="158"/>
      <c r="Q312" s="158"/>
      <c r="R312" s="158"/>
      <c r="S312" s="158"/>
      <c r="T312" s="586"/>
      <c r="U312" s="158"/>
      <c r="V312" s="158"/>
      <c r="W312" s="158"/>
      <c r="X312" s="158"/>
      <c r="Y312" s="94"/>
      <c r="Z312" s="158"/>
      <c r="AA312" s="158"/>
      <c r="AB312" s="158"/>
      <c r="AC312" s="158"/>
      <c r="AD312" s="158"/>
      <c r="AE312" s="158"/>
      <c r="AF312" s="158"/>
      <c r="AG312" s="158"/>
      <c r="AH312" s="158"/>
      <c r="AI312" s="158"/>
      <c r="AJ312" s="158"/>
      <c r="AK312" s="158"/>
      <c r="AL312" s="158"/>
      <c r="AM312" s="158"/>
      <c r="AN312" s="158"/>
      <c r="AO312" s="158"/>
      <c r="AP312" s="158"/>
      <c r="AQ312" s="158"/>
      <c r="AR312" s="158"/>
      <c r="AS312" s="2"/>
      <c r="AT312" s="58"/>
      <c r="AU312" s="106"/>
      <c r="AV312" s="158">
        <v>40</v>
      </c>
      <c r="AW312" s="158"/>
      <c r="AX312" s="158"/>
      <c r="AY312" s="158"/>
      <c r="AZ312" s="158"/>
      <c r="BA312" s="158"/>
      <c r="BB312" s="69"/>
      <c r="BC312" s="69"/>
      <c r="BD312" s="271">
        <v>2016</v>
      </c>
      <c r="BE312" s="271"/>
      <c r="BF312" s="271"/>
    </row>
    <row r="313" spans="1:58 16224:16373" s="204" customFormat="1" ht="18" hidden="1" customHeight="1">
      <c r="A313" s="160" t="s">
        <v>506</v>
      </c>
      <c r="B313" s="58" t="s">
        <v>924</v>
      </c>
      <c r="C313" s="148" t="s">
        <v>762</v>
      </c>
      <c r="D313" s="33" t="s">
        <v>758</v>
      </c>
      <c r="E313" s="33"/>
      <c r="F313" s="33"/>
      <c r="G313" s="33"/>
      <c r="H313" s="30" t="s">
        <v>715</v>
      </c>
      <c r="I313" s="30">
        <v>2561</v>
      </c>
      <c r="J313" s="212">
        <v>43049</v>
      </c>
      <c r="K313" s="51"/>
      <c r="L313" s="51">
        <v>42</v>
      </c>
      <c r="M313" s="51"/>
      <c r="N313" s="51"/>
      <c r="O313" s="51"/>
      <c r="P313" s="51"/>
      <c r="Q313" s="51"/>
      <c r="R313" s="158"/>
      <c r="S313" s="51"/>
      <c r="T313" s="586"/>
      <c r="U313" s="51"/>
      <c r="V313" s="51"/>
      <c r="W313" s="51"/>
      <c r="X313" s="51"/>
      <c r="Y313" s="94"/>
      <c r="Z313" s="81"/>
      <c r="AA313" s="81"/>
      <c r="AB313" s="81"/>
      <c r="AC313" s="81"/>
      <c r="AD313" s="158"/>
      <c r="AE313" s="158">
        <f>P313-T313-Y313</f>
        <v>0</v>
      </c>
      <c r="AF313" s="158"/>
      <c r="AG313" s="94">
        <v>0</v>
      </c>
      <c r="AH313" s="94"/>
      <c r="AI313" s="94"/>
      <c r="AJ313" s="158">
        <f t="shared" ref="AJ313:AJ315" si="48">AE313+AG313</f>
        <v>0</v>
      </c>
      <c r="AK313" s="158"/>
      <c r="AL313" s="158"/>
      <c r="AM313" s="158"/>
      <c r="AN313" s="158"/>
      <c r="AO313" s="81"/>
      <c r="AP313" s="81"/>
      <c r="AQ313" s="81"/>
      <c r="AR313" s="81"/>
      <c r="AS313" s="2">
        <v>1</v>
      </c>
      <c r="AT313" s="58" t="s">
        <v>646</v>
      </c>
      <c r="AU313" s="104"/>
      <c r="AV313" s="51"/>
      <c r="AW313" s="51"/>
      <c r="AX313" s="51"/>
      <c r="AY313" s="81">
        <v>42</v>
      </c>
      <c r="AZ313" s="81"/>
      <c r="BA313" s="81"/>
      <c r="BB313" s="220">
        <v>42</v>
      </c>
      <c r="BC313" s="220"/>
      <c r="BD313" s="271">
        <v>2019</v>
      </c>
      <c r="BE313" s="271">
        <v>2019</v>
      </c>
      <c r="BF313" s="271"/>
    </row>
    <row r="314" spans="1:58 16224:16373" s="204" customFormat="1" ht="18" hidden="1" customHeight="1">
      <c r="A314" s="160" t="s">
        <v>506</v>
      </c>
      <c r="B314" s="58" t="s">
        <v>924</v>
      </c>
      <c r="C314" s="148" t="s">
        <v>762</v>
      </c>
      <c r="D314" s="33" t="s">
        <v>758</v>
      </c>
      <c r="E314" s="33"/>
      <c r="F314" s="33"/>
      <c r="G314" s="33"/>
      <c r="H314" s="30" t="s">
        <v>715</v>
      </c>
      <c r="I314" s="30">
        <v>2561</v>
      </c>
      <c r="J314" s="212">
        <v>43049</v>
      </c>
      <c r="K314" s="51"/>
      <c r="L314" s="51">
        <v>1</v>
      </c>
      <c r="M314" s="51"/>
      <c r="N314" s="51"/>
      <c r="O314" s="51"/>
      <c r="P314" s="51"/>
      <c r="Q314" s="51"/>
      <c r="R314" s="158"/>
      <c r="S314" s="51"/>
      <c r="T314" s="586"/>
      <c r="U314" s="51"/>
      <c r="V314" s="51"/>
      <c r="W314" s="51"/>
      <c r="X314" s="51"/>
      <c r="Y314" s="94"/>
      <c r="Z314" s="81"/>
      <c r="AA314" s="81"/>
      <c r="AB314" s="81"/>
      <c r="AC314" s="81"/>
      <c r="AD314" s="158"/>
      <c r="AE314" s="158">
        <f>P314-T314-Y314</f>
        <v>0</v>
      </c>
      <c r="AF314" s="158"/>
      <c r="AG314" s="94">
        <v>0</v>
      </c>
      <c r="AH314" s="94"/>
      <c r="AI314" s="94"/>
      <c r="AJ314" s="158">
        <f t="shared" si="48"/>
        <v>0</v>
      </c>
      <c r="AK314" s="158"/>
      <c r="AL314" s="158"/>
      <c r="AM314" s="158"/>
      <c r="AN314" s="158"/>
      <c r="AO314" s="81"/>
      <c r="AP314" s="81"/>
      <c r="AQ314" s="81"/>
      <c r="AR314" s="81"/>
      <c r="AS314" s="2">
        <v>1</v>
      </c>
      <c r="AT314" s="58" t="s">
        <v>646</v>
      </c>
      <c r="AU314" s="104"/>
      <c r="AV314" s="51"/>
      <c r="AW314" s="51"/>
      <c r="AX314" s="51"/>
      <c r="AY314" s="81">
        <v>1</v>
      </c>
      <c r="AZ314" s="81"/>
      <c r="BA314" s="81"/>
      <c r="BB314" s="220">
        <v>1</v>
      </c>
      <c r="BC314" s="220"/>
      <c r="BD314" s="271">
        <v>2019</v>
      </c>
      <c r="BE314" s="271">
        <v>2019</v>
      </c>
      <c r="BF314" s="271"/>
    </row>
    <row r="315" spans="1:58 16224:16373" s="204" customFormat="1" ht="18" hidden="1" customHeight="1">
      <c r="A315" s="160" t="s">
        <v>506</v>
      </c>
      <c r="B315" s="58" t="s">
        <v>924</v>
      </c>
      <c r="C315" s="148" t="s">
        <v>763</v>
      </c>
      <c r="D315" s="33" t="s">
        <v>758</v>
      </c>
      <c r="E315" s="33"/>
      <c r="F315" s="33"/>
      <c r="G315" s="33"/>
      <c r="H315" s="30" t="s">
        <v>715</v>
      </c>
      <c r="I315" s="30">
        <v>2807</v>
      </c>
      <c r="J315" s="212">
        <v>43074</v>
      </c>
      <c r="K315" s="51"/>
      <c r="L315" s="51">
        <v>87</v>
      </c>
      <c r="M315" s="51"/>
      <c r="N315" s="51"/>
      <c r="O315" s="51"/>
      <c r="P315" s="51"/>
      <c r="Q315" s="51"/>
      <c r="R315" s="158"/>
      <c r="S315" s="51"/>
      <c r="T315" s="586"/>
      <c r="U315" s="51"/>
      <c r="V315" s="51"/>
      <c r="W315" s="51"/>
      <c r="X315" s="51"/>
      <c r="Y315" s="94"/>
      <c r="Z315" s="81"/>
      <c r="AA315" s="81"/>
      <c r="AB315" s="81"/>
      <c r="AC315" s="81"/>
      <c r="AD315" s="158"/>
      <c r="AE315" s="158">
        <f>P315-T315-Y315</f>
        <v>0</v>
      </c>
      <c r="AF315" s="158"/>
      <c r="AG315" s="94">
        <v>0</v>
      </c>
      <c r="AH315" s="94"/>
      <c r="AI315" s="94"/>
      <c r="AJ315" s="158">
        <f t="shared" si="48"/>
        <v>0</v>
      </c>
      <c r="AK315" s="158"/>
      <c r="AL315" s="158"/>
      <c r="AM315" s="158"/>
      <c r="AN315" s="158"/>
      <c r="AO315" s="81"/>
      <c r="AP315" s="81"/>
      <c r="AQ315" s="81"/>
      <c r="AR315" s="81"/>
      <c r="AS315" s="2">
        <v>1</v>
      </c>
      <c r="AT315" s="58" t="s">
        <v>646</v>
      </c>
      <c r="AU315" s="104"/>
      <c r="AV315" s="51"/>
      <c r="AW315" s="51"/>
      <c r="AX315" s="51"/>
      <c r="AY315" s="81">
        <v>87</v>
      </c>
      <c r="AZ315" s="81"/>
      <c r="BA315" s="81"/>
      <c r="BB315" s="220">
        <v>87</v>
      </c>
      <c r="BC315" s="220"/>
      <c r="BD315" s="271">
        <v>2019</v>
      </c>
      <c r="BE315" s="271">
        <v>2019</v>
      </c>
      <c r="BF315" s="271"/>
    </row>
    <row r="316" spans="1:58 16224:16373" s="204" customFormat="1" ht="15" hidden="1" customHeight="1">
      <c r="A316" s="160" t="s">
        <v>506</v>
      </c>
      <c r="B316" s="58" t="s">
        <v>836</v>
      </c>
      <c r="C316" s="148" t="s">
        <v>764</v>
      </c>
      <c r="D316" s="33" t="s">
        <v>759</v>
      </c>
      <c r="E316" s="33"/>
      <c r="F316" s="33"/>
      <c r="G316" s="33"/>
      <c r="H316" s="30" t="s">
        <v>715</v>
      </c>
      <c r="I316" s="30"/>
      <c r="J316" s="212"/>
      <c r="K316" s="51"/>
      <c r="L316" s="51"/>
      <c r="M316" s="51"/>
      <c r="N316" s="51"/>
      <c r="O316" s="51"/>
      <c r="P316" s="51"/>
      <c r="Q316" s="51"/>
      <c r="R316" s="158"/>
      <c r="S316" s="51"/>
      <c r="T316" s="586"/>
      <c r="U316" s="51"/>
      <c r="V316" s="51"/>
      <c r="W316" s="51"/>
      <c r="X316" s="51"/>
      <c r="Y316" s="94"/>
      <c r="Z316" s="51"/>
      <c r="AA316" s="51"/>
      <c r="AB316" s="51"/>
      <c r="AC316" s="51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81"/>
      <c r="AP316" s="81"/>
      <c r="AQ316" s="81"/>
      <c r="AR316" s="81"/>
      <c r="AS316" s="2">
        <v>1</v>
      </c>
      <c r="AT316" s="58" t="s">
        <v>646</v>
      </c>
      <c r="AU316" s="106"/>
      <c r="AV316" s="51"/>
      <c r="AW316" s="51"/>
      <c r="AX316" s="51">
        <v>59</v>
      </c>
      <c r="AY316" s="51"/>
      <c r="AZ316" s="51"/>
      <c r="BA316" s="158"/>
      <c r="BB316" s="69">
        <f>+AX316</f>
        <v>59</v>
      </c>
      <c r="BC316" s="69"/>
      <c r="BD316" s="271">
        <v>2018</v>
      </c>
      <c r="BE316" s="271"/>
      <c r="BF316" s="271"/>
    </row>
    <row r="317" spans="1:58 16224:16373" s="204" customFormat="1" ht="18" hidden="1" customHeight="1">
      <c r="A317" s="230" t="s">
        <v>506</v>
      </c>
      <c r="B317" s="58" t="s">
        <v>838</v>
      </c>
      <c r="C317" s="148" t="s">
        <v>837</v>
      </c>
      <c r="D317" s="33" t="s">
        <v>760</v>
      </c>
      <c r="E317" s="33"/>
      <c r="F317" s="33"/>
      <c r="G317" s="33"/>
      <c r="H317" s="30" t="s">
        <v>715</v>
      </c>
      <c r="I317" s="30">
        <v>2601</v>
      </c>
      <c r="J317" s="212">
        <v>43054</v>
      </c>
      <c r="K317" s="51"/>
      <c r="L317" s="51">
        <v>22</v>
      </c>
      <c r="M317" s="51"/>
      <c r="N317" s="51"/>
      <c r="O317" s="51"/>
      <c r="P317" s="51"/>
      <c r="Q317" s="51"/>
      <c r="R317" s="158"/>
      <c r="S317" s="51"/>
      <c r="T317" s="586"/>
      <c r="U317" s="51"/>
      <c r="V317" s="51"/>
      <c r="W317" s="51"/>
      <c r="X317" s="51"/>
      <c r="Y317" s="94"/>
      <c r="Z317" s="81"/>
      <c r="AA317" s="277"/>
      <c r="AB317" s="277"/>
      <c r="AC317" s="277"/>
      <c r="AD317" s="158"/>
      <c r="AE317" s="158">
        <f t="shared" ref="AE317:AE336" si="49">P317-T317-Y317</f>
        <v>0</v>
      </c>
      <c r="AF317" s="158"/>
      <c r="AG317" s="94">
        <v>0</v>
      </c>
      <c r="AH317" s="94"/>
      <c r="AI317" s="94"/>
      <c r="AJ317" s="158">
        <f t="shared" ref="AJ317:AJ327" si="50">AE317+AG317</f>
        <v>0</v>
      </c>
      <c r="AK317" s="158"/>
      <c r="AL317" s="158"/>
      <c r="AM317" s="158"/>
      <c r="AN317" s="158"/>
      <c r="AO317" s="81"/>
      <c r="AP317" s="81"/>
      <c r="AQ317" s="81"/>
      <c r="AR317" s="81"/>
      <c r="AS317" s="2">
        <v>1</v>
      </c>
      <c r="AT317" s="58" t="s">
        <v>646</v>
      </c>
      <c r="AU317" s="104"/>
      <c r="AV317" s="51"/>
      <c r="AW317" s="51"/>
      <c r="AX317" s="51"/>
      <c r="AY317" s="81">
        <v>22</v>
      </c>
      <c r="AZ317" s="81"/>
      <c r="BA317" s="81"/>
      <c r="BB317" s="220">
        <v>22</v>
      </c>
      <c r="BC317" s="220"/>
      <c r="BD317" s="271">
        <v>2019</v>
      </c>
      <c r="BE317" s="271">
        <v>2019</v>
      </c>
      <c r="BF317" s="271"/>
    </row>
    <row r="318" spans="1:58 16224:16373" s="204" customFormat="1" ht="18" customHeight="1">
      <c r="A318" s="160" t="s">
        <v>506</v>
      </c>
      <c r="B318" s="58" t="s">
        <v>838</v>
      </c>
      <c r="C318" s="148" t="s">
        <v>837</v>
      </c>
      <c r="D318" s="33" t="s">
        <v>760</v>
      </c>
      <c r="E318" s="33"/>
      <c r="F318" s="33"/>
      <c r="G318" s="33"/>
      <c r="H318" s="30" t="s">
        <v>715</v>
      </c>
      <c r="I318" s="272" t="s">
        <v>1495</v>
      </c>
      <c r="J318" s="215" t="s">
        <v>1496</v>
      </c>
      <c r="K318" s="51"/>
      <c r="L318" s="51"/>
      <c r="M318" s="51">
        <v>4</v>
      </c>
      <c r="N318" s="51">
        <v>4</v>
      </c>
      <c r="O318" s="51"/>
      <c r="P318" s="158">
        <v>284691481</v>
      </c>
      <c r="Q318" s="94"/>
      <c r="R318" s="158"/>
      <c r="S318" s="94"/>
      <c r="T318" s="586"/>
      <c r="U318" s="51"/>
      <c r="V318" s="51"/>
      <c r="W318" s="51"/>
      <c r="X318" s="51"/>
      <c r="Y318" s="94"/>
      <c r="Z318" s="220"/>
      <c r="AA318" s="220"/>
      <c r="AB318" s="220"/>
      <c r="AC318" s="220"/>
      <c r="AD318" s="158"/>
      <c r="AE318" s="158">
        <f t="shared" si="49"/>
        <v>284691481</v>
      </c>
      <c r="AF318" s="158"/>
      <c r="AG318" s="94">
        <v>0</v>
      </c>
      <c r="AH318" s="94"/>
      <c r="AI318" s="94"/>
      <c r="AJ318" s="158">
        <f>AE318+AG318</f>
        <v>284691481</v>
      </c>
      <c r="AK318" s="158">
        <v>877</v>
      </c>
      <c r="AL318" s="158">
        <v>20</v>
      </c>
      <c r="AM318" s="158">
        <v>4</v>
      </c>
      <c r="AN318" s="158"/>
      <c r="AO318" s="81"/>
      <c r="AP318" s="51"/>
      <c r="AQ318" s="51"/>
      <c r="AR318" s="51"/>
      <c r="AS318" s="56">
        <v>0</v>
      </c>
      <c r="AT318" s="58" t="s">
        <v>521</v>
      </c>
      <c r="AU318" s="308" t="s">
        <v>1257</v>
      </c>
      <c r="AV318" s="51"/>
      <c r="AW318" s="51"/>
      <c r="AX318" s="51"/>
      <c r="AY318" s="81"/>
      <c r="AZ318" s="81"/>
      <c r="BA318" s="81"/>
      <c r="BB318" s="220"/>
      <c r="BC318" s="220"/>
      <c r="BD318" s="271"/>
      <c r="BE318" s="271">
        <v>2019</v>
      </c>
      <c r="BF318" s="271">
        <v>2020</v>
      </c>
    </row>
    <row r="319" spans="1:58 16224:16373" s="204" customFormat="1" ht="18" customHeight="1">
      <c r="A319" s="248" t="s">
        <v>506</v>
      </c>
      <c r="B319" s="58" t="s">
        <v>836</v>
      </c>
      <c r="C319" s="148" t="s">
        <v>839</v>
      </c>
      <c r="D319" s="33" t="s">
        <v>761</v>
      </c>
      <c r="E319" s="33"/>
      <c r="F319" s="33"/>
      <c r="G319" s="33"/>
      <c r="H319" s="30" t="s">
        <v>731</v>
      </c>
      <c r="I319" s="115" t="s">
        <v>1474</v>
      </c>
      <c r="J319" s="215" t="s">
        <v>1473</v>
      </c>
      <c r="K319" s="51"/>
      <c r="L319" s="51"/>
      <c r="M319" s="51">
        <f>49-3</f>
        <v>46</v>
      </c>
      <c r="N319" s="51">
        <v>46</v>
      </c>
      <c r="O319" s="51"/>
      <c r="P319" s="158">
        <f>3401464105-208252904</f>
        <v>3193211201</v>
      </c>
      <c r="Q319" s="273"/>
      <c r="R319" s="158"/>
      <c r="S319" s="51"/>
      <c r="T319" s="586">
        <v>1416394870</v>
      </c>
      <c r="U319" s="51">
        <v>10</v>
      </c>
      <c r="V319" s="51"/>
      <c r="W319" s="51"/>
      <c r="X319" s="51"/>
      <c r="Y319" s="94">
        <v>1776816331</v>
      </c>
      <c r="Z319" s="81">
        <v>10</v>
      </c>
      <c r="AA319" s="311">
        <v>43586</v>
      </c>
      <c r="AB319" s="583"/>
      <c r="AC319" s="97"/>
      <c r="AD319" s="158"/>
      <c r="AE319" s="158">
        <f t="shared" si="49"/>
        <v>0</v>
      </c>
      <c r="AF319" s="158"/>
      <c r="AG319" s="94">
        <v>0</v>
      </c>
      <c r="AH319" s="94"/>
      <c r="AI319" s="94"/>
      <c r="AJ319" s="158">
        <f t="shared" si="50"/>
        <v>0</v>
      </c>
      <c r="AK319" s="158">
        <v>877</v>
      </c>
      <c r="AL319" s="158">
        <v>10</v>
      </c>
      <c r="AM319" s="158"/>
      <c r="AN319" s="158">
        <f>49-3</f>
        <v>46</v>
      </c>
      <c r="AO319" s="81"/>
      <c r="AP319" s="51"/>
      <c r="AQ319" s="51"/>
      <c r="AR319" s="51"/>
      <c r="AS319" s="56">
        <v>0.72</v>
      </c>
      <c r="AT319" s="58" t="s">
        <v>38</v>
      </c>
      <c r="AU319" s="308" t="s">
        <v>1227</v>
      </c>
      <c r="AV319" s="51"/>
      <c r="AW319" s="51"/>
      <c r="AX319" s="51"/>
      <c r="AY319" s="81"/>
      <c r="AZ319" s="81"/>
      <c r="BA319" s="81"/>
      <c r="BB319" s="220"/>
      <c r="BC319" s="220"/>
      <c r="BD319" s="271"/>
      <c r="BE319" s="271">
        <v>2019</v>
      </c>
      <c r="BF319" s="271">
        <v>2020</v>
      </c>
    </row>
    <row r="320" spans="1:58 16224:16373" s="204" customFormat="1" ht="28.5" customHeight="1">
      <c r="A320" s="160" t="s">
        <v>506</v>
      </c>
      <c r="B320" s="58" t="s">
        <v>836</v>
      </c>
      <c r="C320" s="148" t="s">
        <v>839</v>
      </c>
      <c r="D320" s="33" t="s">
        <v>761</v>
      </c>
      <c r="E320" s="33"/>
      <c r="F320" s="33"/>
      <c r="G320" s="33"/>
      <c r="H320" s="30" t="s">
        <v>731</v>
      </c>
      <c r="I320" s="115">
        <v>3136</v>
      </c>
      <c r="J320" s="212">
        <v>43098</v>
      </c>
      <c r="K320" s="51"/>
      <c r="L320" s="51"/>
      <c r="M320" s="51">
        <v>3</v>
      </c>
      <c r="N320" s="51">
        <v>3</v>
      </c>
      <c r="O320" s="51"/>
      <c r="P320" s="158">
        <v>208252904</v>
      </c>
      <c r="Q320" s="51"/>
      <c r="R320" s="158"/>
      <c r="S320" s="51"/>
      <c r="T320" s="586">
        <f>92373581-92373581</f>
        <v>0</v>
      </c>
      <c r="U320" s="51">
        <v>10</v>
      </c>
      <c r="V320" s="51"/>
      <c r="W320" s="51"/>
      <c r="X320" s="51"/>
      <c r="Y320" s="94"/>
      <c r="Z320" s="81"/>
      <c r="AA320" s="81"/>
      <c r="AB320" s="81"/>
      <c r="AC320" s="81"/>
      <c r="AD320" s="158"/>
      <c r="AE320" s="158">
        <f>P320-T320-Y320-115879323</f>
        <v>92373581</v>
      </c>
      <c r="AF320" s="158"/>
      <c r="AG320" s="158">
        <v>115879323</v>
      </c>
      <c r="AH320" s="158"/>
      <c r="AI320" s="158"/>
      <c r="AJ320" s="158">
        <f>AE320+AG320</f>
        <v>208252904</v>
      </c>
      <c r="AK320" s="158">
        <v>877</v>
      </c>
      <c r="AL320" s="158">
        <v>10</v>
      </c>
      <c r="AM320" s="158">
        <v>3</v>
      </c>
      <c r="AN320" s="158"/>
      <c r="AO320" s="81"/>
      <c r="AP320" s="51"/>
      <c r="AQ320" s="51"/>
      <c r="AR320" s="51"/>
      <c r="AS320" s="56">
        <v>0</v>
      </c>
      <c r="AT320" s="58" t="s">
        <v>521</v>
      </c>
      <c r="AU320" s="308" t="s">
        <v>2161</v>
      </c>
      <c r="AV320" s="51"/>
      <c r="AW320" s="51"/>
      <c r="AX320" s="51"/>
      <c r="AY320" s="81"/>
      <c r="AZ320" s="81"/>
      <c r="BA320" s="81"/>
      <c r="BB320" s="220"/>
      <c r="BC320" s="220"/>
      <c r="BD320" s="271"/>
      <c r="BE320" s="271">
        <v>2019</v>
      </c>
      <c r="BF320" s="271">
        <v>2020</v>
      </c>
    </row>
    <row r="321" spans="1:58" s="204" customFormat="1" ht="29.25" hidden="1" customHeight="1">
      <c r="A321" s="160" t="s">
        <v>506</v>
      </c>
      <c r="B321" s="58" t="s">
        <v>990</v>
      </c>
      <c r="C321" s="55" t="s">
        <v>944</v>
      </c>
      <c r="D321" s="33" t="s">
        <v>45</v>
      </c>
      <c r="E321" s="33"/>
      <c r="F321" s="33"/>
      <c r="G321" s="33"/>
      <c r="H321" s="30" t="s">
        <v>968</v>
      </c>
      <c r="I321" s="30">
        <v>594</v>
      </c>
      <c r="J321" s="212">
        <v>43180</v>
      </c>
      <c r="K321" s="81">
        <v>45</v>
      </c>
      <c r="L321" s="81">
        <v>45</v>
      </c>
      <c r="M321" s="81"/>
      <c r="N321" s="81"/>
      <c r="O321" s="81"/>
      <c r="P321" s="158"/>
      <c r="Q321" s="81"/>
      <c r="R321" s="158"/>
      <c r="S321" s="81"/>
      <c r="T321" s="586"/>
      <c r="U321" s="81"/>
      <c r="V321" s="81"/>
      <c r="W321" s="81"/>
      <c r="X321" s="81"/>
      <c r="Y321" s="94"/>
      <c r="Z321" s="81"/>
      <c r="AA321" s="81"/>
      <c r="AB321" s="81"/>
      <c r="AC321" s="81"/>
      <c r="AD321" s="158"/>
      <c r="AE321" s="158">
        <f t="shared" si="49"/>
        <v>0</v>
      </c>
      <c r="AF321" s="158"/>
      <c r="AG321" s="94">
        <v>0</v>
      </c>
      <c r="AH321" s="94"/>
      <c r="AI321" s="94"/>
      <c r="AJ321" s="158">
        <f t="shared" si="50"/>
        <v>0</v>
      </c>
      <c r="AK321" s="158"/>
      <c r="AL321" s="158"/>
      <c r="AM321" s="158"/>
      <c r="AN321" s="158"/>
      <c r="AO321" s="81"/>
      <c r="AP321" s="51"/>
      <c r="AQ321" s="51"/>
      <c r="AR321" s="51"/>
      <c r="AS321" s="2">
        <v>1</v>
      </c>
      <c r="AT321" s="58" t="s">
        <v>646</v>
      </c>
      <c r="AU321" s="104"/>
      <c r="AV321" s="51"/>
      <c r="AW321" s="51"/>
      <c r="AX321" s="51"/>
      <c r="AY321" s="81">
        <v>45</v>
      </c>
      <c r="AZ321" s="81"/>
      <c r="BA321" s="81"/>
      <c r="BB321" s="220">
        <v>45</v>
      </c>
      <c r="BC321" s="220"/>
      <c r="BD321" s="271">
        <v>2019</v>
      </c>
      <c r="BE321" s="271">
        <v>2019</v>
      </c>
      <c r="BF321" s="271"/>
    </row>
    <row r="322" spans="1:58" s="204" customFormat="1" ht="18" hidden="1" customHeight="1">
      <c r="A322" s="160" t="s">
        <v>506</v>
      </c>
      <c r="B322" s="58" t="s">
        <v>1003</v>
      </c>
      <c r="C322" s="148" t="s">
        <v>950</v>
      </c>
      <c r="D322" s="33" t="s">
        <v>991</v>
      </c>
      <c r="E322" s="33"/>
      <c r="F322" s="33"/>
      <c r="G322" s="33"/>
      <c r="H322" s="30" t="s">
        <v>968</v>
      </c>
      <c r="I322" s="30">
        <v>1364</v>
      </c>
      <c r="J322" s="212">
        <v>43271</v>
      </c>
      <c r="K322" s="81">
        <v>34</v>
      </c>
      <c r="L322" s="81">
        <v>34</v>
      </c>
      <c r="M322" s="43"/>
      <c r="N322" s="43"/>
      <c r="O322" s="43"/>
      <c r="P322" s="158">
        <v>2136321556</v>
      </c>
      <c r="Q322" s="214"/>
      <c r="R322" s="158"/>
      <c r="S322" s="214"/>
      <c r="T322" s="586">
        <v>887724955</v>
      </c>
      <c r="U322" s="81">
        <v>20</v>
      </c>
      <c r="V322" s="81"/>
      <c r="W322" s="81"/>
      <c r="X322" s="81"/>
      <c r="Y322" s="94">
        <v>1248596601</v>
      </c>
      <c r="Z322" s="81">
        <v>10</v>
      </c>
      <c r="AA322" s="311">
        <v>43497</v>
      </c>
      <c r="AB322" s="311"/>
      <c r="AC322" s="81"/>
      <c r="AD322" s="158"/>
      <c r="AE322" s="158">
        <f t="shared" si="49"/>
        <v>0</v>
      </c>
      <c r="AF322" s="158"/>
      <c r="AG322" s="94">
        <v>0</v>
      </c>
      <c r="AH322" s="94"/>
      <c r="AI322" s="94"/>
      <c r="AJ322" s="158">
        <f t="shared" si="50"/>
        <v>0</v>
      </c>
      <c r="AK322" s="158">
        <v>877</v>
      </c>
      <c r="AL322" s="158">
        <v>10</v>
      </c>
      <c r="AM322" s="158"/>
      <c r="AN322" s="158"/>
      <c r="AO322" s="81"/>
      <c r="AP322" s="51"/>
      <c r="AQ322" s="51"/>
      <c r="AR322" s="51"/>
      <c r="AS322" s="2">
        <v>1</v>
      </c>
      <c r="AT322" s="58" t="s">
        <v>646</v>
      </c>
      <c r="AU322" s="104"/>
      <c r="AV322" s="51"/>
      <c r="AW322" s="51"/>
      <c r="AX322" s="51"/>
      <c r="AY322" s="81">
        <v>34</v>
      </c>
      <c r="AZ322" s="81"/>
      <c r="BA322" s="81"/>
      <c r="BB322" s="220">
        <v>34</v>
      </c>
      <c r="BC322" s="220"/>
      <c r="BD322" s="271">
        <v>2019</v>
      </c>
      <c r="BE322" s="271">
        <v>2019</v>
      </c>
      <c r="BF322" s="271"/>
    </row>
    <row r="323" spans="1:58" s="204" customFormat="1" ht="18" hidden="1" customHeight="1">
      <c r="A323" s="160" t="s">
        <v>506</v>
      </c>
      <c r="B323" s="58" t="s">
        <v>1044</v>
      </c>
      <c r="C323" s="148" t="s">
        <v>1051</v>
      </c>
      <c r="D323" s="33" t="s">
        <v>1021</v>
      </c>
      <c r="E323" s="33"/>
      <c r="F323" s="33"/>
      <c r="G323" s="33"/>
      <c r="H323" s="30" t="s">
        <v>968</v>
      </c>
      <c r="I323" s="30">
        <v>1410</v>
      </c>
      <c r="J323" s="212">
        <v>43273</v>
      </c>
      <c r="K323" s="81">
        <v>45</v>
      </c>
      <c r="L323" s="81">
        <v>45</v>
      </c>
      <c r="M323" s="81"/>
      <c r="N323" s="81"/>
      <c r="O323" s="81"/>
      <c r="P323" s="158">
        <v>2836287546</v>
      </c>
      <c r="Q323" s="214"/>
      <c r="R323" s="158"/>
      <c r="S323" s="214"/>
      <c r="T323" s="586">
        <v>1258165215</v>
      </c>
      <c r="U323" s="81">
        <v>20</v>
      </c>
      <c r="V323" s="81"/>
      <c r="W323" s="81"/>
      <c r="X323" s="81"/>
      <c r="Y323" s="94">
        <v>1578122331</v>
      </c>
      <c r="Z323" s="81">
        <v>10</v>
      </c>
      <c r="AA323" s="311">
        <v>43497</v>
      </c>
      <c r="AB323" s="311"/>
      <c r="AC323" s="81"/>
      <c r="AD323" s="158"/>
      <c r="AE323" s="158">
        <f t="shared" si="49"/>
        <v>0</v>
      </c>
      <c r="AF323" s="158"/>
      <c r="AG323" s="94">
        <v>0</v>
      </c>
      <c r="AH323" s="94"/>
      <c r="AI323" s="94"/>
      <c r="AJ323" s="158">
        <f t="shared" si="50"/>
        <v>0</v>
      </c>
      <c r="AK323" s="158">
        <v>877</v>
      </c>
      <c r="AL323" s="158">
        <v>10</v>
      </c>
      <c r="AM323" s="158"/>
      <c r="AN323" s="158"/>
      <c r="AO323" s="81"/>
      <c r="AP323" s="51"/>
      <c r="AQ323" s="51"/>
      <c r="AR323" s="51"/>
      <c r="AS323" s="2">
        <v>1</v>
      </c>
      <c r="AT323" s="58" t="s">
        <v>646</v>
      </c>
      <c r="AU323" s="104"/>
      <c r="AV323" s="51"/>
      <c r="AW323" s="51"/>
      <c r="AX323" s="51"/>
      <c r="AY323" s="81">
        <v>45</v>
      </c>
      <c r="AZ323" s="81"/>
      <c r="BA323" s="81"/>
      <c r="BB323" s="220">
        <v>45</v>
      </c>
      <c r="BC323" s="220"/>
      <c r="BD323" s="271">
        <v>2019</v>
      </c>
      <c r="BE323" s="271">
        <v>2019</v>
      </c>
      <c r="BF323" s="271"/>
    </row>
    <row r="324" spans="1:58" s="204" customFormat="1" ht="18" hidden="1" customHeight="1">
      <c r="A324" s="230" t="s">
        <v>506</v>
      </c>
      <c r="B324" s="58" t="s">
        <v>836</v>
      </c>
      <c r="C324" s="148" t="s">
        <v>1377</v>
      </c>
      <c r="D324" s="33" t="s">
        <v>998</v>
      </c>
      <c r="E324" s="33"/>
      <c r="F324" s="33"/>
      <c r="G324" s="33"/>
      <c r="H324" s="30" t="s">
        <v>1116</v>
      </c>
      <c r="I324" s="30">
        <v>293</v>
      </c>
      <c r="J324" s="212">
        <v>43403</v>
      </c>
      <c r="K324" s="81">
        <v>11</v>
      </c>
      <c r="L324" s="81">
        <v>11</v>
      </c>
      <c r="M324" s="81"/>
      <c r="N324" s="81"/>
      <c r="O324" s="81"/>
      <c r="P324" s="158">
        <v>843307867</v>
      </c>
      <c r="Q324" s="94"/>
      <c r="R324" s="158"/>
      <c r="S324" s="94"/>
      <c r="T324" s="586">
        <v>345765701</v>
      </c>
      <c r="U324" s="214">
        <v>10</v>
      </c>
      <c r="V324" s="214"/>
      <c r="W324" s="214"/>
      <c r="X324" s="214"/>
      <c r="Y324" s="94">
        <v>497542166</v>
      </c>
      <c r="Z324" s="94">
        <v>10</v>
      </c>
      <c r="AA324" s="311">
        <v>43617</v>
      </c>
      <c r="AB324" s="329"/>
      <c r="AC324" s="233"/>
      <c r="AD324" s="158"/>
      <c r="AE324" s="158">
        <f t="shared" si="49"/>
        <v>0</v>
      </c>
      <c r="AF324" s="158"/>
      <c r="AG324" s="94">
        <v>0</v>
      </c>
      <c r="AH324" s="94"/>
      <c r="AI324" s="94"/>
      <c r="AJ324" s="158">
        <f t="shared" si="50"/>
        <v>0</v>
      </c>
      <c r="AK324" s="158">
        <v>877</v>
      </c>
      <c r="AL324" s="158">
        <v>10</v>
      </c>
      <c r="AM324" s="158"/>
      <c r="AN324" s="158"/>
      <c r="AO324" s="81"/>
      <c r="AP324" s="51"/>
      <c r="AQ324" s="51"/>
      <c r="AR324" s="51"/>
      <c r="AS324" s="2">
        <v>1</v>
      </c>
      <c r="AT324" s="58" t="s">
        <v>646</v>
      </c>
      <c r="AU324" s="104" t="s">
        <v>1709</v>
      </c>
      <c r="AV324" s="51"/>
      <c r="AW324" s="51"/>
      <c r="AX324" s="51"/>
      <c r="AY324" s="81">
        <v>11</v>
      </c>
      <c r="AZ324" s="81"/>
      <c r="BA324" s="81"/>
      <c r="BB324" s="220">
        <v>11</v>
      </c>
      <c r="BC324" s="220"/>
      <c r="BD324" s="271">
        <v>2019</v>
      </c>
      <c r="BE324" s="271">
        <v>2019</v>
      </c>
      <c r="BF324" s="271"/>
    </row>
    <row r="325" spans="1:58" s="204" customFormat="1" ht="18" hidden="1" customHeight="1">
      <c r="A325" s="160" t="s">
        <v>506</v>
      </c>
      <c r="B325" s="58" t="s">
        <v>836</v>
      </c>
      <c r="C325" s="148" t="s">
        <v>1120</v>
      </c>
      <c r="D325" s="33" t="s">
        <v>998</v>
      </c>
      <c r="E325" s="33"/>
      <c r="F325" s="33"/>
      <c r="G325" s="33"/>
      <c r="H325" s="30" t="s">
        <v>1116</v>
      </c>
      <c r="I325" s="78">
        <v>325</v>
      </c>
      <c r="J325" s="212">
        <v>43405</v>
      </c>
      <c r="K325" s="81">
        <f>35-1</f>
        <v>34</v>
      </c>
      <c r="L325" s="81">
        <v>34</v>
      </c>
      <c r="M325" s="81"/>
      <c r="N325" s="81"/>
      <c r="O325" s="81"/>
      <c r="P325" s="158">
        <f>2683252305-76664419</f>
        <v>2606587886</v>
      </c>
      <c r="Q325" s="94"/>
      <c r="R325" s="158"/>
      <c r="S325" s="94"/>
      <c r="T325" s="586">
        <v>1073742177</v>
      </c>
      <c r="U325" s="214">
        <v>10</v>
      </c>
      <c r="V325" s="214"/>
      <c r="W325" s="214"/>
      <c r="X325" s="214"/>
      <c r="Y325" s="94">
        <v>1532845709</v>
      </c>
      <c r="Z325" s="218">
        <v>10</v>
      </c>
      <c r="AA325" s="311">
        <v>43647</v>
      </c>
      <c r="AB325" s="577"/>
      <c r="AC325" s="218"/>
      <c r="AD325" s="158"/>
      <c r="AE325" s="158">
        <f t="shared" si="49"/>
        <v>0</v>
      </c>
      <c r="AF325" s="158"/>
      <c r="AG325" s="94">
        <v>0</v>
      </c>
      <c r="AH325" s="94"/>
      <c r="AI325" s="94"/>
      <c r="AJ325" s="158">
        <f t="shared" si="50"/>
        <v>0</v>
      </c>
      <c r="AK325" s="158">
        <v>877</v>
      </c>
      <c r="AL325" s="158">
        <v>10</v>
      </c>
      <c r="AM325" s="158"/>
      <c r="AN325" s="158"/>
      <c r="AO325" s="51"/>
      <c r="AP325" s="51"/>
      <c r="AQ325" s="51"/>
      <c r="AR325" s="51"/>
      <c r="AS325" s="56">
        <v>1</v>
      </c>
      <c r="AT325" s="58" t="s">
        <v>646</v>
      </c>
      <c r="AU325" s="104"/>
      <c r="AV325" s="51"/>
      <c r="AW325" s="51"/>
      <c r="AX325" s="51"/>
      <c r="AY325" s="51">
        <v>34</v>
      </c>
      <c r="AZ325" s="51"/>
      <c r="BA325" s="51"/>
      <c r="BB325" s="71">
        <v>34</v>
      </c>
      <c r="BC325" s="71"/>
      <c r="BD325" s="271">
        <v>2019</v>
      </c>
      <c r="BE325" s="271">
        <v>2019</v>
      </c>
      <c r="BF325" s="271"/>
    </row>
    <row r="326" spans="1:58" s="204" customFormat="1" ht="18" customHeight="1">
      <c r="A326" s="160" t="s">
        <v>506</v>
      </c>
      <c r="B326" s="58" t="s">
        <v>836</v>
      </c>
      <c r="C326" s="148" t="s">
        <v>1120</v>
      </c>
      <c r="D326" s="33" t="s">
        <v>998</v>
      </c>
      <c r="E326" s="33"/>
      <c r="F326" s="33"/>
      <c r="G326" s="33"/>
      <c r="H326" s="30" t="s">
        <v>1116</v>
      </c>
      <c r="I326" s="78">
        <v>325</v>
      </c>
      <c r="J326" s="212">
        <v>43405</v>
      </c>
      <c r="K326" s="81">
        <v>1</v>
      </c>
      <c r="L326" s="81">
        <v>1</v>
      </c>
      <c r="M326" s="81"/>
      <c r="N326" s="81">
        <v>1</v>
      </c>
      <c r="O326" s="81"/>
      <c r="P326" s="158">
        <v>76664419</v>
      </c>
      <c r="Q326" s="94"/>
      <c r="R326" s="158"/>
      <c r="S326" s="94"/>
      <c r="T326" s="586"/>
      <c r="U326" s="81"/>
      <c r="V326" s="81"/>
      <c r="W326" s="81"/>
      <c r="X326" s="81"/>
      <c r="Y326" s="94"/>
      <c r="Z326" s="221"/>
      <c r="AA326" s="221"/>
      <c r="AB326" s="221"/>
      <c r="AC326" s="221"/>
      <c r="AD326" s="158"/>
      <c r="AE326" s="158">
        <f t="shared" si="49"/>
        <v>76664419</v>
      </c>
      <c r="AF326" s="158"/>
      <c r="AG326" s="94">
        <v>0</v>
      </c>
      <c r="AH326" s="94"/>
      <c r="AI326" s="94"/>
      <c r="AJ326" s="158">
        <f>AE326+AG326</f>
        <v>76664419</v>
      </c>
      <c r="AK326" s="158">
        <v>877</v>
      </c>
      <c r="AL326" s="158">
        <v>20</v>
      </c>
      <c r="AM326" s="158">
        <v>1</v>
      </c>
      <c r="AN326" s="158"/>
      <c r="AO326" s="51"/>
      <c r="AP326" s="51"/>
      <c r="AQ326" s="51"/>
      <c r="AR326" s="51"/>
      <c r="AS326" s="56">
        <v>0</v>
      </c>
      <c r="AT326" s="58" t="s">
        <v>521</v>
      </c>
      <c r="AU326" s="104"/>
      <c r="AV326" s="51"/>
      <c r="AW326" s="51"/>
      <c r="AX326" s="51"/>
      <c r="AY326" s="51"/>
      <c r="AZ326" s="51"/>
      <c r="BA326" s="51"/>
      <c r="BB326" s="71"/>
      <c r="BC326" s="71"/>
      <c r="BD326" s="271"/>
      <c r="BE326" s="271">
        <v>2019</v>
      </c>
      <c r="BF326" s="271">
        <v>2020</v>
      </c>
    </row>
    <row r="327" spans="1:58" s="204" customFormat="1" ht="18" hidden="1" customHeight="1">
      <c r="A327" s="243" t="s">
        <v>506</v>
      </c>
      <c r="B327" s="58" t="s">
        <v>141</v>
      </c>
      <c r="C327" s="148" t="s">
        <v>1341</v>
      </c>
      <c r="D327" s="33" t="s">
        <v>1021</v>
      </c>
      <c r="E327" s="33"/>
      <c r="F327" s="33"/>
      <c r="G327" s="33"/>
      <c r="H327" s="30" t="s">
        <v>1116</v>
      </c>
      <c r="I327" s="30">
        <v>294</v>
      </c>
      <c r="J327" s="212">
        <v>43403</v>
      </c>
      <c r="K327" s="81">
        <v>45</v>
      </c>
      <c r="L327" s="81">
        <v>45</v>
      </c>
      <c r="M327" s="81"/>
      <c r="N327" s="81"/>
      <c r="O327" s="81"/>
      <c r="P327" s="158">
        <v>3610429875</v>
      </c>
      <c r="Q327" s="94"/>
      <c r="R327" s="158"/>
      <c r="S327" s="94"/>
      <c r="T327" s="586">
        <v>1579803750</v>
      </c>
      <c r="U327" s="158">
        <v>10</v>
      </c>
      <c r="V327" s="158"/>
      <c r="W327" s="158"/>
      <c r="X327" s="158"/>
      <c r="Y327" s="94">
        <v>2030626125</v>
      </c>
      <c r="Z327" s="214">
        <v>10</v>
      </c>
      <c r="AA327" s="311">
        <v>43586</v>
      </c>
      <c r="AB327" s="584"/>
      <c r="AC327" s="278"/>
      <c r="AD327" s="158"/>
      <c r="AE327" s="158">
        <f t="shared" si="49"/>
        <v>0</v>
      </c>
      <c r="AF327" s="158"/>
      <c r="AG327" s="94">
        <v>0</v>
      </c>
      <c r="AH327" s="94"/>
      <c r="AI327" s="94"/>
      <c r="AJ327" s="158">
        <f t="shared" si="50"/>
        <v>0</v>
      </c>
      <c r="AK327" s="158">
        <v>877</v>
      </c>
      <c r="AL327" s="158">
        <v>10</v>
      </c>
      <c r="AM327" s="158"/>
      <c r="AN327" s="158"/>
      <c r="AO327" s="81"/>
      <c r="AP327" s="51"/>
      <c r="AQ327" s="51"/>
      <c r="AR327" s="51"/>
      <c r="AS327" s="2">
        <v>1</v>
      </c>
      <c r="AT327" s="58" t="s">
        <v>646</v>
      </c>
      <c r="AU327" s="104" t="s">
        <v>1709</v>
      </c>
      <c r="AV327" s="51"/>
      <c r="AW327" s="51"/>
      <c r="AX327" s="51"/>
      <c r="AY327" s="51">
        <v>45</v>
      </c>
      <c r="AZ327" s="51"/>
      <c r="BA327" s="51"/>
      <c r="BB327" s="71">
        <v>45</v>
      </c>
      <c r="BC327" s="71"/>
      <c r="BD327" s="271">
        <v>2019</v>
      </c>
      <c r="BE327" s="271">
        <v>2019</v>
      </c>
      <c r="BF327" s="271"/>
    </row>
    <row r="328" spans="1:58" s="204" customFormat="1" ht="63" customHeight="1">
      <c r="A328" s="160" t="s">
        <v>506</v>
      </c>
      <c r="B328" s="58" t="s">
        <v>1383</v>
      </c>
      <c r="C328" s="148" t="s">
        <v>1147</v>
      </c>
      <c r="D328" s="33" t="s">
        <v>998</v>
      </c>
      <c r="E328" s="33"/>
      <c r="F328" s="33"/>
      <c r="G328" s="33"/>
      <c r="H328" s="30" t="s">
        <v>1113</v>
      </c>
      <c r="I328" s="226">
        <v>708</v>
      </c>
      <c r="J328" s="212">
        <v>43452</v>
      </c>
      <c r="K328" s="81">
        <f>13+3</f>
        <v>16</v>
      </c>
      <c r="L328" s="81">
        <f>13+3</f>
        <v>16</v>
      </c>
      <c r="M328" s="81"/>
      <c r="N328" s="81">
        <v>16</v>
      </c>
      <c r="O328" s="81"/>
      <c r="P328" s="158">
        <v>1202917443</v>
      </c>
      <c r="Q328" s="158"/>
      <c r="R328" s="158"/>
      <c r="S328" s="158"/>
      <c r="T328" s="586">
        <v>638770922</v>
      </c>
      <c r="U328" s="81">
        <v>10</v>
      </c>
      <c r="V328" s="311">
        <v>43497</v>
      </c>
      <c r="W328" s="311"/>
      <c r="X328" s="311"/>
      <c r="Y328" s="94">
        <v>564146521</v>
      </c>
      <c r="Z328" s="220">
        <v>20</v>
      </c>
      <c r="AA328" s="311">
        <v>43709</v>
      </c>
      <c r="AB328" s="577"/>
      <c r="AC328" s="220"/>
      <c r="AD328" s="158"/>
      <c r="AE328" s="158">
        <f t="shared" si="49"/>
        <v>0</v>
      </c>
      <c r="AF328" s="158"/>
      <c r="AG328" s="94">
        <v>0</v>
      </c>
      <c r="AH328" s="94"/>
      <c r="AI328" s="94"/>
      <c r="AJ328" s="158">
        <f>AE328+AG328</f>
        <v>0</v>
      </c>
      <c r="AK328" s="158">
        <v>877</v>
      </c>
      <c r="AL328" s="158">
        <v>20</v>
      </c>
      <c r="AM328" s="158"/>
      <c r="AN328" s="158">
        <v>16</v>
      </c>
      <c r="AO328" s="51"/>
      <c r="AP328" s="51"/>
      <c r="AQ328" s="51"/>
      <c r="AR328" s="51"/>
      <c r="AS328" s="56">
        <v>0.63</v>
      </c>
      <c r="AT328" s="58" t="s">
        <v>38</v>
      </c>
      <c r="AU328" s="475" t="s">
        <v>2180</v>
      </c>
      <c r="AV328" s="51"/>
      <c r="AW328" s="51"/>
      <c r="AX328" s="51"/>
      <c r="AY328" s="51"/>
      <c r="AZ328" s="51"/>
      <c r="BA328" s="51"/>
      <c r="BB328" s="71"/>
      <c r="BC328" s="71"/>
      <c r="BD328" s="271"/>
      <c r="BE328" s="271">
        <v>2019</v>
      </c>
      <c r="BF328" s="271">
        <v>2020</v>
      </c>
    </row>
    <row r="329" spans="1:58" s="204" customFormat="1" ht="36" customHeight="1">
      <c r="A329" s="160" t="s">
        <v>506</v>
      </c>
      <c r="B329" s="58" t="s">
        <v>1333</v>
      </c>
      <c r="C329" s="489" t="s">
        <v>1147</v>
      </c>
      <c r="D329" s="483" t="s">
        <v>998</v>
      </c>
      <c r="E329" s="483"/>
      <c r="F329" s="483"/>
      <c r="G329" s="483"/>
      <c r="H329" s="30" t="s">
        <v>1113</v>
      </c>
      <c r="I329" s="82">
        <v>708</v>
      </c>
      <c r="J329" s="212">
        <v>43452</v>
      </c>
      <c r="K329" s="81"/>
      <c r="L329" s="81"/>
      <c r="M329" s="81">
        <v>2</v>
      </c>
      <c r="N329" s="81">
        <v>2</v>
      </c>
      <c r="O329" s="81"/>
      <c r="P329" s="158">
        <f>75182340+75182340</f>
        <v>150364680</v>
      </c>
      <c r="Q329" s="158"/>
      <c r="R329" s="158"/>
      <c r="S329" s="158"/>
      <c r="T329" s="586">
        <v>80904549</v>
      </c>
      <c r="U329" s="181">
        <v>20</v>
      </c>
      <c r="V329" s="484">
        <v>43889</v>
      </c>
      <c r="W329" s="484"/>
      <c r="X329" s="484"/>
      <c r="Y329" s="94"/>
      <c r="Z329" s="81"/>
      <c r="AA329" s="81"/>
      <c r="AB329" s="81"/>
      <c r="AC329" s="81"/>
      <c r="AD329" s="158"/>
      <c r="AE329" s="158">
        <f t="shared" si="49"/>
        <v>69460131</v>
      </c>
      <c r="AF329" s="158"/>
      <c r="AG329" s="94">
        <v>0</v>
      </c>
      <c r="AH329" s="94"/>
      <c r="AI329" s="94"/>
      <c r="AJ329" s="158">
        <f t="shared" ref="AJ329:AJ336" si="51">AE329+AG329</f>
        <v>69460131</v>
      </c>
      <c r="AK329" s="158">
        <v>877</v>
      </c>
      <c r="AL329" s="158">
        <v>20</v>
      </c>
      <c r="AM329" s="72"/>
      <c r="AN329" s="72">
        <v>2</v>
      </c>
      <c r="AO329" s="51"/>
      <c r="AP329" s="51"/>
      <c r="AQ329" s="51"/>
      <c r="AR329" s="51"/>
      <c r="AS329" s="56">
        <v>0</v>
      </c>
      <c r="AT329" s="485" t="s">
        <v>38</v>
      </c>
      <c r="AU329" s="475" t="s">
        <v>1334</v>
      </c>
      <c r="AV329" s="51"/>
      <c r="AW329" s="51"/>
      <c r="AX329" s="51"/>
      <c r="AY329" s="51"/>
      <c r="AZ329" s="51"/>
      <c r="BA329" s="51"/>
      <c r="BB329" s="71"/>
      <c r="BC329" s="71"/>
      <c r="BD329" s="271"/>
      <c r="BE329" s="271">
        <v>2019</v>
      </c>
      <c r="BF329" s="271">
        <v>2020</v>
      </c>
    </row>
    <row r="330" spans="1:58" s="204" customFormat="1" ht="18" hidden="1" customHeight="1">
      <c r="A330" s="160" t="s">
        <v>506</v>
      </c>
      <c r="B330" s="58" t="s">
        <v>1152</v>
      </c>
      <c r="C330" s="148" t="s">
        <v>1148</v>
      </c>
      <c r="D330" s="33" t="s">
        <v>77</v>
      </c>
      <c r="E330" s="33"/>
      <c r="F330" s="33"/>
      <c r="G330" s="33"/>
      <c r="H330" s="30" t="s">
        <v>1113</v>
      </c>
      <c r="I330" s="82">
        <v>770</v>
      </c>
      <c r="J330" s="212">
        <v>43455</v>
      </c>
      <c r="K330" s="81">
        <v>17</v>
      </c>
      <c r="L330" s="81">
        <v>17</v>
      </c>
      <c r="M330" s="81"/>
      <c r="N330" s="81"/>
      <c r="O330" s="81"/>
      <c r="P330" s="158">
        <v>1119065138</v>
      </c>
      <c r="Q330" s="158"/>
      <c r="R330" s="158"/>
      <c r="S330" s="158"/>
      <c r="T330" s="586">
        <v>606947617</v>
      </c>
      <c r="U330" s="158">
        <v>10</v>
      </c>
      <c r="V330" s="311">
        <v>43497</v>
      </c>
      <c r="W330" s="311"/>
      <c r="X330" s="311"/>
      <c r="Y330" s="94">
        <v>512117521</v>
      </c>
      <c r="Z330" s="158">
        <v>10</v>
      </c>
      <c r="AA330" s="311">
        <v>43617</v>
      </c>
      <c r="AB330" s="329"/>
      <c r="AC330" s="5"/>
      <c r="AD330" s="158"/>
      <c r="AE330" s="158">
        <f t="shared" si="49"/>
        <v>0</v>
      </c>
      <c r="AF330" s="158"/>
      <c r="AG330" s="94">
        <v>0</v>
      </c>
      <c r="AH330" s="94"/>
      <c r="AI330" s="94"/>
      <c r="AJ330" s="158">
        <f t="shared" si="51"/>
        <v>0</v>
      </c>
      <c r="AK330" s="158">
        <v>877</v>
      </c>
      <c r="AL330" s="158">
        <v>10</v>
      </c>
      <c r="AM330" s="158"/>
      <c r="AN330" s="158"/>
      <c r="AO330" s="81"/>
      <c r="AP330" s="51"/>
      <c r="AQ330" s="51"/>
      <c r="AR330" s="51"/>
      <c r="AS330" s="56">
        <v>1</v>
      </c>
      <c r="AT330" s="58" t="s">
        <v>646</v>
      </c>
      <c r="AU330" s="104"/>
      <c r="AV330" s="51"/>
      <c r="AW330" s="51"/>
      <c r="AX330" s="51"/>
      <c r="AY330" s="51">
        <v>17</v>
      </c>
      <c r="AZ330" s="51"/>
      <c r="BA330" s="51"/>
      <c r="BB330" s="71">
        <v>17</v>
      </c>
      <c r="BC330" s="71"/>
      <c r="BD330" s="271">
        <v>2019</v>
      </c>
      <c r="BE330" s="271">
        <v>2019</v>
      </c>
      <c r="BF330" s="271"/>
    </row>
    <row r="331" spans="1:58" s="204" customFormat="1" ht="18" customHeight="1">
      <c r="A331" s="160" t="s">
        <v>506</v>
      </c>
      <c r="B331" s="58" t="s">
        <v>70</v>
      </c>
      <c r="C331" s="148" t="s">
        <v>1342</v>
      </c>
      <c r="D331" s="33" t="s">
        <v>1153</v>
      </c>
      <c r="E331" s="33"/>
      <c r="F331" s="33"/>
      <c r="G331" s="33"/>
      <c r="H331" s="30" t="s">
        <v>1113</v>
      </c>
      <c r="I331" s="226">
        <v>771</v>
      </c>
      <c r="J331" s="212">
        <v>43455</v>
      </c>
      <c r="K331" s="81">
        <v>59</v>
      </c>
      <c r="L331" s="81">
        <v>59</v>
      </c>
      <c r="M331" s="81"/>
      <c r="N331" s="81">
        <v>59</v>
      </c>
      <c r="O331" s="81"/>
      <c r="P331" s="158">
        <v>4583159036</v>
      </c>
      <c r="Q331" s="158"/>
      <c r="R331" s="158"/>
      <c r="S331" s="158"/>
      <c r="T331" s="586">
        <v>2471141074</v>
      </c>
      <c r="U331" s="158">
        <v>10</v>
      </c>
      <c r="V331" s="311">
        <v>43497</v>
      </c>
      <c r="W331" s="311"/>
      <c r="X331" s="311"/>
      <c r="Y331" s="94">
        <v>2112017962</v>
      </c>
      <c r="Z331" s="220">
        <v>10</v>
      </c>
      <c r="AA331" s="311">
        <v>43678</v>
      </c>
      <c r="AB331" s="577"/>
      <c r="AC331" s="220"/>
      <c r="AD331" s="158"/>
      <c r="AE331" s="158">
        <f t="shared" si="49"/>
        <v>0</v>
      </c>
      <c r="AF331" s="158"/>
      <c r="AG331" s="94">
        <v>0</v>
      </c>
      <c r="AH331" s="94"/>
      <c r="AI331" s="94"/>
      <c r="AJ331" s="158">
        <f t="shared" si="51"/>
        <v>0</v>
      </c>
      <c r="AK331" s="158">
        <v>877</v>
      </c>
      <c r="AL331" s="158">
        <v>10</v>
      </c>
      <c r="AM331" s="158"/>
      <c r="AN331" s="158">
        <v>59</v>
      </c>
      <c r="AO331" s="51"/>
      <c r="AP331" s="51"/>
      <c r="AQ331" s="51"/>
      <c r="AR331" s="51"/>
      <c r="AS331" s="56">
        <v>0.76070000000000004</v>
      </c>
      <c r="AT331" s="58" t="s">
        <v>38</v>
      </c>
      <c r="AU331" s="104"/>
      <c r="AV331" s="51"/>
      <c r="AW331" s="51"/>
      <c r="AX331" s="51"/>
      <c r="AY331" s="51"/>
      <c r="AZ331" s="51"/>
      <c r="BA331" s="51"/>
      <c r="BB331" s="71"/>
      <c r="BC331" s="71"/>
      <c r="BD331" s="271"/>
      <c r="BE331" s="271">
        <v>2019</v>
      </c>
      <c r="BF331" s="271">
        <v>2020</v>
      </c>
    </row>
    <row r="332" spans="1:58" s="204" customFormat="1" ht="18" hidden="1" customHeight="1">
      <c r="A332" s="160" t="s">
        <v>506</v>
      </c>
      <c r="B332" s="58" t="s">
        <v>1155</v>
      </c>
      <c r="C332" s="148" t="s">
        <v>1150</v>
      </c>
      <c r="D332" s="33" t="s">
        <v>1143</v>
      </c>
      <c r="E332" s="33"/>
      <c r="F332" s="33"/>
      <c r="G332" s="33"/>
      <c r="H332" s="30" t="s">
        <v>1113</v>
      </c>
      <c r="I332" s="226">
        <v>729</v>
      </c>
      <c r="J332" s="212">
        <v>43453</v>
      </c>
      <c r="K332" s="81">
        <v>45</v>
      </c>
      <c r="L332" s="81">
        <v>45</v>
      </c>
      <c r="M332" s="81"/>
      <c r="N332" s="81"/>
      <c r="O332" s="81"/>
      <c r="P332" s="158">
        <v>2962222366</v>
      </c>
      <c r="Q332" s="158"/>
      <c r="R332" s="158"/>
      <c r="S332" s="158"/>
      <c r="T332" s="586">
        <v>1541323724</v>
      </c>
      <c r="U332" s="158">
        <v>10</v>
      </c>
      <c r="V332" s="311">
        <v>43497</v>
      </c>
      <c r="W332" s="311"/>
      <c r="X332" s="311"/>
      <c r="Y332" s="94">
        <v>1420898642</v>
      </c>
      <c r="Z332" s="220">
        <v>10</v>
      </c>
      <c r="AA332" s="311">
        <v>43647</v>
      </c>
      <c r="AB332" s="577"/>
      <c r="AC332" s="220"/>
      <c r="AD332" s="158"/>
      <c r="AE332" s="158">
        <f t="shared" si="49"/>
        <v>0</v>
      </c>
      <c r="AF332" s="158"/>
      <c r="AG332" s="94">
        <v>0</v>
      </c>
      <c r="AH332" s="94"/>
      <c r="AI332" s="94"/>
      <c r="AJ332" s="158">
        <f t="shared" si="51"/>
        <v>0</v>
      </c>
      <c r="AK332" s="158">
        <v>877</v>
      </c>
      <c r="AL332" s="158">
        <v>10</v>
      </c>
      <c r="AM332" s="158"/>
      <c r="AN332" s="158"/>
      <c r="AO332" s="81"/>
      <c r="AP332" s="51"/>
      <c r="AQ332" s="51"/>
      <c r="AR332" s="51"/>
      <c r="AS332" s="56">
        <v>1</v>
      </c>
      <c r="AT332" s="58" t="s">
        <v>646</v>
      </c>
      <c r="AU332" s="104"/>
      <c r="AV332" s="51"/>
      <c r="AW332" s="51"/>
      <c r="AX332" s="51"/>
      <c r="AY332" s="51">
        <v>45</v>
      </c>
      <c r="AZ332" s="51"/>
      <c r="BA332" s="51"/>
      <c r="BB332" s="71">
        <v>45</v>
      </c>
      <c r="BC332" s="71"/>
      <c r="BD332" s="271">
        <v>2019</v>
      </c>
      <c r="BE332" s="271">
        <v>2019</v>
      </c>
      <c r="BF332" s="271"/>
    </row>
    <row r="333" spans="1:58" s="204" customFormat="1" ht="18" customHeight="1">
      <c r="A333" s="160" t="s">
        <v>506</v>
      </c>
      <c r="B333" s="58" t="s">
        <v>1625</v>
      </c>
      <c r="C333" s="148" t="s">
        <v>1621</v>
      </c>
      <c r="D333" s="33" t="s">
        <v>1623</v>
      </c>
      <c r="E333" s="33"/>
      <c r="F333" s="33"/>
      <c r="G333" s="33"/>
      <c r="H333" s="30" t="s">
        <v>1605</v>
      </c>
      <c r="I333" s="226">
        <v>1364</v>
      </c>
      <c r="J333" s="212">
        <v>43685</v>
      </c>
      <c r="K333" s="81"/>
      <c r="L333" s="81"/>
      <c r="M333" s="81">
        <f>38</f>
        <v>38</v>
      </c>
      <c r="N333" s="81">
        <v>38</v>
      </c>
      <c r="O333" s="81"/>
      <c r="P333" s="158">
        <v>2770644058</v>
      </c>
      <c r="Q333" s="158"/>
      <c r="R333" s="158"/>
      <c r="S333" s="158"/>
      <c r="T333" s="586">
        <v>1498271382</v>
      </c>
      <c r="U333" s="158">
        <v>20</v>
      </c>
      <c r="V333" s="311">
        <v>43678</v>
      </c>
      <c r="W333" s="311"/>
      <c r="X333" s="311"/>
      <c r="Y333" s="94">
        <v>1272372676</v>
      </c>
      <c r="Z333" s="220">
        <v>20</v>
      </c>
      <c r="AA333" s="311">
        <v>43800</v>
      </c>
      <c r="AB333" s="311"/>
      <c r="AC333" s="81"/>
      <c r="AD333" s="158"/>
      <c r="AE333" s="158">
        <f t="shared" si="49"/>
        <v>0</v>
      </c>
      <c r="AF333" s="158"/>
      <c r="AG333" s="94">
        <v>0</v>
      </c>
      <c r="AH333" s="94"/>
      <c r="AI333" s="94"/>
      <c r="AJ333" s="158">
        <f t="shared" si="51"/>
        <v>0</v>
      </c>
      <c r="AK333" s="158">
        <v>877</v>
      </c>
      <c r="AL333" s="158">
        <v>20</v>
      </c>
      <c r="AM333" s="158"/>
      <c r="AN333" s="158">
        <v>38</v>
      </c>
      <c r="AO333" s="81"/>
      <c r="AP333" s="51"/>
      <c r="AQ333" s="51"/>
      <c r="AR333" s="51"/>
      <c r="AS333" s="56">
        <v>0.56830000000000003</v>
      </c>
      <c r="AT333" s="58" t="s">
        <v>38</v>
      </c>
      <c r="AU333" s="104"/>
      <c r="AV333" s="51"/>
      <c r="AW333" s="51"/>
      <c r="AX333" s="51"/>
      <c r="AY333" s="51"/>
      <c r="AZ333" s="51"/>
      <c r="BA333" s="51"/>
      <c r="BB333" s="71"/>
      <c r="BC333" s="71"/>
      <c r="BD333" s="271"/>
      <c r="BE333" s="271">
        <v>2019</v>
      </c>
      <c r="BF333" s="271">
        <v>2020</v>
      </c>
    </row>
    <row r="334" spans="1:58" s="204" customFormat="1" ht="26.25" customHeight="1">
      <c r="A334" s="160" t="s">
        <v>506</v>
      </c>
      <c r="B334" s="58" t="s">
        <v>141</v>
      </c>
      <c r="C334" s="486" t="s">
        <v>1622</v>
      </c>
      <c r="D334" s="483" t="s">
        <v>1624</v>
      </c>
      <c r="E334" s="483"/>
      <c r="F334" s="483"/>
      <c r="G334" s="483"/>
      <c r="H334" s="30" t="s">
        <v>1605</v>
      </c>
      <c r="I334" s="226">
        <v>1381</v>
      </c>
      <c r="J334" s="212">
        <v>43685</v>
      </c>
      <c r="K334" s="81"/>
      <c r="L334" s="81"/>
      <c r="M334" s="81">
        <f>21-2</f>
        <v>19</v>
      </c>
      <c r="N334" s="81">
        <v>19</v>
      </c>
      <c r="O334" s="81"/>
      <c r="P334" s="158">
        <f>1749885529-166655765</f>
        <v>1583229764</v>
      </c>
      <c r="Q334" s="158"/>
      <c r="R334" s="158"/>
      <c r="S334" s="158"/>
      <c r="T334" s="586">
        <v>842332018</v>
      </c>
      <c r="U334" s="158">
        <v>20</v>
      </c>
      <c r="V334" s="311">
        <v>43770</v>
      </c>
      <c r="W334" s="311"/>
      <c r="X334" s="311"/>
      <c r="Y334" s="625">
        <v>740897740</v>
      </c>
      <c r="Z334" s="512">
        <v>20</v>
      </c>
      <c r="AA334" s="484">
        <v>43921</v>
      </c>
      <c r="AB334" s="615"/>
      <c r="AC334" s="214"/>
      <c r="AD334" s="158"/>
      <c r="AE334" s="75">
        <f t="shared" si="49"/>
        <v>6</v>
      </c>
      <c r="AF334" s="75"/>
      <c r="AG334" s="94">
        <v>0</v>
      </c>
      <c r="AH334" s="94"/>
      <c r="AI334" s="94"/>
      <c r="AJ334" s="158">
        <f t="shared" si="51"/>
        <v>6</v>
      </c>
      <c r="AK334" s="158">
        <v>877</v>
      </c>
      <c r="AL334" s="158">
        <v>20</v>
      </c>
      <c r="AM334" s="597"/>
      <c r="AN334" s="72">
        <v>19</v>
      </c>
      <c r="AO334" s="51"/>
      <c r="AP334" s="51"/>
      <c r="AQ334" s="51"/>
      <c r="AR334" s="51"/>
      <c r="AS334" s="494">
        <v>0</v>
      </c>
      <c r="AT334" s="485" t="s">
        <v>38</v>
      </c>
      <c r="AU334" s="104" t="s">
        <v>2179</v>
      </c>
      <c r="AV334" s="51"/>
      <c r="AW334" s="51"/>
      <c r="AX334" s="51"/>
      <c r="AY334" s="51"/>
      <c r="AZ334" s="51"/>
      <c r="BA334" s="51"/>
      <c r="BB334" s="71"/>
      <c r="BC334" s="71"/>
      <c r="BD334" s="271"/>
      <c r="BE334" s="271">
        <v>2019</v>
      </c>
      <c r="BF334" s="271">
        <v>2020</v>
      </c>
    </row>
    <row r="335" spans="1:58" s="204" customFormat="1" ht="27.75" hidden="1" customHeight="1">
      <c r="A335" s="160" t="s">
        <v>506</v>
      </c>
      <c r="B335" s="58" t="s">
        <v>141</v>
      </c>
      <c r="C335" s="55" t="s">
        <v>1622</v>
      </c>
      <c r="D335" s="33" t="s">
        <v>1624</v>
      </c>
      <c r="E335" s="33"/>
      <c r="F335" s="33"/>
      <c r="G335" s="33"/>
      <c r="H335" s="30" t="s">
        <v>1605</v>
      </c>
      <c r="I335" s="226">
        <v>1381</v>
      </c>
      <c r="J335" s="212">
        <v>43685</v>
      </c>
      <c r="K335" s="81"/>
      <c r="L335" s="81"/>
      <c r="M335" s="81">
        <v>2</v>
      </c>
      <c r="N335" s="81"/>
      <c r="O335" s="81"/>
      <c r="P335" s="158">
        <v>166655765</v>
      </c>
      <c r="Q335" s="158"/>
      <c r="R335" s="158"/>
      <c r="S335" s="158"/>
      <c r="T335" s="586"/>
      <c r="U335" s="158"/>
      <c r="V335" s="158"/>
      <c r="W335" s="158"/>
      <c r="X335" s="158"/>
      <c r="Y335" s="94"/>
      <c r="Z335" s="220"/>
      <c r="AA335" s="220"/>
      <c r="AB335" s="220"/>
      <c r="AC335" s="158">
        <f>119250787+47404978</f>
        <v>166655765</v>
      </c>
      <c r="AD335" s="158"/>
      <c r="AE335" s="158">
        <f>P335-T335-Y335-AC335</f>
        <v>0</v>
      </c>
      <c r="AF335" s="158"/>
      <c r="AG335" s="94">
        <v>0</v>
      </c>
      <c r="AH335" s="94"/>
      <c r="AI335" s="94"/>
      <c r="AJ335" s="158">
        <f t="shared" si="51"/>
        <v>0</v>
      </c>
      <c r="AK335" s="158">
        <v>877</v>
      </c>
      <c r="AL335" s="158">
        <v>10</v>
      </c>
      <c r="AM335" s="158"/>
      <c r="AN335" s="158"/>
      <c r="AO335" s="51"/>
      <c r="AP335" s="51"/>
      <c r="AQ335" s="51"/>
      <c r="AR335" s="51"/>
      <c r="AS335" s="56">
        <v>0</v>
      </c>
      <c r="AT335" s="58" t="s">
        <v>687</v>
      </c>
      <c r="AU335" s="104" t="s">
        <v>2162</v>
      </c>
      <c r="AV335" s="51"/>
      <c r="AW335" s="51"/>
      <c r="AX335" s="51"/>
      <c r="AY335" s="51"/>
      <c r="AZ335" s="51"/>
      <c r="BA335" s="51"/>
      <c r="BB335" s="71"/>
      <c r="BC335" s="51">
        <v>2</v>
      </c>
      <c r="BD335" s="271" t="s">
        <v>1706</v>
      </c>
      <c r="BE335" s="271">
        <v>2019</v>
      </c>
      <c r="BF335" s="271"/>
    </row>
    <row r="336" spans="1:58" s="204" customFormat="1" ht="28.5" customHeight="1">
      <c r="A336" s="160" t="s">
        <v>506</v>
      </c>
      <c r="B336" s="58" t="s">
        <v>924</v>
      </c>
      <c r="C336" s="489" t="s">
        <v>1774</v>
      </c>
      <c r="D336" s="483" t="s">
        <v>1775</v>
      </c>
      <c r="E336" s="483"/>
      <c r="F336" s="483"/>
      <c r="G336" s="483"/>
      <c r="H336" s="30" t="s">
        <v>1763</v>
      </c>
      <c r="I336" s="226">
        <v>1863</v>
      </c>
      <c r="J336" s="212">
        <v>43766</v>
      </c>
      <c r="K336" s="81"/>
      <c r="L336" s="81"/>
      <c r="M336" s="81">
        <v>57</v>
      </c>
      <c r="N336" s="81">
        <v>57</v>
      </c>
      <c r="O336" s="81"/>
      <c r="P336" s="158">
        <v>4748808537</v>
      </c>
      <c r="Q336" s="158"/>
      <c r="R336" s="158"/>
      <c r="S336" s="158"/>
      <c r="T336" s="612">
        <v>2610338144</v>
      </c>
      <c r="U336" s="158">
        <v>20</v>
      </c>
      <c r="V336" s="311">
        <v>43770</v>
      </c>
      <c r="W336" s="311"/>
      <c r="X336" s="311"/>
      <c r="Y336" s="625">
        <v>2138470393</v>
      </c>
      <c r="Z336" s="512">
        <v>20</v>
      </c>
      <c r="AA336" s="484">
        <v>43920</v>
      </c>
      <c r="AB336" s="615"/>
      <c r="AC336" s="81"/>
      <c r="AD336" s="158"/>
      <c r="AE336" s="158">
        <f t="shared" si="49"/>
        <v>0</v>
      </c>
      <c r="AF336" s="158"/>
      <c r="AG336" s="94">
        <v>0</v>
      </c>
      <c r="AH336" s="94"/>
      <c r="AI336" s="94"/>
      <c r="AJ336" s="158">
        <f t="shared" si="51"/>
        <v>0</v>
      </c>
      <c r="AK336" s="158">
        <v>877</v>
      </c>
      <c r="AL336" s="158">
        <v>20</v>
      </c>
      <c r="AM336" s="72"/>
      <c r="AN336" s="72">
        <v>57</v>
      </c>
      <c r="AO336" s="51"/>
      <c r="AP336" s="51"/>
      <c r="AQ336" s="51"/>
      <c r="AR336" s="51"/>
      <c r="AS336" s="494">
        <v>0</v>
      </c>
      <c r="AT336" s="485" t="s">
        <v>38</v>
      </c>
      <c r="AU336" s="104" t="s">
        <v>1565</v>
      </c>
      <c r="AV336" s="51"/>
      <c r="AW336" s="51"/>
      <c r="AX336" s="51"/>
      <c r="AY336" s="51"/>
      <c r="AZ336" s="51"/>
      <c r="BA336" s="51"/>
      <c r="BB336" s="71"/>
      <c r="BC336" s="71"/>
      <c r="BD336" s="271"/>
      <c r="BE336" s="271">
        <v>2019</v>
      </c>
      <c r="BF336" s="271">
        <v>2020</v>
      </c>
    </row>
    <row r="337" spans="1:58 16166:16373" s="204" customFormat="1" ht="28.5" customHeight="1">
      <c r="A337" s="160" t="s">
        <v>506</v>
      </c>
      <c r="B337" s="58" t="s">
        <v>924</v>
      </c>
      <c r="C337" s="526" t="s">
        <v>1774</v>
      </c>
      <c r="D337" s="526" t="s">
        <v>2283</v>
      </c>
      <c r="E337" s="528"/>
      <c r="F337" s="558">
        <v>4</v>
      </c>
      <c r="G337" s="558"/>
      <c r="H337" s="533" t="s">
        <v>2236</v>
      </c>
      <c r="I337" s="226">
        <v>342</v>
      </c>
      <c r="J337" s="459">
        <v>43920</v>
      </c>
      <c r="K337" s="227"/>
      <c r="L337" s="227"/>
      <c r="M337" s="227"/>
      <c r="N337" s="606">
        <v>54</v>
      </c>
      <c r="O337" s="227"/>
      <c r="P337" s="524">
        <f>(2464276286+2034594959)</f>
        <v>4498871245</v>
      </c>
      <c r="Q337" s="61"/>
      <c r="R337" s="61"/>
      <c r="S337" s="61"/>
      <c r="T337" s="586">
        <v>2464276286</v>
      </c>
      <c r="U337" s="524">
        <v>20</v>
      </c>
      <c r="V337" s="527">
        <v>43951</v>
      </c>
      <c r="W337" s="527"/>
      <c r="X337" s="527"/>
      <c r="Y337" s="607"/>
      <c r="Z337" s="521">
        <v>20</v>
      </c>
      <c r="AA337" s="311"/>
      <c r="AB337" s="311"/>
      <c r="AC337" s="81"/>
      <c r="AD337" s="158"/>
      <c r="AE337" s="158"/>
      <c r="AF337" s="61"/>
      <c r="AG337" s="225"/>
      <c r="AH337" s="225">
        <v>4498871245</v>
      </c>
      <c r="AI337" s="225"/>
      <c r="AJ337" s="61">
        <f>(AH337-Q337-T337-Y337)</f>
        <v>2034594959</v>
      </c>
      <c r="AK337" s="61">
        <v>877</v>
      </c>
      <c r="AL337" s="61">
        <v>20</v>
      </c>
      <c r="AM337" s="61"/>
      <c r="AN337" s="524">
        <v>54</v>
      </c>
      <c r="AO337" s="60"/>
      <c r="AP337" s="60"/>
      <c r="AQ337" s="60"/>
      <c r="AR337" s="60"/>
      <c r="AS337" s="494">
        <v>0</v>
      </c>
      <c r="AT337" s="485" t="s">
        <v>38</v>
      </c>
      <c r="AU337" s="462"/>
      <c r="AV337" s="60"/>
      <c r="AW337" s="60"/>
      <c r="AX337" s="60"/>
      <c r="AY337" s="60"/>
      <c r="AZ337" s="60"/>
      <c r="BA337" s="60"/>
      <c r="BB337" s="564"/>
      <c r="BC337" s="564"/>
      <c r="BD337" s="464"/>
      <c r="BE337" s="464"/>
      <c r="BF337" s="464">
        <v>2020</v>
      </c>
    </row>
    <row r="338" spans="1:58 16166:16373" ht="15" customHeight="1">
      <c r="A338" s="371" t="s">
        <v>507</v>
      </c>
      <c r="B338" s="371"/>
      <c r="C338" s="371"/>
      <c r="D338" s="371"/>
      <c r="E338" s="371"/>
      <c r="F338" s="371"/>
      <c r="G338" s="371"/>
      <c r="H338" s="371"/>
      <c r="I338" s="371"/>
      <c r="J338" s="371"/>
      <c r="K338" s="371">
        <f>SUM(K339:K350)</f>
        <v>35</v>
      </c>
      <c r="L338" s="370">
        <f t="shared" ref="L338:O338" si="52">SUM(L339:L350)</f>
        <v>35</v>
      </c>
      <c r="M338" s="370">
        <f t="shared" si="52"/>
        <v>122</v>
      </c>
      <c r="N338" s="370">
        <f t="shared" si="52"/>
        <v>122</v>
      </c>
      <c r="O338" s="370">
        <f t="shared" si="52"/>
        <v>0</v>
      </c>
      <c r="P338" s="371"/>
      <c r="Q338" s="371"/>
      <c r="R338" s="371"/>
      <c r="S338" s="371"/>
      <c r="T338" s="586"/>
      <c r="U338" s="371"/>
      <c r="V338" s="371"/>
      <c r="W338" s="371"/>
      <c r="X338" s="371"/>
      <c r="Y338" s="371"/>
      <c r="Z338" s="371"/>
      <c r="AA338" s="371"/>
      <c r="AB338" s="371"/>
      <c r="AC338" s="371"/>
      <c r="AD338" s="371"/>
      <c r="AE338" s="371"/>
      <c r="AF338" s="371"/>
      <c r="AG338" s="371"/>
      <c r="AH338" s="371"/>
      <c r="AI338" s="371"/>
      <c r="AJ338" s="371"/>
      <c r="AK338" s="371"/>
      <c r="AL338" s="371"/>
      <c r="AM338" s="370">
        <f t="shared" ref="AM338:AR338" si="53">SUM(AM339:AM350)</f>
        <v>1</v>
      </c>
      <c r="AN338" s="370">
        <f t="shared" si="53"/>
        <v>121</v>
      </c>
      <c r="AO338" s="370">
        <f t="shared" si="53"/>
        <v>0</v>
      </c>
      <c r="AP338" s="370">
        <f t="shared" si="53"/>
        <v>0</v>
      </c>
      <c r="AQ338" s="370">
        <f t="shared" si="53"/>
        <v>0</v>
      </c>
      <c r="AR338" s="370">
        <f t="shared" si="53"/>
        <v>0</v>
      </c>
      <c r="AS338" s="371"/>
      <c r="AT338" s="371"/>
      <c r="AU338" s="385"/>
      <c r="AV338" s="370">
        <f t="shared" ref="AV338:BC338" si="54">SUM(AV339:AV350)</f>
        <v>131</v>
      </c>
      <c r="AW338" s="370">
        <f t="shared" si="54"/>
        <v>96</v>
      </c>
      <c r="AX338" s="370">
        <f t="shared" si="54"/>
        <v>1</v>
      </c>
      <c r="AY338" s="370">
        <f t="shared" si="54"/>
        <v>35</v>
      </c>
      <c r="AZ338" s="370"/>
      <c r="BA338" s="370">
        <f t="shared" si="54"/>
        <v>1</v>
      </c>
      <c r="BB338" s="370">
        <f t="shared" si="54"/>
        <v>35</v>
      </c>
      <c r="BC338" s="371">
        <f t="shared" si="54"/>
        <v>0</v>
      </c>
      <c r="BD338" s="371"/>
      <c r="BE338" s="371">
        <v>2019</v>
      </c>
      <c r="BF338" s="371">
        <v>2020</v>
      </c>
      <c r="WXW338" s="371"/>
      <c r="WXX338" s="371"/>
      <c r="WXY338" s="371"/>
      <c r="WXZ338" s="371"/>
      <c r="WYA338" s="371"/>
      <c r="WYB338" s="370"/>
      <c r="WYC338" s="370"/>
      <c r="WYD338" s="370"/>
      <c r="WYE338" s="370"/>
      <c r="WYF338" s="370"/>
      <c r="WYG338" s="370"/>
      <c r="WYH338" s="370"/>
      <c r="WYI338" s="370"/>
      <c r="WYJ338" s="370"/>
      <c r="WYK338" s="370"/>
      <c r="WYZ338" s="371"/>
      <c r="WZA338" s="371"/>
      <c r="WZB338" s="371"/>
      <c r="WZC338" s="371"/>
      <c r="WZD338" s="371"/>
      <c r="WZE338" s="370"/>
      <c r="WZF338" s="370"/>
      <c r="XAC338" s="371"/>
      <c r="XAD338" s="371"/>
      <c r="XAE338" s="371"/>
      <c r="XAF338" s="371"/>
      <c r="XAG338" s="371"/>
      <c r="XBF338" s="371"/>
      <c r="XBG338" s="371"/>
      <c r="XBH338" s="371"/>
      <c r="XBI338" s="371"/>
      <c r="XBJ338" s="371"/>
      <c r="XCI338" s="371"/>
      <c r="XCJ338" s="371"/>
      <c r="XCK338" s="371"/>
      <c r="XCL338" s="371"/>
      <c r="XCM338" s="371"/>
      <c r="XDL338" s="371"/>
      <c r="XDM338" s="371"/>
      <c r="XDN338" s="371"/>
      <c r="XDO338" s="371"/>
      <c r="XDP338" s="371"/>
      <c r="XEO338" s="371"/>
      <c r="XEP338" s="371"/>
      <c r="XEQ338" s="371"/>
      <c r="XER338" s="371"/>
      <c r="XES338" s="371"/>
    </row>
    <row r="339" spans="1:58 16166:16373" s="204" customFormat="1" ht="15" hidden="1" customHeight="1">
      <c r="A339" s="160" t="s">
        <v>507</v>
      </c>
      <c r="B339" s="58" t="s">
        <v>151</v>
      </c>
      <c r="C339" s="148" t="s">
        <v>918</v>
      </c>
      <c r="D339" s="33" t="s">
        <v>61</v>
      </c>
      <c r="E339" s="33"/>
      <c r="F339" s="33"/>
      <c r="G339" s="33"/>
      <c r="H339" s="30" t="s">
        <v>648</v>
      </c>
      <c r="I339" s="226">
        <v>794</v>
      </c>
      <c r="J339" s="212">
        <v>42128</v>
      </c>
      <c r="K339" s="158"/>
      <c r="L339" s="158"/>
      <c r="M339" s="158"/>
      <c r="N339" s="158"/>
      <c r="O339" s="158"/>
      <c r="P339" s="158">
        <v>2786281037</v>
      </c>
      <c r="Q339" s="158">
        <v>274000000</v>
      </c>
      <c r="R339" s="158"/>
      <c r="S339" s="158"/>
      <c r="T339" s="586">
        <v>1127104543</v>
      </c>
      <c r="U339" s="158"/>
      <c r="V339" s="158"/>
      <c r="W339" s="158"/>
      <c r="X339" s="158"/>
      <c r="Y339" s="158">
        <v>1385176494</v>
      </c>
      <c r="Z339" s="69"/>
      <c r="AA339" s="69"/>
      <c r="AB339" s="69"/>
      <c r="AC339" s="69"/>
      <c r="AD339" s="158"/>
      <c r="AE339" s="158">
        <f>P339-T339-Y339-2000</f>
        <v>273998000</v>
      </c>
      <c r="AF339" s="158"/>
      <c r="AG339" s="158"/>
      <c r="AH339" s="158"/>
      <c r="AI339" s="158"/>
      <c r="AJ339" s="158"/>
      <c r="AK339" s="158">
        <v>877</v>
      </c>
      <c r="AL339" s="158">
        <v>10</v>
      </c>
      <c r="AM339" s="158"/>
      <c r="AN339" s="158"/>
      <c r="AO339" s="158"/>
      <c r="AP339" s="158"/>
      <c r="AQ339" s="158"/>
      <c r="AR339" s="158"/>
      <c r="AS339" s="2"/>
      <c r="AT339" s="58"/>
      <c r="AU339" s="102"/>
      <c r="AV339" s="158">
        <v>41</v>
      </c>
      <c r="AW339" s="158"/>
      <c r="AX339" s="158"/>
      <c r="AY339" s="158"/>
      <c r="AZ339" s="158"/>
      <c r="BA339" s="158"/>
      <c r="BB339" s="69"/>
      <c r="BC339" s="69"/>
      <c r="BD339" s="271">
        <v>2016</v>
      </c>
      <c r="BE339" s="271"/>
      <c r="BF339" s="444">
        <v>2019</v>
      </c>
    </row>
    <row r="340" spans="1:58 16166:16373" s="204" customFormat="1" ht="15" hidden="1" customHeight="1">
      <c r="A340" s="248" t="s">
        <v>507</v>
      </c>
      <c r="B340" s="58" t="s">
        <v>150</v>
      </c>
      <c r="C340" s="148" t="s">
        <v>152</v>
      </c>
      <c r="D340" s="33" t="s">
        <v>61</v>
      </c>
      <c r="E340" s="33"/>
      <c r="F340" s="33"/>
      <c r="G340" s="33"/>
      <c r="H340" s="30"/>
      <c r="I340" s="58"/>
      <c r="J340" s="212"/>
      <c r="K340" s="158"/>
      <c r="L340" s="158"/>
      <c r="M340" s="158"/>
      <c r="N340" s="158"/>
      <c r="O340" s="158"/>
      <c r="P340" s="158"/>
      <c r="Q340" s="158"/>
      <c r="R340" s="158"/>
      <c r="S340" s="158"/>
      <c r="T340" s="586"/>
      <c r="U340" s="158"/>
      <c r="V340" s="158"/>
      <c r="W340" s="158"/>
      <c r="X340" s="158"/>
      <c r="Y340" s="94"/>
      <c r="Z340" s="158"/>
      <c r="AA340" s="92"/>
      <c r="AB340" s="92"/>
      <c r="AC340" s="92"/>
      <c r="AD340" s="158"/>
      <c r="AE340" s="158"/>
      <c r="AF340" s="158"/>
      <c r="AG340" s="158"/>
      <c r="AH340" s="158"/>
      <c r="AI340" s="158"/>
      <c r="AJ340" s="158"/>
      <c r="AK340" s="158"/>
      <c r="AL340" s="158"/>
      <c r="AM340" s="158"/>
      <c r="AN340" s="158"/>
      <c r="AO340" s="158"/>
      <c r="AP340" s="158"/>
      <c r="AQ340" s="158"/>
      <c r="AR340" s="158"/>
      <c r="AS340" s="2"/>
      <c r="AT340" s="58"/>
      <c r="AU340" s="106"/>
      <c r="AV340" s="158">
        <v>60</v>
      </c>
      <c r="AW340" s="158"/>
      <c r="AX340" s="158"/>
      <c r="AY340" s="158"/>
      <c r="AZ340" s="158"/>
      <c r="BA340" s="158"/>
      <c r="BB340" s="69"/>
      <c r="BC340" s="69"/>
      <c r="BD340" s="271">
        <v>2016</v>
      </c>
      <c r="BE340" s="271"/>
      <c r="BF340" s="271"/>
    </row>
    <row r="341" spans="1:58 16166:16373" s="204" customFormat="1" ht="15" hidden="1" customHeight="1">
      <c r="A341" s="160" t="s">
        <v>507</v>
      </c>
      <c r="B341" s="58" t="s">
        <v>154</v>
      </c>
      <c r="C341" s="148" t="s">
        <v>153</v>
      </c>
      <c r="D341" s="33" t="s">
        <v>61</v>
      </c>
      <c r="E341" s="33"/>
      <c r="F341" s="33"/>
      <c r="G341" s="33"/>
      <c r="H341" s="30" t="s">
        <v>653</v>
      </c>
      <c r="I341" s="30"/>
      <c r="J341" s="212"/>
      <c r="K341" s="158"/>
      <c r="L341" s="158"/>
      <c r="M341" s="158"/>
      <c r="N341" s="158"/>
      <c r="O341" s="158"/>
      <c r="P341" s="158"/>
      <c r="Q341" s="158"/>
      <c r="R341" s="158"/>
      <c r="S341" s="158"/>
      <c r="T341" s="586"/>
      <c r="U341" s="158"/>
      <c r="V341" s="158"/>
      <c r="W341" s="158"/>
      <c r="X341" s="158"/>
      <c r="Y341" s="94"/>
      <c r="Z341" s="158"/>
      <c r="AA341" s="158"/>
      <c r="AB341" s="158"/>
      <c r="AC341" s="158"/>
      <c r="AD341" s="158"/>
      <c r="AE341" s="158"/>
      <c r="AF341" s="158"/>
      <c r="AG341" s="158"/>
      <c r="AH341" s="158"/>
      <c r="AI341" s="158"/>
      <c r="AJ341" s="158"/>
      <c r="AK341" s="158"/>
      <c r="AL341" s="158"/>
      <c r="AM341" s="158"/>
      <c r="AN341" s="158"/>
      <c r="AO341" s="158"/>
      <c r="AP341" s="158"/>
      <c r="AQ341" s="158"/>
      <c r="AR341" s="158"/>
      <c r="AS341" s="2">
        <v>1</v>
      </c>
      <c r="AT341" s="58" t="s">
        <v>646</v>
      </c>
      <c r="AU341" s="106"/>
      <c r="AV341" s="158" t="s">
        <v>0</v>
      </c>
      <c r="AW341" s="158">
        <v>37</v>
      </c>
      <c r="AX341" s="158"/>
      <c r="AY341" s="158"/>
      <c r="AZ341" s="158"/>
      <c r="BA341" s="158"/>
      <c r="BB341" s="69"/>
      <c r="BC341" s="69"/>
      <c r="BD341" s="271">
        <v>2017</v>
      </c>
      <c r="BE341" s="271"/>
      <c r="BF341" s="271"/>
    </row>
    <row r="342" spans="1:58 16166:16373" s="204" customFormat="1" ht="15" hidden="1" customHeight="1">
      <c r="A342" s="160" t="s">
        <v>507</v>
      </c>
      <c r="B342" s="58" t="s">
        <v>154</v>
      </c>
      <c r="C342" s="148" t="s">
        <v>155</v>
      </c>
      <c r="D342" s="33" t="s">
        <v>61</v>
      </c>
      <c r="E342" s="33"/>
      <c r="F342" s="33"/>
      <c r="G342" s="33"/>
      <c r="H342" s="30"/>
      <c r="I342" s="58"/>
      <c r="J342" s="212"/>
      <c r="K342" s="158"/>
      <c r="L342" s="158"/>
      <c r="M342" s="158"/>
      <c r="N342" s="158"/>
      <c r="O342" s="158"/>
      <c r="P342" s="158"/>
      <c r="Q342" s="158"/>
      <c r="R342" s="158"/>
      <c r="S342" s="158"/>
      <c r="T342" s="586"/>
      <c r="U342" s="158"/>
      <c r="V342" s="158"/>
      <c r="W342" s="158"/>
      <c r="X342" s="158"/>
      <c r="Y342" s="94"/>
      <c r="Z342" s="158"/>
      <c r="AA342" s="158"/>
      <c r="AB342" s="158"/>
      <c r="AC342" s="158"/>
      <c r="AD342" s="158"/>
      <c r="AE342" s="158"/>
      <c r="AF342" s="158"/>
      <c r="AG342" s="158"/>
      <c r="AH342" s="158"/>
      <c r="AI342" s="158"/>
      <c r="AJ342" s="158"/>
      <c r="AK342" s="158"/>
      <c r="AL342" s="158"/>
      <c r="AM342" s="158"/>
      <c r="AN342" s="158"/>
      <c r="AO342" s="158"/>
      <c r="AP342" s="158"/>
      <c r="AQ342" s="158"/>
      <c r="AR342" s="158"/>
      <c r="AS342" s="2"/>
      <c r="AT342" s="58"/>
      <c r="AU342" s="106"/>
      <c r="AV342" s="158">
        <v>30</v>
      </c>
      <c r="AW342" s="158"/>
      <c r="AX342" s="158"/>
      <c r="AY342" s="158"/>
      <c r="AZ342" s="158"/>
      <c r="BA342" s="158"/>
      <c r="BB342" s="69"/>
      <c r="BC342" s="69"/>
      <c r="BD342" s="271">
        <v>2016</v>
      </c>
      <c r="BE342" s="271"/>
      <c r="BF342" s="444"/>
    </row>
    <row r="343" spans="1:58 16166:16373" s="204" customFormat="1" ht="15" hidden="1" customHeight="1">
      <c r="A343" s="160" t="s">
        <v>507</v>
      </c>
      <c r="B343" s="58" t="s">
        <v>545</v>
      </c>
      <c r="C343" s="148" t="s">
        <v>156</v>
      </c>
      <c r="D343" s="33" t="s">
        <v>61</v>
      </c>
      <c r="E343" s="33"/>
      <c r="F343" s="33"/>
      <c r="G343" s="33"/>
      <c r="H343" s="30" t="s">
        <v>651</v>
      </c>
      <c r="I343" s="30"/>
      <c r="J343" s="212"/>
      <c r="K343" s="158"/>
      <c r="L343" s="158"/>
      <c r="M343" s="158"/>
      <c r="N343" s="158"/>
      <c r="O343" s="158"/>
      <c r="P343" s="158"/>
      <c r="Q343" s="158"/>
      <c r="R343" s="158"/>
      <c r="S343" s="158"/>
      <c r="T343" s="586"/>
      <c r="U343" s="158"/>
      <c r="V343" s="158"/>
      <c r="W343" s="158"/>
      <c r="X343" s="158"/>
      <c r="Y343" s="94"/>
      <c r="Z343" s="158"/>
      <c r="AA343" s="158"/>
      <c r="AB343" s="158"/>
      <c r="AC343" s="158"/>
      <c r="AD343" s="158"/>
      <c r="AE343" s="158"/>
      <c r="AF343" s="158"/>
      <c r="AG343" s="158"/>
      <c r="AH343" s="158"/>
      <c r="AI343" s="158"/>
      <c r="AJ343" s="158"/>
      <c r="AK343" s="158"/>
      <c r="AL343" s="158"/>
      <c r="AM343" s="158"/>
      <c r="AN343" s="158"/>
      <c r="AO343" s="158"/>
      <c r="AP343" s="158"/>
      <c r="AQ343" s="158"/>
      <c r="AR343" s="158"/>
      <c r="AS343" s="2">
        <v>1</v>
      </c>
      <c r="AT343" s="58" t="s">
        <v>646</v>
      </c>
      <c r="AU343" s="105"/>
      <c r="AV343" s="158" t="s">
        <v>0</v>
      </c>
      <c r="AW343" s="158">
        <v>59</v>
      </c>
      <c r="AX343" s="158"/>
      <c r="AY343" s="158"/>
      <c r="AZ343" s="158"/>
      <c r="BA343" s="158"/>
      <c r="BB343" s="69"/>
      <c r="BC343" s="69"/>
      <c r="BD343" s="271">
        <v>2017</v>
      </c>
      <c r="BE343" s="271"/>
      <c r="BF343" s="271"/>
    </row>
    <row r="344" spans="1:58 16166:16373" s="204" customFormat="1" ht="15" hidden="1" customHeight="1">
      <c r="A344" s="160" t="s">
        <v>507</v>
      </c>
      <c r="B344" s="58" t="s">
        <v>545</v>
      </c>
      <c r="C344" s="148" t="s">
        <v>156</v>
      </c>
      <c r="D344" s="33" t="s">
        <v>61</v>
      </c>
      <c r="E344" s="33"/>
      <c r="F344" s="33"/>
      <c r="G344" s="33"/>
      <c r="H344" s="30" t="s">
        <v>651</v>
      </c>
      <c r="I344" s="30"/>
      <c r="J344" s="212"/>
      <c r="K344" s="158"/>
      <c r="L344" s="158"/>
      <c r="M344" s="158"/>
      <c r="N344" s="158"/>
      <c r="O344" s="158"/>
      <c r="P344" s="158"/>
      <c r="Q344" s="158"/>
      <c r="R344" s="158"/>
      <c r="S344" s="158"/>
      <c r="T344" s="586"/>
      <c r="U344" s="158"/>
      <c r="V344" s="158"/>
      <c r="W344" s="158"/>
      <c r="X344" s="158"/>
      <c r="Y344" s="94"/>
      <c r="Z344" s="158"/>
      <c r="AA344" s="158"/>
      <c r="AB344" s="158"/>
      <c r="AC344" s="158"/>
      <c r="AD344" s="158"/>
      <c r="AE344" s="158"/>
      <c r="AF344" s="158"/>
      <c r="AG344" s="158"/>
      <c r="AH344" s="158"/>
      <c r="AI344" s="158"/>
      <c r="AJ344" s="158"/>
      <c r="AK344" s="158"/>
      <c r="AL344" s="158"/>
      <c r="AM344" s="158"/>
      <c r="AN344" s="158"/>
      <c r="AO344" s="158"/>
      <c r="AP344" s="158"/>
      <c r="AQ344" s="158"/>
      <c r="AR344" s="158"/>
      <c r="AS344" s="2">
        <v>1</v>
      </c>
      <c r="AT344" s="58" t="s">
        <v>646</v>
      </c>
      <c r="AU344" s="105" t="s">
        <v>1103</v>
      </c>
      <c r="AV344" s="158" t="s">
        <v>0</v>
      </c>
      <c r="AW344" s="158"/>
      <c r="AX344" s="158">
        <v>1</v>
      </c>
      <c r="AY344" s="158"/>
      <c r="AZ344" s="158"/>
      <c r="BA344" s="158">
        <v>1</v>
      </c>
      <c r="BB344" s="69"/>
      <c r="BC344" s="69"/>
      <c r="BD344" s="271">
        <v>2018</v>
      </c>
      <c r="BE344" s="271"/>
      <c r="BF344" s="271"/>
    </row>
    <row r="345" spans="1:58 16166:16373" s="204" customFormat="1" ht="18" hidden="1" customHeight="1">
      <c r="A345" s="160" t="s">
        <v>507</v>
      </c>
      <c r="B345" s="58" t="s">
        <v>1118</v>
      </c>
      <c r="C345" s="148" t="s">
        <v>1123</v>
      </c>
      <c r="D345" s="33" t="s">
        <v>61</v>
      </c>
      <c r="E345" s="33"/>
      <c r="F345" s="33"/>
      <c r="G345" s="33"/>
      <c r="H345" s="30" t="s">
        <v>1116</v>
      </c>
      <c r="I345" s="30">
        <v>370</v>
      </c>
      <c r="J345" s="212">
        <v>43411</v>
      </c>
      <c r="K345" s="158">
        <v>35</v>
      </c>
      <c r="L345" s="158">
        <v>35</v>
      </c>
      <c r="M345" s="158"/>
      <c r="N345" s="158"/>
      <c r="O345" s="158"/>
      <c r="P345" s="158">
        <v>2303500476</v>
      </c>
      <c r="Q345" s="158"/>
      <c r="R345" s="158"/>
      <c r="S345" s="158"/>
      <c r="T345" s="586">
        <v>1019915196</v>
      </c>
      <c r="U345" s="158">
        <v>10</v>
      </c>
      <c r="V345" s="158"/>
      <c r="W345" s="158"/>
      <c r="X345" s="158"/>
      <c r="Y345" s="158">
        <v>1283585280</v>
      </c>
      <c r="Z345" s="214">
        <v>10</v>
      </c>
      <c r="AA345" s="311">
        <v>43525</v>
      </c>
      <c r="AB345" s="311"/>
      <c r="AC345" s="214"/>
      <c r="AD345" s="158"/>
      <c r="AE345" s="158">
        <f>P345-T345-Y345</f>
        <v>0</v>
      </c>
      <c r="AF345" s="158"/>
      <c r="AG345" s="94">
        <v>0</v>
      </c>
      <c r="AH345" s="94"/>
      <c r="AI345" s="94"/>
      <c r="AJ345" s="158">
        <f t="shared" ref="AJ345:AJ349" si="55">AE345+AG345</f>
        <v>0</v>
      </c>
      <c r="AK345" s="158">
        <v>877</v>
      </c>
      <c r="AL345" s="158">
        <v>10</v>
      </c>
      <c r="AM345" s="158"/>
      <c r="AN345" s="158"/>
      <c r="AO345" s="158"/>
      <c r="AP345" s="158"/>
      <c r="AQ345" s="158"/>
      <c r="AR345" s="158"/>
      <c r="AS345" s="2">
        <v>1</v>
      </c>
      <c r="AT345" s="58" t="s">
        <v>646</v>
      </c>
      <c r="AU345" s="386"/>
      <c r="AV345" s="158"/>
      <c r="AW345" s="158"/>
      <c r="AX345" s="158"/>
      <c r="AY345" s="158">
        <v>35</v>
      </c>
      <c r="AZ345" s="158"/>
      <c r="BA345" s="158"/>
      <c r="BB345" s="69">
        <v>35</v>
      </c>
      <c r="BC345" s="69"/>
      <c r="BD345" s="271">
        <v>2019</v>
      </c>
      <c r="BE345" s="271">
        <v>2019</v>
      </c>
      <c r="BF345" s="271"/>
    </row>
    <row r="346" spans="1:58 16166:16373" s="204" customFormat="1" ht="18" customHeight="1">
      <c r="A346" s="160" t="s">
        <v>507</v>
      </c>
      <c r="B346" s="58" t="s">
        <v>1118</v>
      </c>
      <c r="C346" s="148" t="s">
        <v>1244</v>
      </c>
      <c r="D346" s="33" t="s">
        <v>1245</v>
      </c>
      <c r="E346" s="33"/>
      <c r="F346" s="33"/>
      <c r="G346" s="33"/>
      <c r="H346" s="30" t="s">
        <v>1232</v>
      </c>
      <c r="I346" s="30">
        <v>496</v>
      </c>
      <c r="J346" s="212">
        <v>43539</v>
      </c>
      <c r="K346" s="158"/>
      <c r="L346" s="158"/>
      <c r="M346" s="158">
        <v>15</v>
      </c>
      <c r="N346" s="158">
        <v>15</v>
      </c>
      <c r="O346" s="158"/>
      <c r="P346" s="158">
        <v>1053550669</v>
      </c>
      <c r="Q346" s="158"/>
      <c r="R346" s="158"/>
      <c r="S346" s="158"/>
      <c r="T346" s="586">
        <v>546959270</v>
      </c>
      <c r="U346" s="158">
        <v>20</v>
      </c>
      <c r="V346" s="311">
        <v>43678</v>
      </c>
      <c r="W346" s="311"/>
      <c r="X346" s="311"/>
      <c r="Y346" s="158">
        <v>506591399</v>
      </c>
      <c r="Z346" s="158">
        <v>20</v>
      </c>
      <c r="AA346" s="311">
        <v>43800</v>
      </c>
      <c r="AB346" s="311"/>
      <c r="AC346" s="158"/>
      <c r="AD346" s="158"/>
      <c r="AE346" s="158">
        <f>P346-Q346-T346-Y346</f>
        <v>0</v>
      </c>
      <c r="AF346" s="158"/>
      <c r="AG346" s="94">
        <v>0</v>
      </c>
      <c r="AH346" s="94"/>
      <c r="AI346" s="94"/>
      <c r="AJ346" s="158">
        <f t="shared" si="55"/>
        <v>0</v>
      </c>
      <c r="AK346" s="158">
        <v>877</v>
      </c>
      <c r="AL346" s="158">
        <v>20</v>
      </c>
      <c r="AM346" s="158"/>
      <c r="AN346" s="158">
        <v>15</v>
      </c>
      <c r="AO346" s="158"/>
      <c r="AP346" s="158"/>
      <c r="AQ346" s="158"/>
      <c r="AR346" s="158"/>
      <c r="AS346" s="56">
        <v>0.5554</v>
      </c>
      <c r="AT346" s="58" t="s">
        <v>38</v>
      </c>
      <c r="AU346" s="386"/>
      <c r="AV346" s="158"/>
      <c r="AW346" s="158"/>
      <c r="AX346" s="158"/>
      <c r="AY346" s="158"/>
      <c r="AZ346" s="158"/>
      <c r="BA346" s="158"/>
      <c r="BB346" s="69"/>
      <c r="BC346" s="69"/>
      <c r="BD346" s="271"/>
      <c r="BE346" s="271">
        <v>2019</v>
      </c>
      <c r="BF346" s="271">
        <v>2020</v>
      </c>
    </row>
    <row r="347" spans="1:58 16166:16373" s="204" customFormat="1" ht="18" customHeight="1">
      <c r="A347" s="160" t="s">
        <v>507</v>
      </c>
      <c r="B347" s="58" t="s">
        <v>1607</v>
      </c>
      <c r="C347" s="489" t="s">
        <v>1630</v>
      </c>
      <c r="D347" s="483" t="s">
        <v>61</v>
      </c>
      <c r="E347" s="483"/>
      <c r="F347" s="483"/>
      <c r="G347" s="483"/>
      <c r="H347" s="30" t="s">
        <v>1605</v>
      </c>
      <c r="I347" s="628" t="s">
        <v>1633</v>
      </c>
      <c r="J347" s="215" t="s">
        <v>1631</v>
      </c>
      <c r="K347" s="158"/>
      <c r="L347" s="158"/>
      <c r="M347" s="158">
        <f>59-1</f>
        <v>58</v>
      </c>
      <c r="N347" s="158">
        <v>58</v>
      </c>
      <c r="O347" s="158"/>
      <c r="P347" s="158">
        <f>4842834673-82081944</f>
        <v>4760752729</v>
      </c>
      <c r="Q347" s="158">
        <v>580000000</v>
      </c>
      <c r="R347" s="158">
        <v>20</v>
      </c>
      <c r="S347" s="311">
        <v>43678</v>
      </c>
      <c r="T347" s="586">
        <v>2249422233</v>
      </c>
      <c r="U347" s="158">
        <v>20</v>
      </c>
      <c r="V347" s="311">
        <v>43739</v>
      </c>
      <c r="W347" s="311"/>
      <c r="X347" s="311"/>
      <c r="Y347" s="626">
        <v>1931330496</v>
      </c>
      <c r="Z347" s="72">
        <v>20</v>
      </c>
      <c r="AA347" s="484">
        <v>43861</v>
      </c>
      <c r="AB347" s="615"/>
      <c r="AC347" s="158"/>
      <c r="AD347" s="158"/>
      <c r="AE347" s="158">
        <f>P347-Q347-T347-Y347-AG347</f>
        <v>0</v>
      </c>
      <c r="AF347" s="158"/>
      <c r="AG347" s="94">
        <v>0</v>
      </c>
      <c r="AH347" s="94"/>
      <c r="AI347" s="94"/>
      <c r="AJ347" s="158">
        <f t="shared" si="55"/>
        <v>0</v>
      </c>
      <c r="AK347" s="158">
        <v>877</v>
      </c>
      <c r="AL347" s="158">
        <v>20</v>
      </c>
      <c r="AM347" s="158"/>
      <c r="AN347" s="72">
        <v>58</v>
      </c>
      <c r="AO347" s="158"/>
      <c r="AP347" s="158"/>
      <c r="AQ347" s="158"/>
      <c r="AR347" s="158"/>
      <c r="AS347" s="494">
        <v>0.1207</v>
      </c>
      <c r="AT347" s="485" t="s">
        <v>38</v>
      </c>
      <c r="AU347" s="386" t="s">
        <v>2207</v>
      </c>
      <c r="AV347" s="158"/>
      <c r="AW347" s="158"/>
      <c r="AX347" s="158"/>
      <c r="AY347" s="158"/>
      <c r="AZ347" s="158"/>
      <c r="BA347" s="158"/>
      <c r="BB347" s="69"/>
      <c r="BC347" s="69"/>
      <c r="BD347" s="271"/>
      <c r="BE347" s="271">
        <v>2019</v>
      </c>
      <c r="BF347" s="271">
        <v>2020</v>
      </c>
    </row>
    <row r="348" spans="1:58 16166:16373" s="204" customFormat="1" ht="18" customHeight="1">
      <c r="A348" s="160" t="s">
        <v>507</v>
      </c>
      <c r="B348" s="58" t="s">
        <v>1607</v>
      </c>
      <c r="C348" s="489" t="s">
        <v>1630</v>
      </c>
      <c r="D348" s="483" t="s">
        <v>61</v>
      </c>
      <c r="E348" s="483"/>
      <c r="F348" s="483"/>
      <c r="G348" s="483"/>
      <c r="H348" s="30" t="s">
        <v>1605</v>
      </c>
      <c r="I348" s="115" t="s">
        <v>1974</v>
      </c>
      <c r="J348" s="215" t="s">
        <v>1975</v>
      </c>
      <c r="K348" s="158"/>
      <c r="L348" s="158"/>
      <c r="M348" s="158">
        <v>1</v>
      </c>
      <c r="N348" s="158">
        <v>1</v>
      </c>
      <c r="O348" s="158"/>
      <c r="P348" s="158">
        <v>82081944</v>
      </c>
      <c r="Q348" s="156">
        <v>10000000</v>
      </c>
      <c r="R348" s="72">
        <v>10</v>
      </c>
      <c r="S348" s="484">
        <v>43951</v>
      </c>
      <c r="T348" s="586"/>
      <c r="U348" s="158"/>
      <c r="V348" s="311"/>
      <c r="W348" s="311"/>
      <c r="X348" s="311"/>
      <c r="Y348" s="611"/>
      <c r="Z348" s="158"/>
      <c r="AA348" s="158"/>
      <c r="AB348" s="158"/>
      <c r="AC348" s="158"/>
      <c r="AD348" s="158"/>
      <c r="AE348" s="158">
        <f>P348-Q348-T348-Y348-AG348</f>
        <v>72081944</v>
      </c>
      <c r="AF348" s="158"/>
      <c r="AG348" s="94">
        <v>0</v>
      </c>
      <c r="AH348" s="94"/>
      <c r="AI348" s="94"/>
      <c r="AJ348" s="158">
        <f t="shared" si="55"/>
        <v>72081944</v>
      </c>
      <c r="AK348" s="158">
        <v>877</v>
      </c>
      <c r="AL348" s="158">
        <v>10</v>
      </c>
      <c r="AM348" s="158">
        <v>1</v>
      </c>
      <c r="AN348" s="158"/>
      <c r="AO348" s="158"/>
      <c r="AP348" s="158"/>
      <c r="AQ348" s="158"/>
      <c r="AR348" s="158"/>
      <c r="AS348" s="56">
        <v>0</v>
      </c>
      <c r="AT348" s="58" t="s">
        <v>521</v>
      </c>
      <c r="AU348" s="386"/>
      <c r="AV348" s="158"/>
      <c r="AW348" s="158"/>
      <c r="AX348" s="158"/>
      <c r="AY348" s="158"/>
      <c r="AZ348" s="158"/>
      <c r="BA348" s="158"/>
      <c r="BB348" s="69"/>
      <c r="BC348" s="69"/>
      <c r="BD348" s="271"/>
      <c r="BE348" s="271">
        <v>2019</v>
      </c>
      <c r="BF348" s="271">
        <v>2020</v>
      </c>
    </row>
    <row r="349" spans="1:58 16166:16373" s="204" customFormat="1" ht="27.75" customHeight="1">
      <c r="A349" s="160" t="s">
        <v>507</v>
      </c>
      <c r="B349" s="58" t="s">
        <v>1607</v>
      </c>
      <c r="C349" s="489" t="s">
        <v>1606</v>
      </c>
      <c r="D349" s="483" t="s">
        <v>61</v>
      </c>
      <c r="E349" s="483"/>
      <c r="F349" s="483"/>
      <c r="G349" s="483"/>
      <c r="H349" s="30" t="s">
        <v>1605</v>
      </c>
      <c r="I349" s="115" t="s">
        <v>1632</v>
      </c>
      <c r="J349" s="215" t="s">
        <v>2221</v>
      </c>
      <c r="K349" s="158"/>
      <c r="L349" s="158"/>
      <c r="M349" s="158">
        <v>18</v>
      </c>
      <c r="N349" s="158">
        <v>18</v>
      </c>
      <c r="O349" s="158"/>
      <c r="P349" s="158">
        <v>1498763726</v>
      </c>
      <c r="Q349" s="158">
        <v>180000000</v>
      </c>
      <c r="R349" s="158">
        <v>20</v>
      </c>
      <c r="S349" s="311">
        <v>43709</v>
      </c>
      <c r="T349" s="586">
        <v>695320167</v>
      </c>
      <c r="U349" s="158">
        <v>20</v>
      </c>
      <c r="V349" s="311">
        <v>43739</v>
      </c>
      <c r="W349" s="311"/>
      <c r="X349" s="311"/>
      <c r="Y349" s="623">
        <f>613993378+9450181</f>
        <v>623443559</v>
      </c>
      <c r="Z349" s="490" t="s">
        <v>1657</v>
      </c>
      <c r="AA349" s="484">
        <v>43861</v>
      </c>
      <c r="AB349" s="615"/>
      <c r="AC349" s="158"/>
      <c r="AD349" s="158"/>
      <c r="AE349" s="158">
        <f>P349-Q349-T349-Y349-AG349</f>
        <v>0</v>
      </c>
      <c r="AF349" s="158"/>
      <c r="AG349" s="94">
        <v>0</v>
      </c>
      <c r="AH349" s="94"/>
      <c r="AI349" s="94"/>
      <c r="AJ349" s="158">
        <f t="shared" si="55"/>
        <v>0</v>
      </c>
      <c r="AK349" s="158">
        <v>877</v>
      </c>
      <c r="AL349" s="158">
        <v>10</v>
      </c>
      <c r="AM349" s="158"/>
      <c r="AN349" s="72">
        <v>18</v>
      </c>
      <c r="AO349" s="158"/>
      <c r="AP349" s="158"/>
      <c r="AQ349" s="158"/>
      <c r="AR349" s="158"/>
      <c r="AS349" s="494">
        <v>0.106</v>
      </c>
      <c r="AT349" s="485" t="s">
        <v>38</v>
      </c>
      <c r="AU349" s="386"/>
      <c r="AV349" s="158"/>
      <c r="AW349" s="158"/>
      <c r="AX349" s="158"/>
      <c r="AY349" s="158"/>
      <c r="AZ349" s="158"/>
      <c r="BA349" s="158"/>
      <c r="BB349" s="69"/>
      <c r="BC349" s="69"/>
      <c r="BD349" s="271"/>
      <c r="BE349" s="271">
        <v>2019</v>
      </c>
      <c r="BF349" s="271">
        <v>2020</v>
      </c>
    </row>
    <row r="350" spans="1:58 16166:16373" s="204" customFormat="1" ht="26.25" customHeight="1">
      <c r="A350" s="160" t="s">
        <v>507</v>
      </c>
      <c r="B350" s="58" t="s">
        <v>154</v>
      </c>
      <c r="C350" s="486" t="s">
        <v>1921</v>
      </c>
      <c r="D350" s="483" t="s">
        <v>61</v>
      </c>
      <c r="E350" s="483"/>
      <c r="F350" s="483"/>
      <c r="G350" s="483"/>
      <c r="H350" s="30" t="s">
        <v>1920</v>
      </c>
      <c r="I350" s="115">
        <v>2094</v>
      </c>
      <c r="J350" s="212">
        <v>43803</v>
      </c>
      <c r="K350" s="158"/>
      <c r="L350" s="158"/>
      <c r="M350" s="158">
        <v>30</v>
      </c>
      <c r="N350" s="158">
        <v>30</v>
      </c>
      <c r="O350" s="158"/>
      <c r="P350" s="158">
        <v>2186543122</v>
      </c>
      <c r="Q350" s="158"/>
      <c r="R350" s="158"/>
      <c r="S350" s="311"/>
      <c r="T350" s="586">
        <v>1182370065</v>
      </c>
      <c r="U350" s="158">
        <v>20</v>
      </c>
      <c r="V350" s="311">
        <v>43800</v>
      </c>
      <c r="W350" s="311"/>
      <c r="X350" s="311"/>
      <c r="Y350" s="623">
        <v>1004173057</v>
      </c>
      <c r="Z350" s="490">
        <v>20</v>
      </c>
      <c r="AA350" s="484">
        <v>43920</v>
      </c>
      <c r="AB350" s="615"/>
      <c r="AC350" s="158"/>
      <c r="AD350" s="158"/>
      <c r="AE350" s="158">
        <f>P350-Q350-T350-Y350-AG350</f>
        <v>-1004173057</v>
      </c>
      <c r="AF350" s="158"/>
      <c r="AG350" s="158">
        <v>1004173057</v>
      </c>
      <c r="AH350" s="158"/>
      <c r="AI350" s="158"/>
      <c r="AJ350" s="158">
        <f>AE350+AG350</f>
        <v>0</v>
      </c>
      <c r="AK350" s="158">
        <v>877</v>
      </c>
      <c r="AL350" s="158">
        <v>10</v>
      </c>
      <c r="AM350" s="72"/>
      <c r="AN350" s="72">
        <v>30</v>
      </c>
      <c r="AO350" s="158"/>
      <c r="AP350" s="158"/>
      <c r="AQ350" s="158"/>
      <c r="AR350" s="158"/>
      <c r="AS350" s="493">
        <v>0</v>
      </c>
      <c r="AT350" s="485" t="s">
        <v>38</v>
      </c>
      <c r="AU350" s="104" t="s">
        <v>1565</v>
      </c>
      <c r="AV350" s="158"/>
      <c r="AW350" s="158"/>
      <c r="AX350" s="158"/>
      <c r="AY350" s="158"/>
      <c r="AZ350" s="158"/>
      <c r="BA350" s="158"/>
      <c r="BB350" s="69"/>
      <c r="BC350" s="69"/>
      <c r="BD350" s="271"/>
      <c r="BE350" s="271">
        <v>2019</v>
      </c>
      <c r="BF350" s="271">
        <v>2020</v>
      </c>
    </row>
    <row r="351" spans="1:58 16166:16373" ht="15" customHeight="1">
      <c r="A351" s="371" t="s">
        <v>508</v>
      </c>
      <c r="B351" s="371"/>
      <c r="C351" s="371"/>
      <c r="D351" s="371"/>
      <c r="E351" s="371"/>
      <c r="F351" s="371"/>
      <c r="G351" s="371"/>
      <c r="H351" s="371"/>
      <c r="I351" s="371"/>
      <c r="J351" s="371"/>
      <c r="K351" s="371">
        <f>SUM(K352:K372)</f>
        <v>71</v>
      </c>
      <c r="L351" s="370">
        <f t="shared" ref="L351:O351" si="56">SUM(L352:L372)</f>
        <v>75</v>
      </c>
      <c r="M351" s="370">
        <f t="shared" si="56"/>
        <v>183</v>
      </c>
      <c r="N351" s="424">
        <f>SUM(N352:N374)</f>
        <v>186</v>
      </c>
      <c r="O351" s="370">
        <f t="shared" si="56"/>
        <v>65</v>
      </c>
      <c r="P351" s="371"/>
      <c r="Q351" s="371"/>
      <c r="R351" s="371"/>
      <c r="S351" s="371"/>
      <c r="T351" s="586"/>
      <c r="U351" s="371"/>
      <c r="V351" s="371"/>
      <c r="W351" s="371"/>
      <c r="X351" s="371"/>
      <c r="Y351" s="371"/>
      <c r="Z351" s="371"/>
      <c r="AA351" s="371"/>
      <c r="AB351" s="371"/>
      <c r="AC351" s="371"/>
      <c r="AD351" s="371"/>
      <c r="AE351" s="371"/>
      <c r="AF351" s="371"/>
      <c r="AG351" s="371"/>
      <c r="AH351" s="371"/>
      <c r="AI351" s="371"/>
      <c r="AJ351" s="371"/>
      <c r="AK351" s="371"/>
      <c r="AL351" s="371"/>
      <c r="AM351" s="424">
        <f t="shared" ref="AM351:AR351" si="57">SUM(AM352:AM374)</f>
        <v>4</v>
      </c>
      <c r="AN351" s="424">
        <f t="shared" si="57"/>
        <v>185</v>
      </c>
      <c r="AO351" s="424">
        <f t="shared" si="57"/>
        <v>0</v>
      </c>
      <c r="AP351" s="424">
        <f t="shared" si="57"/>
        <v>47</v>
      </c>
      <c r="AQ351" s="424">
        <f t="shared" si="57"/>
        <v>15</v>
      </c>
      <c r="AR351" s="424">
        <f t="shared" si="57"/>
        <v>0</v>
      </c>
      <c r="AS351" s="371"/>
      <c r="AT351" s="371"/>
      <c r="AU351" s="385"/>
      <c r="AV351" s="370">
        <f t="shared" ref="AV351:BC351" si="58">SUM(AV352:AV372)</f>
        <v>75</v>
      </c>
      <c r="AW351" s="370">
        <f t="shared" si="58"/>
        <v>0</v>
      </c>
      <c r="AX351" s="370">
        <f t="shared" si="58"/>
        <v>153</v>
      </c>
      <c r="AY351" s="370">
        <f t="shared" si="58"/>
        <v>75</v>
      </c>
      <c r="AZ351" s="370"/>
      <c r="BA351" s="370">
        <f t="shared" si="58"/>
        <v>114</v>
      </c>
      <c r="BB351" s="370">
        <f t="shared" si="58"/>
        <v>114</v>
      </c>
      <c r="BC351" s="371">
        <f t="shared" si="58"/>
        <v>4</v>
      </c>
      <c r="BD351" s="371"/>
      <c r="BE351" s="371">
        <v>2019</v>
      </c>
      <c r="BF351" s="371">
        <v>2020</v>
      </c>
      <c r="WWT351" s="371"/>
      <c r="WWU351" s="371"/>
      <c r="WWV351" s="371"/>
      <c r="WWW351" s="371"/>
      <c r="WWX351" s="371"/>
      <c r="WWY351" s="370"/>
      <c r="WWZ351" s="370"/>
      <c r="WXA351" s="370"/>
      <c r="WXB351" s="370"/>
      <c r="WXC351" s="370"/>
      <c r="WXD351" s="370"/>
      <c r="WXE351" s="370"/>
      <c r="WXF351" s="370"/>
      <c r="WXG351" s="370"/>
      <c r="WXH351" s="370"/>
      <c r="WXW351" s="371"/>
      <c r="WXX351" s="371"/>
      <c r="WXY351" s="371"/>
      <c r="WXZ351" s="371"/>
      <c r="WYA351" s="371"/>
      <c r="WYB351" s="370"/>
      <c r="WYC351" s="370"/>
      <c r="WYZ351" s="371"/>
      <c r="WZA351" s="371"/>
      <c r="WZB351" s="371"/>
      <c r="WZC351" s="371"/>
      <c r="WZD351" s="371"/>
      <c r="XAC351" s="371"/>
      <c r="XAD351" s="371"/>
      <c r="XAE351" s="371"/>
      <c r="XAF351" s="371"/>
      <c r="XAG351" s="371"/>
      <c r="XBF351" s="371"/>
      <c r="XBG351" s="371"/>
      <c r="XBH351" s="371"/>
      <c r="XBI351" s="371"/>
      <c r="XBJ351" s="371"/>
      <c r="XCI351" s="371"/>
      <c r="XCJ351" s="371"/>
      <c r="XCK351" s="371"/>
      <c r="XCL351" s="371"/>
      <c r="XCM351" s="371"/>
      <c r="XDL351" s="371"/>
      <c r="XDM351" s="371"/>
      <c r="XDN351" s="371"/>
      <c r="XDO351" s="371"/>
      <c r="XDP351" s="371"/>
      <c r="XEO351" s="371"/>
      <c r="XEP351" s="371"/>
      <c r="XEQ351" s="371"/>
      <c r="XER351" s="371"/>
      <c r="XES351" s="371"/>
    </row>
    <row r="352" spans="1:58 16166:16373" s="204" customFormat="1" ht="18" hidden="1" customHeight="1">
      <c r="A352" s="160" t="s">
        <v>508</v>
      </c>
      <c r="B352" s="58" t="s">
        <v>641</v>
      </c>
      <c r="C352" s="148" t="s">
        <v>690</v>
      </c>
      <c r="D352" s="33" t="s">
        <v>7</v>
      </c>
      <c r="E352" s="33"/>
      <c r="F352" s="33"/>
      <c r="G352" s="33"/>
      <c r="H352" s="30" t="s">
        <v>647</v>
      </c>
      <c r="I352" s="30">
        <v>1475</v>
      </c>
      <c r="J352" s="212">
        <v>41900</v>
      </c>
      <c r="K352" s="158"/>
      <c r="L352" s="158">
        <v>4</v>
      </c>
      <c r="M352" s="158"/>
      <c r="N352" s="158"/>
      <c r="O352" s="158"/>
      <c r="P352" s="158"/>
      <c r="Q352" s="158"/>
      <c r="R352" s="158"/>
      <c r="S352" s="158"/>
      <c r="T352" s="586"/>
      <c r="U352" s="158"/>
      <c r="V352" s="158"/>
      <c r="W352" s="158"/>
      <c r="X352" s="158"/>
      <c r="Y352" s="94"/>
      <c r="Z352" s="158"/>
      <c r="AA352" s="158"/>
      <c r="AB352" s="158"/>
      <c r="AC352" s="158"/>
      <c r="AD352" s="158"/>
      <c r="AE352" s="158">
        <f>P352-T352-Y352</f>
        <v>0</v>
      </c>
      <c r="AF352" s="158"/>
      <c r="AG352" s="94">
        <v>0</v>
      </c>
      <c r="AH352" s="94"/>
      <c r="AI352" s="94"/>
      <c r="AJ352" s="158">
        <f t="shared" ref="AJ352" si="59">AE352+AG352</f>
        <v>0</v>
      </c>
      <c r="AK352" s="158"/>
      <c r="AL352" s="158">
        <v>10</v>
      </c>
      <c r="AM352" s="158"/>
      <c r="AN352" s="158"/>
      <c r="AO352" s="158"/>
      <c r="AP352" s="11"/>
      <c r="AQ352" s="11"/>
      <c r="AR352" s="11"/>
      <c r="AS352" s="2">
        <v>1</v>
      </c>
      <c r="AT352" s="58" t="s">
        <v>646</v>
      </c>
      <c r="AU352" s="476" t="s">
        <v>1343</v>
      </c>
      <c r="AV352" s="158"/>
      <c r="AW352" s="11"/>
      <c r="AX352" s="11"/>
      <c r="AY352" s="158">
        <v>4</v>
      </c>
      <c r="AZ352" s="158"/>
      <c r="BA352" s="158"/>
      <c r="BB352" s="69">
        <v>4</v>
      </c>
      <c r="BC352" s="69"/>
      <c r="BD352" s="271">
        <v>2019</v>
      </c>
      <c r="BE352" s="271">
        <v>2019</v>
      </c>
      <c r="BF352" s="271"/>
    </row>
    <row r="353" spans="1:58" s="204" customFormat="1" ht="15" hidden="1" customHeight="1">
      <c r="A353" s="230" t="s">
        <v>508</v>
      </c>
      <c r="B353" s="58" t="s">
        <v>161</v>
      </c>
      <c r="C353" s="148" t="s">
        <v>160</v>
      </c>
      <c r="D353" s="33" t="s">
        <v>149</v>
      </c>
      <c r="E353" s="33"/>
      <c r="F353" s="33"/>
      <c r="G353" s="33"/>
      <c r="H353" s="30"/>
      <c r="I353" s="58"/>
      <c r="J353" s="212"/>
      <c r="K353" s="158"/>
      <c r="L353" s="158"/>
      <c r="M353" s="158"/>
      <c r="N353" s="158"/>
      <c r="O353" s="158"/>
      <c r="P353" s="158"/>
      <c r="Q353" s="158"/>
      <c r="R353" s="158"/>
      <c r="S353" s="158"/>
      <c r="T353" s="586"/>
      <c r="U353" s="158"/>
      <c r="V353" s="158"/>
      <c r="W353" s="158"/>
      <c r="X353" s="158"/>
      <c r="Y353" s="94"/>
      <c r="Z353" s="158"/>
      <c r="AA353" s="5"/>
      <c r="AB353" s="5"/>
      <c r="AC353" s="5"/>
      <c r="AD353" s="158"/>
      <c r="AE353" s="158"/>
      <c r="AF353" s="158"/>
      <c r="AG353" s="158"/>
      <c r="AH353" s="158"/>
      <c r="AI353" s="158"/>
      <c r="AJ353" s="158"/>
      <c r="AK353" s="158"/>
      <c r="AL353" s="158">
        <v>10</v>
      </c>
      <c r="AM353" s="158"/>
      <c r="AN353" s="158"/>
      <c r="AO353" s="158"/>
      <c r="AP353" s="158"/>
      <c r="AQ353" s="158"/>
      <c r="AR353" s="158"/>
      <c r="AS353" s="2"/>
      <c r="AT353" s="58"/>
      <c r="AU353" s="106" t="s">
        <v>689</v>
      </c>
      <c r="AV353" s="158">
        <v>24</v>
      </c>
      <c r="AW353" s="158"/>
      <c r="AX353" s="158"/>
      <c r="AY353" s="158"/>
      <c r="AZ353" s="158"/>
      <c r="BA353" s="158"/>
      <c r="BB353" s="69"/>
      <c r="BC353" s="69"/>
      <c r="BD353" s="271">
        <v>2016</v>
      </c>
      <c r="BE353" s="271"/>
      <c r="BF353" s="271"/>
    </row>
    <row r="354" spans="1:58" s="204" customFormat="1" ht="28.5" hidden="1" customHeight="1">
      <c r="A354" s="160" t="s">
        <v>508</v>
      </c>
      <c r="B354" s="58" t="s">
        <v>161</v>
      </c>
      <c r="C354" s="148" t="s">
        <v>160</v>
      </c>
      <c r="D354" s="33" t="s">
        <v>149</v>
      </c>
      <c r="E354" s="33"/>
      <c r="F354" s="33"/>
      <c r="G354" s="33"/>
      <c r="H354" s="30" t="s">
        <v>674</v>
      </c>
      <c r="I354" s="272" t="s">
        <v>1535</v>
      </c>
      <c r="J354" s="215" t="s">
        <v>1534</v>
      </c>
      <c r="K354" s="158"/>
      <c r="L354" s="158"/>
      <c r="M354" s="158"/>
      <c r="N354" s="158"/>
      <c r="O354" s="158"/>
      <c r="P354" s="158">
        <v>138628134</v>
      </c>
      <c r="Q354" s="158"/>
      <c r="R354" s="158"/>
      <c r="S354" s="158"/>
      <c r="T354" s="586"/>
      <c r="U354" s="158"/>
      <c r="V354" s="158"/>
      <c r="W354" s="158"/>
      <c r="X354" s="158"/>
      <c r="Y354" s="94"/>
      <c r="Z354" s="69"/>
      <c r="AA354" s="69"/>
      <c r="AB354" s="69"/>
      <c r="AC354" s="69">
        <v>138628134</v>
      </c>
      <c r="AD354" s="158"/>
      <c r="AE354" s="158">
        <f>P354-T354-Y354-AC354</f>
        <v>0</v>
      </c>
      <c r="AF354" s="158"/>
      <c r="AG354" s="94">
        <v>0</v>
      </c>
      <c r="AH354" s="94"/>
      <c r="AI354" s="94"/>
      <c r="AJ354" s="158">
        <f t="shared" ref="AJ354" si="60">AE354+AG354</f>
        <v>0</v>
      </c>
      <c r="AK354" s="158">
        <v>877</v>
      </c>
      <c r="AL354" s="158">
        <v>10</v>
      </c>
      <c r="AM354" s="158">
        <f>2-2</f>
        <v>0</v>
      </c>
      <c r="AN354" s="158"/>
      <c r="AO354" s="158"/>
      <c r="AP354" s="158"/>
      <c r="AQ354" s="158"/>
      <c r="AR354" s="158"/>
      <c r="AS354" s="2">
        <v>0</v>
      </c>
      <c r="AT354" s="58" t="s">
        <v>687</v>
      </c>
      <c r="AU354" s="477" t="s">
        <v>2181</v>
      </c>
      <c r="AV354" s="158"/>
      <c r="AW354" s="158"/>
      <c r="AX354" s="158"/>
      <c r="AY354" s="158"/>
      <c r="AZ354" s="158"/>
      <c r="BA354" s="158"/>
      <c r="BB354" s="69"/>
      <c r="BC354" s="69">
        <v>2</v>
      </c>
      <c r="BD354" s="271" t="s">
        <v>1703</v>
      </c>
      <c r="BE354" s="271">
        <v>2019</v>
      </c>
      <c r="BF354" s="271"/>
    </row>
    <row r="355" spans="1:58" s="204" customFormat="1" ht="15" hidden="1" customHeight="1">
      <c r="A355" s="243" t="s">
        <v>508</v>
      </c>
      <c r="B355" s="58" t="s">
        <v>163</v>
      </c>
      <c r="C355" s="148" t="s">
        <v>666</v>
      </c>
      <c r="D355" s="33" t="s">
        <v>162</v>
      </c>
      <c r="E355" s="33"/>
      <c r="F355" s="33"/>
      <c r="G355" s="33"/>
      <c r="H355" s="30" t="s">
        <v>658</v>
      </c>
      <c r="I355" s="78">
        <v>2770</v>
      </c>
      <c r="J355" s="212">
        <v>42345</v>
      </c>
      <c r="K355" s="158"/>
      <c r="L355" s="96"/>
      <c r="M355" s="96"/>
      <c r="N355" s="96"/>
      <c r="O355" s="96"/>
      <c r="P355" s="96"/>
      <c r="Q355" s="96"/>
      <c r="R355" s="158"/>
      <c r="S355" s="96"/>
      <c r="T355" s="586"/>
      <c r="U355" s="96"/>
      <c r="V355" s="96"/>
      <c r="W355" s="96"/>
      <c r="X355" s="96"/>
      <c r="Y355" s="94"/>
      <c r="Z355" s="96"/>
      <c r="AA355" s="262"/>
      <c r="AB355" s="262"/>
      <c r="AC355" s="262"/>
      <c r="AD355" s="158"/>
      <c r="AE355" s="158"/>
      <c r="AF355" s="158"/>
      <c r="AG355" s="158"/>
      <c r="AH355" s="158"/>
      <c r="AI355" s="158"/>
      <c r="AJ355" s="158"/>
      <c r="AK355" s="158"/>
      <c r="AL355" s="158">
        <v>20</v>
      </c>
      <c r="AM355" s="158"/>
      <c r="AN355" s="158"/>
      <c r="AO355" s="158"/>
      <c r="AP355" s="11"/>
      <c r="AQ355" s="11"/>
      <c r="AR355" s="11"/>
      <c r="AS355" s="2">
        <v>1</v>
      </c>
      <c r="AT355" s="58" t="s">
        <v>646</v>
      </c>
      <c r="AU355" s="9" t="s">
        <v>1048</v>
      </c>
      <c r="AV355" s="158" t="s">
        <v>0</v>
      </c>
      <c r="AW355" s="11"/>
      <c r="AX355" s="12">
        <v>38</v>
      </c>
      <c r="AY355" s="158"/>
      <c r="AZ355" s="158"/>
      <c r="BA355" s="158"/>
      <c r="BB355" s="69">
        <f>+AX355</f>
        <v>38</v>
      </c>
      <c r="BC355" s="69"/>
      <c r="BD355" s="271">
        <v>2018</v>
      </c>
      <c r="BE355" s="271"/>
      <c r="BF355" s="271"/>
    </row>
    <row r="356" spans="1:58" s="204" customFormat="1" ht="18" hidden="1" customHeight="1">
      <c r="A356" s="160" t="s">
        <v>508</v>
      </c>
      <c r="B356" s="58" t="s">
        <v>163</v>
      </c>
      <c r="C356" s="148" t="s">
        <v>666</v>
      </c>
      <c r="D356" s="33" t="s">
        <v>162</v>
      </c>
      <c r="E356" s="33"/>
      <c r="F356" s="33"/>
      <c r="G356" s="33"/>
      <c r="H356" s="30" t="s">
        <v>658</v>
      </c>
      <c r="I356" s="78">
        <v>2770</v>
      </c>
      <c r="J356" s="212">
        <v>42345</v>
      </c>
      <c r="K356" s="158"/>
      <c r="L356" s="96"/>
      <c r="M356" s="96"/>
      <c r="N356" s="96"/>
      <c r="O356" s="96"/>
      <c r="P356" s="158">
        <f>128508483-64254242</f>
        <v>64254241</v>
      </c>
      <c r="Q356" s="158"/>
      <c r="R356" s="158"/>
      <c r="S356" s="158"/>
      <c r="T356" s="586">
        <v>64254241</v>
      </c>
      <c r="U356" s="69">
        <v>20</v>
      </c>
      <c r="V356" s="311">
        <v>43770</v>
      </c>
      <c r="W356" s="311"/>
      <c r="X356" s="311"/>
      <c r="Y356" s="94"/>
      <c r="Z356" s="222"/>
      <c r="AA356" s="222"/>
      <c r="AB356" s="222"/>
      <c r="AC356" s="222"/>
      <c r="AD356" s="158"/>
      <c r="AE356" s="158">
        <f>P356-T356-Y356</f>
        <v>0</v>
      </c>
      <c r="AF356" s="158"/>
      <c r="AG356" s="158">
        <f>P356-T356-Y356</f>
        <v>0</v>
      </c>
      <c r="AH356" s="158"/>
      <c r="AI356" s="158"/>
      <c r="AJ356" s="158">
        <f t="shared" ref="AJ356:AJ357" si="61">AE356+AG356</f>
        <v>0</v>
      </c>
      <c r="AK356" s="158">
        <v>877</v>
      </c>
      <c r="AL356" s="158">
        <v>20</v>
      </c>
      <c r="AM356" s="158"/>
      <c r="AN356" s="158"/>
      <c r="AO356" s="158"/>
      <c r="AP356" s="11"/>
      <c r="AQ356" s="11"/>
      <c r="AR356" s="11"/>
      <c r="AS356" s="2">
        <v>1</v>
      </c>
      <c r="AT356" s="58" t="s">
        <v>646</v>
      </c>
      <c r="AU356" s="7" t="s">
        <v>1666</v>
      </c>
      <c r="AV356" s="158" t="s">
        <v>0</v>
      </c>
      <c r="AW356" s="11"/>
      <c r="AX356" s="12">
        <v>1</v>
      </c>
      <c r="AY356" s="158"/>
      <c r="AZ356" s="158"/>
      <c r="BA356" s="158"/>
      <c r="BB356" s="69">
        <f>+AX356</f>
        <v>1</v>
      </c>
      <c r="BC356" s="69"/>
      <c r="BD356" s="271" t="s">
        <v>1652</v>
      </c>
      <c r="BE356" s="445" t="s">
        <v>1652</v>
      </c>
      <c r="BF356" s="271"/>
    </row>
    <row r="357" spans="1:58" s="204" customFormat="1" ht="18" hidden="1" customHeight="1">
      <c r="A357" s="160" t="s">
        <v>508</v>
      </c>
      <c r="B357" s="58" t="s">
        <v>163</v>
      </c>
      <c r="C357" s="148" t="s">
        <v>666</v>
      </c>
      <c r="D357" s="33" t="s">
        <v>162</v>
      </c>
      <c r="E357" s="33"/>
      <c r="F357" s="33"/>
      <c r="G357" s="33"/>
      <c r="H357" s="30" t="s">
        <v>658</v>
      </c>
      <c r="I357" s="228" t="s">
        <v>1682</v>
      </c>
      <c r="J357" s="215" t="s">
        <v>1683</v>
      </c>
      <c r="K357" s="158"/>
      <c r="L357" s="158"/>
      <c r="M357" s="158">
        <v>1</v>
      </c>
      <c r="N357" s="158"/>
      <c r="O357" s="158"/>
      <c r="P357" s="158">
        <f>128508483-64254241</f>
        <v>64254242</v>
      </c>
      <c r="Q357" s="158"/>
      <c r="R357" s="158"/>
      <c r="S357" s="158"/>
      <c r="T357" s="586"/>
      <c r="U357" s="158"/>
      <c r="V357" s="158"/>
      <c r="W357" s="158"/>
      <c r="X357" s="158"/>
      <c r="Y357" s="94"/>
      <c r="Z357" s="69"/>
      <c r="AA357" s="69"/>
      <c r="AB357" s="69"/>
      <c r="AC357" s="69">
        <v>64254242</v>
      </c>
      <c r="AD357" s="158"/>
      <c r="AE357" s="158">
        <f>P357-T357-Y357-AC357</f>
        <v>0</v>
      </c>
      <c r="AF357" s="158"/>
      <c r="AG357" s="94">
        <v>0</v>
      </c>
      <c r="AH357" s="94"/>
      <c r="AI357" s="94"/>
      <c r="AJ357" s="158">
        <f t="shared" si="61"/>
        <v>0</v>
      </c>
      <c r="AK357" s="158">
        <v>877</v>
      </c>
      <c r="AL357" s="158">
        <v>20</v>
      </c>
      <c r="AM357" s="158"/>
      <c r="AN357" s="158"/>
      <c r="AO357" s="11"/>
      <c r="AP357" s="11"/>
      <c r="AQ357" s="11"/>
      <c r="AR357" s="61"/>
      <c r="AS357" s="2">
        <v>0</v>
      </c>
      <c r="AT357" s="58" t="s">
        <v>687</v>
      </c>
      <c r="AU357" s="104" t="s">
        <v>2182</v>
      </c>
      <c r="AV357" s="158" t="s">
        <v>0</v>
      </c>
      <c r="AW357" s="11"/>
      <c r="AX357" s="11"/>
      <c r="AY357" s="11"/>
      <c r="AZ357" s="11"/>
      <c r="BA357" s="11"/>
      <c r="BB357" s="70"/>
      <c r="BC357" s="69">
        <v>1</v>
      </c>
      <c r="BD357" s="271" t="s">
        <v>1706</v>
      </c>
      <c r="BE357" s="271">
        <v>2019</v>
      </c>
      <c r="BF357" s="271"/>
    </row>
    <row r="358" spans="1:58" s="204" customFormat="1" ht="15" hidden="1" customHeight="1">
      <c r="A358" s="248" t="s">
        <v>508</v>
      </c>
      <c r="B358" s="58" t="s">
        <v>161</v>
      </c>
      <c r="C358" s="148" t="s">
        <v>164</v>
      </c>
      <c r="D358" s="33" t="s">
        <v>149</v>
      </c>
      <c r="E358" s="33"/>
      <c r="F358" s="33"/>
      <c r="G358" s="33"/>
      <c r="H358" s="30"/>
      <c r="I358" s="58"/>
      <c r="J358" s="212"/>
      <c r="K358" s="158"/>
      <c r="L358" s="158"/>
      <c r="M358" s="158"/>
      <c r="N358" s="158"/>
      <c r="O358" s="158"/>
      <c r="P358" s="158"/>
      <c r="Q358" s="158"/>
      <c r="R358" s="158"/>
      <c r="S358" s="158"/>
      <c r="T358" s="586"/>
      <c r="U358" s="158"/>
      <c r="V358" s="158"/>
      <c r="W358" s="158"/>
      <c r="X358" s="158"/>
      <c r="Y358" s="94"/>
      <c r="Z358" s="158"/>
      <c r="AA358" s="92"/>
      <c r="AB358" s="92"/>
      <c r="AC358" s="92"/>
      <c r="AD358" s="158"/>
      <c r="AE358" s="158"/>
      <c r="AF358" s="158"/>
      <c r="AG358" s="158"/>
      <c r="AH358" s="158"/>
      <c r="AI358" s="158"/>
      <c r="AJ358" s="158"/>
      <c r="AK358" s="158"/>
      <c r="AL358" s="158">
        <v>20</v>
      </c>
      <c r="AM358" s="158"/>
      <c r="AN358" s="158"/>
      <c r="AO358" s="158"/>
      <c r="AP358" s="158"/>
      <c r="AQ358" s="158"/>
      <c r="AR358" s="158"/>
      <c r="AS358" s="2"/>
      <c r="AT358" s="58"/>
      <c r="AU358" s="106"/>
      <c r="AV358" s="158">
        <v>30</v>
      </c>
      <c r="AW358" s="158"/>
      <c r="AX358" s="158"/>
      <c r="AY358" s="158"/>
      <c r="AZ358" s="158"/>
      <c r="BA358" s="158"/>
      <c r="BB358" s="69"/>
      <c r="BC358" s="69"/>
      <c r="BD358" s="271">
        <v>2016</v>
      </c>
      <c r="BE358" s="271"/>
      <c r="BF358" s="271"/>
    </row>
    <row r="359" spans="1:58" s="204" customFormat="1" ht="15" hidden="1" customHeight="1">
      <c r="A359" s="160" t="s">
        <v>508</v>
      </c>
      <c r="B359" s="58" t="s">
        <v>161</v>
      </c>
      <c r="C359" s="148" t="s">
        <v>667</v>
      </c>
      <c r="D359" s="33" t="s">
        <v>149</v>
      </c>
      <c r="E359" s="33"/>
      <c r="F359" s="33"/>
      <c r="G359" s="33"/>
      <c r="H359" s="30"/>
      <c r="I359" s="58"/>
      <c r="J359" s="212"/>
      <c r="K359" s="1"/>
      <c r="L359" s="1"/>
      <c r="M359" s="1"/>
      <c r="N359" s="1"/>
      <c r="O359" s="1"/>
      <c r="P359" s="1"/>
      <c r="Q359" s="1"/>
      <c r="R359" s="158"/>
      <c r="S359" s="1"/>
      <c r="T359" s="586"/>
      <c r="U359" s="1"/>
      <c r="V359" s="1"/>
      <c r="W359" s="1"/>
      <c r="X359" s="1"/>
      <c r="Y359" s="94"/>
      <c r="Z359" s="1"/>
      <c r="AA359" s="1"/>
      <c r="AB359" s="1"/>
      <c r="AC359" s="1"/>
      <c r="AD359" s="158"/>
      <c r="AE359" s="158"/>
      <c r="AF359" s="158"/>
      <c r="AG359" s="158"/>
      <c r="AH359" s="158"/>
      <c r="AI359" s="158"/>
      <c r="AJ359" s="158"/>
      <c r="AK359" s="158"/>
      <c r="AL359" s="158">
        <v>20</v>
      </c>
      <c r="AM359" s="158"/>
      <c r="AN359" s="158"/>
      <c r="AO359" s="1"/>
      <c r="AP359" s="1"/>
      <c r="AQ359" s="1"/>
      <c r="AR359" s="1"/>
      <c r="AS359" s="2"/>
      <c r="AT359" s="58"/>
      <c r="AU359" s="106"/>
      <c r="AV359" s="158">
        <v>21</v>
      </c>
      <c r="AW359" s="1"/>
      <c r="AX359" s="1"/>
      <c r="AY359" s="1"/>
      <c r="AZ359" s="1"/>
      <c r="BA359" s="1"/>
      <c r="BB359" s="287"/>
      <c r="BC359" s="287"/>
      <c r="BD359" s="271">
        <v>2016</v>
      </c>
      <c r="BE359" s="271"/>
      <c r="BF359" s="271"/>
    </row>
    <row r="360" spans="1:58" s="204" customFormat="1" ht="25.5" customHeight="1">
      <c r="A360" s="160" t="s">
        <v>508</v>
      </c>
      <c r="B360" s="58" t="s">
        <v>161</v>
      </c>
      <c r="C360" s="55" t="s">
        <v>667</v>
      </c>
      <c r="D360" s="33" t="s">
        <v>149</v>
      </c>
      <c r="E360" s="33"/>
      <c r="F360" s="33"/>
      <c r="G360" s="33"/>
      <c r="H360" s="30" t="s">
        <v>658</v>
      </c>
      <c r="I360" s="30">
        <v>2640</v>
      </c>
      <c r="J360" s="212">
        <v>42333</v>
      </c>
      <c r="K360" s="81"/>
      <c r="L360" s="81"/>
      <c r="M360" s="81">
        <v>2</v>
      </c>
      <c r="N360" s="81"/>
      <c r="O360" s="81">
        <v>2</v>
      </c>
      <c r="P360" s="81"/>
      <c r="Q360" s="81"/>
      <c r="R360" s="158"/>
      <c r="S360" s="81"/>
      <c r="T360" s="586"/>
      <c r="U360" s="81"/>
      <c r="V360" s="81"/>
      <c r="W360" s="81"/>
      <c r="X360" s="81"/>
      <c r="Y360" s="94"/>
      <c r="Z360" s="81"/>
      <c r="AA360" s="81"/>
      <c r="AB360" s="81"/>
      <c r="AC360" s="81"/>
      <c r="AD360" s="158"/>
      <c r="AE360" s="158">
        <f>P360-T360-Y360</f>
        <v>0</v>
      </c>
      <c r="AF360" s="158"/>
      <c r="AG360" s="94">
        <v>0</v>
      </c>
      <c r="AH360" s="94"/>
      <c r="AI360" s="94"/>
      <c r="AJ360" s="158">
        <f t="shared" ref="AJ360:AJ361" si="62">AE360+AG360</f>
        <v>0</v>
      </c>
      <c r="AK360" s="158"/>
      <c r="AL360" s="158">
        <v>20</v>
      </c>
      <c r="AM360" s="158"/>
      <c r="AN360" s="158"/>
      <c r="AO360" s="54"/>
      <c r="AP360" s="54"/>
      <c r="AQ360" s="81">
        <v>2</v>
      </c>
      <c r="AR360" s="54"/>
      <c r="AS360" s="2">
        <v>0.74399999999999999</v>
      </c>
      <c r="AT360" s="58" t="s">
        <v>986</v>
      </c>
      <c r="AU360" s="104" t="s">
        <v>1103</v>
      </c>
      <c r="AV360" s="1"/>
      <c r="AW360" s="54"/>
      <c r="AX360" s="54"/>
      <c r="AY360" s="54"/>
      <c r="AZ360" s="54"/>
      <c r="BA360" s="54"/>
      <c r="BB360" s="290"/>
      <c r="BC360" s="290"/>
      <c r="BD360" s="271"/>
      <c r="BE360" s="271">
        <v>2019</v>
      </c>
      <c r="BF360" s="271">
        <v>2020</v>
      </c>
    </row>
    <row r="361" spans="1:58" s="204" customFormat="1" ht="21" customHeight="1">
      <c r="A361" s="160" t="s">
        <v>508</v>
      </c>
      <c r="B361" s="58" t="s">
        <v>161</v>
      </c>
      <c r="C361" s="55" t="s">
        <v>668</v>
      </c>
      <c r="D361" s="33" t="s">
        <v>149</v>
      </c>
      <c r="E361" s="33"/>
      <c r="F361" s="33"/>
      <c r="G361" s="33"/>
      <c r="H361" s="30" t="s">
        <v>636</v>
      </c>
      <c r="I361" s="30">
        <v>2378</v>
      </c>
      <c r="J361" s="212">
        <v>42678</v>
      </c>
      <c r="K361" s="158"/>
      <c r="L361" s="158"/>
      <c r="M361" s="158">
        <v>47</v>
      </c>
      <c r="N361" s="158"/>
      <c r="O361" s="158">
        <v>47</v>
      </c>
      <c r="P361" s="158"/>
      <c r="Q361" s="158"/>
      <c r="R361" s="158"/>
      <c r="S361" s="158"/>
      <c r="T361" s="586"/>
      <c r="U361" s="158"/>
      <c r="V361" s="158"/>
      <c r="W361" s="158"/>
      <c r="X361" s="158"/>
      <c r="Y361" s="94"/>
      <c r="Z361" s="158"/>
      <c r="AA361" s="158"/>
      <c r="AB361" s="158"/>
      <c r="AC361" s="158"/>
      <c r="AD361" s="158"/>
      <c r="AE361" s="158">
        <f>P361-T361-Y361</f>
        <v>0</v>
      </c>
      <c r="AF361" s="158"/>
      <c r="AG361" s="94">
        <v>0</v>
      </c>
      <c r="AH361" s="94"/>
      <c r="AI361" s="94"/>
      <c r="AJ361" s="158">
        <f t="shared" si="62"/>
        <v>0</v>
      </c>
      <c r="AK361" s="158"/>
      <c r="AL361" s="158">
        <v>20</v>
      </c>
      <c r="AM361" s="158"/>
      <c r="AN361" s="158"/>
      <c r="AO361" s="11"/>
      <c r="AP361" s="158">
        <v>47</v>
      </c>
      <c r="AQ361" s="158"/>
      <c r="AR361" s="11"/>
      <c r="AS361" s="2">
        <v>0.58209999999999995</v>
      </c>
      <c r="AT361" s="58" t="s">
        <v>942</v>
      </c>
      <c r="AU361" s="308" t="s">
        <v>1228</v>
      </c>
      <c r="AV361" s="158"/>
      <c r="AW361" s="11"/>
      <c r="AX361" s="11"/>
      <c r="AY361" s="11"/>
      <c r="AZ361" s="11"/>
      <c r="BA361" s="11"/>
      <c r="BB361" s="70"/>
      <c r="BC361" s="70"/>
      <c r="BD361" s="271"/>
      <c r="BE361" s="271">
        <v>2019</v>
      </c>
      <c r="BF361" s="271">
        <v>2020</v>
      </c>
    </row>
    <row r="362" spans="1:58" s="204" customFormat="1" ht="15" hidden="1" customHeight="1">
      <c r="A362" s="160" t="s">
        <v>508</v>
      </c>
      <c r="B362" s="58" t="s">
        <v>159</v>
      </c>
      <c r="C362" s="148" t="s">
        <v>158</v>
      </c>
      <c r="D362" s="33" t="s">
        <v>165</v>
      </c>
      <c r="E362" s="33"/>
      <c r="F362" s="33"/>
      <c r="G362" s="33"/>
      <c r="H362" s="30" t="s">
        <v>650</v>
      </c>
      <c r="I362" s="30"/>
      <c r="J362" s="212"/>
      <c r="K362" s="158"/>
      <c r="L362" s="158"/>
      <c r="M362" s="158"/>
      <c r="N362" s="158"/>
      <c r="O362" s="158"/>
      <c r="P362" s="158"/>
      <c r="Q362" s="158"/>
      <c r="R362" s="158"/>
      <c r="S362" s="158"/>
      <c r="T362" s="586"/>
      <c r="U362" s="158"/>
      <c r="V362" s="158"/>
      <c r="W362" s="158"/>
      <c r="X362" s="158"/>
      <c r="Y362" s="94"/>
      <c r="Z362" s="158"/>
      <c r="AA362" s="158"/>
      <c r="AB362" s="158"/>
      <c r="AC362" s="158"/>
      <c r="AD362" s="158"/>
      <c r="AE362" s="158"/>
      <c r="AF362" s="158"/>
      <c r="AG362" s="158"/>
      <c r="AH362" s="158"/>
      <c r="AI362" s="158"/>
      <c r="AJ362" s="158"/>
      <c r="AK362" s="158"/>
      <c r="AL362" s="158">
        <v>20</v>
      </c>
      <c r="AM362" s="158"/>
      <c r="AN362" s="158"/>
      <c r="AO362" s="158"/>
      <c r="AP362" s="158"/>
      <c r="AQ362" s="158"/>
      <c r="AR362" s="158"/>
      <c r="AS362" s="2">
        <v>1</v>
      </c>
      <c r="AT362" s="58" t="s">
        <v>646</v>
      </c>
      <c r="AU362" s="106"/>
      <c r="AV362" s="158"/>
      <c r="AW362" s="158"/>
      <c r="AX362" s="158">
        <v>48</v>
      </c>
      <c r="AY362" s="158"/>
      <c r="AZ362" s="158"/>
      <c r="BA362" s="158">
        <v>48</v>
      </c>
      <c r="BB362" s="69"/>
      <c r="BC362" s="69"/>
      <c r="BD362" s="271">
        <v>2018</v>
      </c>
      <c r="BE362" s="271"/>
      <c r="BF362" s="271"/>
    </row>
    <row r="363" spans="1:58" s="204" customFormat="1" ht="15" hidden="1" customHeight="1">
      <c r="A363" s="160" t="s">
        <v>508</v>
      </c>
      <c r="B363" s="58" t="s">
        <v>159</v>
      </c>
      <c r="C363" s="148" t="s">
        <v>158</v>
      </c>
      <c r="D363" s="33" t="s">
        <v>165</v>
      </c>
      <c r="E363" s="33"/>
      <c r="F363" s="33"/>
      <c r="G363" s="33"/>
      <c r="H363" s="30" t="s">
        <v>650</v>
      </c>
      <c r="I363" s="30"/>
      <c r="J363" s="212"/>
      <c r="K363" s="158"/>
      <c r="L363" s="158"/>
      <c r="M363" s="158"/>
      <c r="N363" s="158"/>
      <c r="O363" s="158"/>
      <c r="P363" s="158"/>
      <c r="Q363" s="158"/>
      <c r="R363" s="158"/>
      <c r="S363" s="158"/>
      <c r="T363" s="586"/>
      <c r="U363" s="158"/>
      <c r="V363" s="158"/>
      <c r="W363" s="158"/>
      <c r="X363" s="158"/>
      <c r="Y363" s="94"/>
      <c r="Z363" s="158"/>
      <c r="AA363" s="158"/>
      <c r="AB363" s="158"/>
      <c r="AC363" s="158"/>
      <c r="AD363" s="158"/>
      <c r="AE363" s="158"/>
      <c r="AF363" s="158"/>
      <c r="AG363" s="158"/>
      <c r="AH363" s="158"/>
      <c r="AI363" s="158"/>
      <c r="AJ363" s="158"/>
      <c r="AK363" s="158"/>
      <c r="AL363" s="158">
        <v>10</v>
      </c>
      <c r="AM363" s="158"/>
      <c r="AN363" s="158"/>
      <c r="AO363" s="158"/>
      <c r="AP363" s="11"/>
      <c r="AQ363" s="11"/>
      <c r="AR363" s="11"/>
      <c r="AS363" s="2">
        <v>1</v>
      </c>
      <c r="AT363" s="58" t="s">
        <v>646</v>
      </c>
      <c r="AU363" s="106"/>
      <c r="AV363" s="158"/>
      <c r="AW363" s="11"/>
      <c r="AX363" s="158">
        <v>1</v>
      </c>
      <c r="AY363" s="158"/>
      <c r="AZ363" s="158"/>
      <c r="BA363" s="158">
        <v>1</v>
      </c>
      <c r="BB363" s="69"/>
      <c r="BC363" s="69"/>
      <c r="BD363" s="271">
        <v>2018</v>
      </c>
      <c r="BE363" s="271"/>
      <c r="BF363" s="271"/>
    </row>
    <row r="364" spans="1:58" s="204" customFormat="1" ht="16.5" hidden="1" customHeight="1">
      <c r="A364" s="230" t="s">
        <v>508</v>
      </c>
      <c r="B364" s="58" t="s">
        <v>641</v>
      </c>
      <c r="C364" s="148" t="s">
        <v>840</v>
      </c>
      <c r="D364" s="33" t="s">
        <v>7</v>
      </c>
      <c r="E364" s="33"/>
      <c r="F364" s="33"/>
      <c r="G364" s="33"/>
      <c r="H364" s="30" t="s">
        <v>630</v>
      </c>
      <c r="I364" s="30"/>
      <c r="J364" s="212"/>
      <c r="K364" s="158"/>
      <c r="L364" s="158"/>
      <c r="M364" s="158"/>
      <c r="N364" s="158"/>
      <c r="O364" s="158"/>
      <c r="P364" s="158"/>
      <c r="Q364" s="158"/>
      <c r="R364" s="158"/>
      <c r="S364" s="158"/>
      <c r="T364" s="586"/>
      <c r="U364" s="158"/>
      <c r="V364" s="158"/>
      <c r="W364" s="158"/>
      <c r="X364" s="158"/>
      <c r="Y364" s="94"/>
      <c r="Z364" s="158"/>
      <c r="AA364" s="5"/>
      <c r="AB364" s="5"/>
      <c r="AC364" s="5"/>
      <c r="AD364" s="158"/>
      <c r="AE364" s="158"/>
      <c r="AF364" s="158"/>
      <c r="AG364" s="158"/>
      <c r="AH364" s="158"/>
      <c r="AI364" s="158"/>
      <c r="AJ364" s="158"/>
      <c r="AK364" s="158"/>
      <c r="AL364" s="158">
        <v>20</v>
      </c>
      <c r="AM364" s="158"/>
      <c r="AN364" s="158"/>
      <c r="AO364" s="158"/>
      <c r="AP364" s="158"/>
      <c r="AQ364" s="158"/>
      <c r="AR364" s="158"/>
      <c r="AS364" s="2">
        <v>1</v>
      </c>
      <c r="AT364" s="58" t="s">
        <v>646</v>
      </c>
      <c r="AU364" s="106"/>
      <c r="AV364" s="158"/>
      <c r="AW364" s="158"/>
      <c r="AX364" s="158">
        <v>65</v>
      </c>
      <c r="AY364" s="158"/>
      <c r="AZ364" s="158"/>
      <c r="BA364" s="158">
        <v>65</v>
      </c>
      <c r="BB364" s="69"/>
      <c r="BC364" s="69"/>
      <c r="BD364" s="271">
        <v>2018</v>
      </c>
      <c r="BE364" s="271"/>
      <c r="BF364" s="271"/>
    </row>
    <row r="365" spans="1:58" s="204" customFormat="1" ht="18" hidden="1" customHeight="1">
      <c r="A365" s="160" t="s">
        <v>508</v>
      </c>
      <c r="B365" s="58" t="s">
        <v>641</v>
      </c>
      <c r="C365" s="148" t="s">
        <v>840</v>
      </c>
      <c r="D365" s="33" t="s">
        <v>7</v>
      </c>
      <c r="E365" s="33"/>
      <c r="F365" s="33"/>
      <c r="G365" s="33"/>
      <c r="H365" s="30" t="s">
        <v>630</v>
      </c>
      <c r="I365" s="228" t="s">
        <v>1669</v>
      </c>
      <c r="J365" s="215" t="s">
        <v>1497</v>
      </c>
      <c r="K365" s="158"/>
      <c r="L365" s="158"/>
      <c r="M365" s="158">
        <v>1</v>
      </c>
      <c r="N365" s="158"/>
      <c r="O365" s="158"/>
      <c r="P365" s="158">
        <v>61205444</v>
      </c>
      <c r="Q365" s="158"/>
      <c r="R365" s="158"/>
      <c r="S365" s="158"/>
      <c r="T365" s="586"/>
      <c r="U365" s="158"/>
      <c r="V365" s="158"/>
      <c r="W365" s="158"/>
      <c r="X365" s="158"/>
      <c r="Y365" s="94"/>
      <c r="Z365" s="69"/>
      <c r="AA365" s="69"/>
      <c r="AB365" s="69"/>
      <c r="AC365" s="69">
        <v>61205444</v>
      </c>
      <c r="AD365" s="158"/>
      <c r="AE365" s="158">
        <f>P365-T365-Y365-AC365</f>
        <v>0</v>
      </c>
      <c r="AF365" s="158"/>
      <c r="AG365" s="94">
        <v>0</v>
      </c>
      <c r="AH365" s="94"/>
      <c r="AI365" s="94"/>
      <c r="AJ365" s="158">
        <f t="shared" ref="AJ365:AJ369" si="63">AE365+AG365</f>
        <v>0</v>
      </c>
      <c r="AK365" s="158">
        <v>877</v>
      </c>
      <c r="AL365" s="158">
        <v>20</v>
      </c>
      <c r="AM365" s="158"/>
      <c r="AN365" s="158"/>
      <c r="AO365" s="158"/>
      <c r="AP365" s="158"/>
      <c r="AQ365" s="158"/>
      <c r="AR365" s="158"/>
      <c r="AS365" s="2">
        <v>0</v>
      </c>
      <c r="AT365" s="58" t="s">
        <v>687</v>
      </c>
      <c r="AU365" s="104" t="s">
        <v>2183</v>
      </c>
      <c r="AV365" s="158"/>
      <c r="AW365" s="158"/>
      <c r="AX365" s="158"/>
      <c r="AY365" s="158"/>
      <c r="AZ365" s="158"/>
      <c r="BA365" s="158"/>
      <c r="BB365" s="69"/>
      <c r="BC365" s="69">
        <v>1</v>
      </c>
      <c r="BD365" s="271" t="s">
        <v>1706</v>
      </c>
      <c r="BE365" s="271">
        <v>2019</v>
      </c>
      <c r="BF365" s="271"/>
    </row>
    <row r="366" spans="1:58" s="204" customFormat="1" ht="18" customHeight="1">
      <c r="A366" s="248" t="s">
        <v>508</v>
      </c>
      <c r="B366" s="58" t="s">
        <v>939</v>
      </c>
      <c r="C366" s="148" t="s">
        <v>938</v>
      </c>
      <c r="D366" s="33" t="s">
        <v>170</v>
      </c>
      <c r="E366" s="33"/>
      <c r="F366" s="33"/>
      <c r="G366" s="33"/>
      <c r="H366" s="30">
        <v>2010</v>
      </c>
      <c r="I366" s="30">
        <v>1280</v>
      </c>
      <c r="J366" s="212">
        <v>40536</v>
      </c>
      <c r="K366" s="158"/>
      <c r="L366" s="158"/>
      <c r="M366" s="158">
        <v>13</v>
      </c>
      <c r="N366" s="158"/>
      <c r="O366" s="158">
        <v>13</v>
      </c>
      <c r="P366" s="158"/>
      <c r="Q366" s="158"/>
      <c r="R366" s="158"/>
      <c r="S366" s="158"/>
      <c r="T366" s="586"/>
      <c r="U366" s="158"/>
      <c r="V366" s="158"/>
      <c r="W366" s="158"/>
      <c r="X366" s="158"/>
      <c r="Y366" s="94"/>
      <c r="Z366" s="158"/>
      <c r="AA366" s="92"/>
      <c r="AB366" s="92"/>
      <c r="AC366" s="92"/>
      <c r="AD366" s="158"/>
      <c r="AE366" s="158">
        <f t="shared" ref="AE366:AE370" si="64">P366-T366-Y366</f>
        <v>0</v>
      </c>
      <c r="AF366" s="158"/>
      <c r="AG366" s="94">
        <v>0</v>
      </c>
      <c r="AH366" s="94"/>
      <c r="AI366" s="94"/>
      <c r="AJ366" s="158">
        <f t="shared" si="63"/>
        <v>0</v>
      </c>
      <c r="AK366" s="158"/>
      <c r="AL366" s="158">
        <v>10</v>
      </c>
      <c r="AM366" s="158"/>
      <c r="AN366" s="158"/>
      <c r="AO366" s="158"/>
      <c r="AP366" s="158"/>
      <c r="AQ366" s="158">
        <v>13</v>
      </c>
      <c r="AR366" s="158"/>
      <c r="AS366" s="2">
        <v>0</v>
      </c>
      <c r="AT366" s="58" t="s">
        <v>986</v>
      </c>
      <c r="AU366" s="104" t="s">
        <v>1301</v>
      </c>
      <c r="AV366" s="158"/>
      <c r="AW366" s="158"/>
      <c r="AX366" s="158"/>
      <c r="AY366" s="158"/>
      <c r="AZ366" s="158"/>
      <c r="BA366" s="158"/>
      <c r="BB366" s="69"/>
      <c r="BC366" s="69"/>
      <c r="BD366" s="271"/>
      <c r="BE366" s="271">
        <v>2019</v>
      </c>
      <c r="BF366" s="271">
        <v>2020</v>
      </c>
    </row>
    <row r="367" spans="1:58" s="204" customFormat="1" ht="18" hidden="1" customHeight="1">
      <c r="A367" s="230" t="s">
        <v>508</v>
      </c>
      <c r="B367" s="58" t="s">
        <v>159</v>
      </c>
      <c r="C367" s="148" t="s">
        <v>1210</v>
      </c>
      <c r="D367" s="33" t="s">
        <v>46</v>
      </c>
      <c r="E367" s="33"/>
      <c r="F367" s="33"/>
      <c r="G367" s="33"/>
      <c r="H367" s="30" t="s">
        <v>1116</v>
      </c>
      <c r="I367" s="30">
        <v>322</v>
      </c>
      <c r="J367" s="212">
        <v>43405</v>
      </c>
      <c r="K367" s="158">
        <v>71</v>
      </c>
      <c r="L367" s="158">
        <v>71</v>
      </c>
      <c r="M367" s="158"/>
      <c r="N367" s="158"/>
      <c r="O367" s="158"/>
      <c r="P367" s="158">
        <f>4871227345-197482189</f>
        <v>4673745156</v>
      </c>
      <c r="Q367" s="158"/>
      <c r="R367" s="158"/>
      <c r="S367" s="158"/>
      <c r="T367" s="586">
        <v>1942308180</v>
      </c>
      <c r="U367" s="158">
        <v>10</v>
      </c>
      <c r="V367" s="158"/>
      <c r="W367" s="69"/>
      <c r="X367" s="69"/>
      <c r="Y367" s="69">
        <v>2731436976</v>
      </c>
      <c r="Z367" s="214">
        <v>10</v>
      </c>
      <c r="AA367" s="311">
        <v>43556</v>
      </c>
      <c r="AB367" s="329"/>
      <c r="AC367" s="279"/>
      <c r="AD367" s="158"/>
      <c r="AE367" s="158">
        <f t="shared" si="64"/>
        <v>0</v>
      </c>
      <c r="AF367" s="158"/>
      <c r="AG367" s="94">
        <v>0</v>
      </c>
      <c r="AH367" s="94"/>
      <c r="AI367" s="94"/>
      <c r="AJ367" s="158">
        <f t="shared" si="63"/>
        <v>0</v>
      </c>
      <c r="AK367" s="158">
        <v>877</v>
      </c>
      <c r="AL367" s="158">
        <v>10</v>
      </c>
      <c r="AM367" s="158"/>
      <c r="AN367" s="158"/>
      <c r="AO367" s="158"/>
      <c r="AP367" s="158"/>
      <c r="AQ367" s="158"/>
      <c r="AR367" s="158"/>
      <c r="AS367" s="2">
        <v>1</v>
      </c>
      <c r="AT367" s="58" t="s">
        <v>646</v>
      </c>
      <c r="AU367" s="7"/>
      <c r="AV367" s="158"/>
      <c r="AW367" s="158"/>
      <c r="AX367" s="158"/>
      <c r="AY367" s="158">
        <v>71</v>
      </c>
      <c r="AZ367" s="158"/>
      <c r="BA367" s="158"/>
      <c r="BB367" s="69">
        <v>71</v>
      </c>
      <c r="BC367" s="69"/>
      <c r="BD367" s="271">
        <v>2019</v>
      </c>
      <c r="BE367" s="271">
        <v>2019</v>
      </c>
      <c r="BF367" s="271"/>
    </row>
    <row r="368" spans="1:58" s="204" customFormat="1" ht="18" customHeight="1">
      <c r="A368" s="160" t="s">
        <v>508</v>
      </c>
      <c r="B368" s="58" t="s">
        <v>159</v>
      </c>
      <c r="C368" s="148" t="s">
        <v>1210</v>
      </c>
      <c r="D368" s="33" t="s">
        <v>46</v>
      </c>
      <c r="E368" s="33"/>
      <c r="F368" s="33"/>
      <c r="G368" s="33"/>
      <c r="H368" s="30" t="s">
        <v>1116</v>
      </c>
      <c r="I368" s="228">
        <v>322</v>
      </c>
      <c r="J368" s="212">
        <v>43405</v>
      </c>
      <c r="K368" s="158"/>
      <c r="L368" s="158"/>
      <c r="M368" s="158">
        <v>3</v>
      </c>
      <c r="N368" s="158"/>
      <c r="O368" s="158">
        <v>3</v>
      </c>
      <c r="P368" s="158">
        <v>197482189</v>
      </c>
      <c r="Q368" s="158"/>
      <c r="R368" s="158"/>
      <c r="S368" s="158"/>
      <c r="T368" s="586"/>
      <c r="U368" s="158"/>
      <c r="V368" s="158"/>
      <c r="W368" s="69"/>
      <c r="X368" s="69"/>
      <c r="Y368" s="69"/>
      <c r="Z368" s="221"/>
      <c r="AA368" s="221"/>
      <c r="AB368" s="221"/>
      <c r="AC368" s="221"/>
      <c r="AD368" s="158"/>
      <c r="AE368" s="158">
        <f t="shared" si="64"/>
        <v>197482189</v>
      </c>
      <c r="AF368" s="158"/>
      <c r="AG368" s="94">
        <v>0</v>
      </c>
      <c r="AH368" s="94"/>
      <c r="AI368" s="94"/>
      <c r="AJ368" s="158">
        <f>AE368+AG368</f>
        <v>197482189</v>
      </c>
      <c r="AK368" s="158">
        <v>877</v>
      </c>
      <c r="AL368" s="158">
        <v>10</v>
      </c>
      <c r="AM368" s="158">
        <v>3</v>
      </c>
      <c r="AN368" s="158"/>
      <c r="AO368" s="158"/>
      <c r="AP368" s="158"/>
      <c r="AQ368" s="158"/>
      <c r="AR368" s="158"/>
      <c r="AS368" s="2">
        <v>0</v>
      </c>
      <c r="AT368" s="58" t="s">
        <v>521</v>
      </c>
      <c r="AU368" s="104" t="s">
        <v>1297</v>
      </c>
      <c r="AV368" s="158"/>
      <c r="AW368" s="158"/>
      <c r="AX368" s="158"/>
      <c r="AY368" s="158"/>
      <c r="AZ368" s="158"/>
      <c r="BA368" s="158"/>
      <c r="BB368" s="69"/>
      <c r="BC368" s="69"/>
      <c r="BD368" s="271"/>
      <c r="BE368" s="271">
        <v>2019</v>
      </c>
      <c r="BF368" s="271">
        <v>2020</v>
      </c>
    </row>
    <row r="369" spans="1:58" s="204" customFormat="1" ht="18" customHeight="1">
      <c r="A369" s="160" t="s">
        <v>508</v>
      </c>
      <c r="B369" s="58" t="s">
        <v>161</v>
      </c>
      <c r="C369" s="148" t="s">
        <v>1246</v>
      </c>
      <c r="D369" s="33" t="s">
        <v>1267</v>
      </c>
      <c r="E369" s="33"/>
      <c r="F369" s="33"/>
      <c r="G369" s="33"/>
      <c r="H369" s="30" t="s">
        <v>1232</v>
      </c>
      <c r="I369" s="78">
        <v>675</v>
      </c>
      <c r="J369" s="212">
        <v>43567</v>
      </c>
      <c r="K369" s="158"/>
      <c r="L369" s="158"/>
      <c r="M369" s="158">
        <v>27</v>
      </c>
      <c r="N369" s="158">
        <v>27</v>
      </c>
      <c r="O369" s="158"/>
      <c r="P369" s="158">
        <v>2140325214</v>
      </c>
      <c r="Q369" s="158"/>
      <c r="R369" s="158"/>
      <c r="S369" s="158"/>
      <c r="T369" s="586">
        <v>1139375657</v>
      </c>
      <c r="U369" s="158">
        <v>10</v>
      </c>
      <c r="V369" s="311">
        <v>43586</v>
      </c>
      <c r="W369" s="577"/>
      <c r="X369" s="577"/>
      <c r="Y369" s="69">
        <v>1000949557</v>
      </c>
      <c r="Z369" s="69">
        <v>20</v>
      </c>
      <c r="AA369" s="311">
        <v>43739</v>
      </c>
      <c r="AB369" s="577"/>
      <c r="AC369" s="69"/>
      <c r="AD369" s="158"/>
      <c r="AE369" s="158">
        <f t="shared" si="64"/>
        <v>0</v>
      </c>
      <c r="AF369" s="158"/>
      <c r="AG369" s="94">
        <v>0</v>
      </c>
      <c r="AH369" s="94"/>
      <c r="AI369" s="94"/>
      <c r="AJ369" s="158">
        <f t="shared" si="63"/>
        <v>0</v>
      </c>
      <c r="AK369" s="158">
        <v>877</v>
      </c>
      <c r="AL369" s="158">
        <v>20</v>
      </c>
      <c r="AM369" s="158"/>
      <c r="AN369" s="158">
        <v>27</v>
      </c>
      <c r="AO369" s="158"/>
      <c r="AP369" s="158"/>
      <c r="AQ369" s="158"/>
      <c r="AR369" s="158"/>
      <c r="AS369" s="2">
        <v>0.55000000000000004</v>
      </c>
      <c r="AT369" s="58" t="s">
        <v>38</v>
      </c>
      <c r="AU369" s="7"/>
      <c r="AV369" s="158"/>
      <c r="AW369" s="158"/>
      <c r="AX369" s="158"/>
      <c r="AY369" s="158"/>
      <c r="AZ369" s="158"/>
      <c r="BA369" s="158"/>
      <c r="BB369" s="69"/>
      <c r="BC369" s="69"/>
      <c r="BD369" s="271"/>
      <c r="BE369" s="271">
        <v>2019</v>
      </c>
      <c r="BF369" s="271">
        <v>2020</v>
      </c>
    </row>
    <row r="370" spans="1:58" s="204" customFormat="1" ht="18" customHeight="1">
      <c r="A370" s="160" t="s">
        <v>508</v>
      </c>
      <c r="B370" s="58" t="s">
        <v>161</v>
      </c>
      <c r="C370" s="148" t="s">
        <v>1246</v>
      </c>
      <c r="D370" s="33" t="s">
        <v>1078</v>
      </c>
      <c r="E370" s="33"/>
      <c r="F370" s="33"/>
      <c r="G370" s="33"/>
      <c r="H370" s="30" t="s">
        <v>1232</v>
      </c>
      <c r="I370" s="78">
        <v>528</v>
      </c>
      <c r="J370" s="212">
        <v>43545</v>
      </c>
      <c r="K370" s="158"/>
      <c r="L370" s="158"/>
      <c r="M370" s="158">
        <v>31</v>
      </c>
      <c r="N370" s="158">
        <v>31</v>
      </c>
      <c r="O370" s="158"/>
      <c r="P370" s="158">
        <v>2488557690</v>
      </c>
      <c r="Q370" s="158"/>
      <c r="R370" s="158"/>
      <c r="S370" s="158"/>
      <c r="T370" s="586">
        <v>1341013239</v>
      </c>
      <c r="U370" s="158">
        <v>10</v>
      </c>
      <c r="V370" s="311">
        <v>43586</v>
      </c>
      <c r="W370" s="577"/>
      <c r="X370" s="577"/>
      <c r="Y370" s="69">
        <v>1147544451</v>
      </c>
      <c r="Z370" s="69">
        <v>20</v>
      </c>
      <c r="AA370" s="311">
        <v>43709</v>
      </c>
      <c r="AB370" s="577"/>
      <c r="AC370" s="69"/>
      <c r="AD370" s="158"/>
      <c r="AE370" s="158">
        <f t="shared" si="64"/>
        <v>0</v>
      </c>
      <c r="AF370" s="158"/>
      <c r="AG370" s="158">
        <f>P370-T370-Y370</f>
        <v>0</v>
      </c>
      <c r="AH370" s="158"/>
      <c r="AI370" s="158"/>
      <c r="AJ370" s="158">
        <f>AE370+AG370</f>
        <v>0</v>
      </c>
      <c r="AK370" s="158">
        <v>877</v>
      </c>
      <c r="AL370" s="158">
        <v>20</v>
      </c>
      <c r="AM370" s="158"/>
      <c r="AN370" s="158">
        <v>31</v>
      </c>
      <c r="AO370" s="158"/>
      <c r="AP370" s="158"/>
      <c r="AQ370" s="158"/>
      <c r="AR370" s="158"/>
      <c r="AS370" s="2">
        <v>0.70520000000000005</v>
      </c>
      <c r="AT370" s="58" t="s">
        <v>38</v>
      </c>
      <c r="AU370" s="104"/>
      <c r="AV370" s="158"/>
      <c r="AW370" s="158"/>
      <c r="AX370" s="158"/>
      <c r="AY370" s="158"/>
      <c r="AZ370" s="158"/>
      <c r="BA370" s="158"/>
      <c r="BB370" s="69"/>
      <c r="BC370" s="69"/>
      <c r="BD370" s="271"/>
      <c r="BE370" s="271">
        <v>2019</v>
      </c>
      <c r="BF370" s="351">
        <v>2020</v>
      </c>
    </row>
    <row r="371" spans="1:58" s="204" customFormat="1" ht="18" customHeight="1">
      <c r="A371" s="160" t="s">
        <v>508</v>
      </c>
      <c r="B371" s="58" t="s">
        <v>1574</v>
      </c>
      <c r="C371" s="489" t="s">
        <v>1573</v>
      </c>
      <c r="D371" s="483" t="s">
        <v>1021</v>
      </c>
      <c r="E371" s="483"/>
      <c r="F371" s="483"/>
      <c r="G371" s="483"/>
      <c r="H371" s="30" t="s">
        <v>1553</v>
      </c>
      <c r="I371" s="78">
        <v>1657</v>
      </c>
      <c r="J371" s="212">
        <v>43728</v>
      </c>
      <c r="K371" s="158"/>
      <c r="L371" s="158"/>
      <c r="M371" s="158">
        <f>58-1</f>
        <v>57</v>
      </c>
      <c r="N371" s="158">
        <v>57</v>
      </c>
      <c r="O371" s="158"/>
      <c r="P371" s="158">
        <f>4832849145-83324983</f>
        <v>4749524162</v>
      </c>
      <c r="Q371" s="158"/>
      <c r="R371" s="158"/>
      <c r="S371" s="158"/>
      <c r="T371" s="586">
        <v>2611835172</v>
      </c>
      <c r="U371" s="158">
        <v>20</v>
      </c>
      <c r="V371" s="311">
        <v>43739</v>
      </c>
      <c r="W371" s="311"/>
      <c r="X371" s="311"/>
      <c r="Y371" s="625">
        <v>2137688990</v>
      </c>
      <c r="Z371" s="495">
        <v>20</v>
      </c>
      <c r="AA371" s="484">
        <v>43889</v>
      </c>
      <c r="AB371" s="616"/>
      <c r="AC371" s="284"/>
      <c r="AD371" s="158"/>
      <c r="AE371" s="158">
        <f>P371-T371-Y371-AG371</f>
        <v>0</v>
      </c>
      <c r="AF371" s="158"/>
      <c r="AG371" s="158">
        <f>P371-T371-Y371</f>
        <v>0</v>
      </c>
      <c r="AH371" s="158"/>
      <c r="AI371" s="158"/>
      <c r="AJ371" s="158">
        <f>AE371+AG371</f>
        <v>0</v>
      </c>
      <c r="AK371" s="158">
        <v>877</v>
      </c>
      <c r="AL371" s="158">
        <v>20</v>
      </c>
      <c r="AM371" s="158"/>
      <c r="AN371" s="158">
        <v>57</v>
      </c>
      <c r="AO371" s="158"/>
      <c r="AP371" s="158"/>
      <c r="AQ371" s="158"/>
      <c r="AR371" s="158"/>
      <c r="AS371" s="493">
        <v>0</v>
      </c>
      <c r="AT371" s="485" t="s">
        <v>38</v>
      </c>
      <c r="AU371" s="104"/>
      <c r="AV371" s="158"/>
      <c r="AW371" s="158"/>
      <c r="AX371" s="158"/>
      <c r="AY371" s="158"/>
      <c r="AZ371" s="158"/>
      <c r="BA371" s="158"/>
      <c r="BB371" s="69"/>
      <c r="BC371" s="69"/>
      <c r="BD371" s="271"/>
      <c r="BE371" s="271">
        <v>2019</v>
      </c>
      <c r="BF371" s="504">
        <v>2020</v>
      </c>
    </row>
    <row r="372" spans="1:58" s="204" customFormat="1" ht="18" customHeight="1">
      <c r="A372" s="160" t="s">
        <v>508</v>
      </c>
      <c r="B372" s="58" t="s">
        <v>1574</v>
      </c>
      <c r="C372" s="148" t="s">
        <v>1573</v>
      </c>
      <c r="D372" s="33" t="s">
        <v>1021</v>
      </c>
      <c r="E372" s="33"/>
      <c r="F372" s="33"/>
      <c r="G372" s="33"/>
      <c r="H372" s="30" t="s">
        <v>1553</v>
      </c>
      <c r="I372" s="78">
        <v>1657</v>
      </c>
      <c r="J372" s="212">
        <v>43728</v>
      </c>
      <c r="K372" s="158"/>
      <c r="L372" s="158"/>
      <c r="M372" s="158">
        <v>1</v>
      </c>
      <c r="N372" s="158">
        <v>1</v>
      </c>
      <c r="O372" s="158"/>
      <c r="P372" s="158">
        <v>83324983</v>
      </c>
      <c r="Q372" s="158"/>
      <c r="R372" s="158"/>
      <c r="S372" s="158"/>
      <c r="T372" s="586"/>
      <c r="U372" s="158"/>
      <c r="V372" s="311"/>
      <c r="W372" s="311"/>
      <c r="X372" s="311"/>
      <c r="Y372" s="94"/>
      <c r="Z372" s="69"/>
      <c r="AA372" s="284"/>
      <c r="AB372" s="284"/>
      <c r="AC372" s="284"/>
      <c r="AD372" s="158"/>
      <c r="AE372" s="158">
        <f>P372-T372-Y372-AG372</f>
        <v>83324983</v>
      </c>
      <c r="AF372" s="158"/>
      <c r="AG372" s="94">
        <v>0</v>
      </c>
      <c r="AH372" s="94"/>
      <c r="AI372" s="94"/>
      <c r="AJ372" s="158">
        <f>AE372+AG372</f>
        <v>83324983</v>
      </c>
      <c r="AK372" s="158">
        <v>877</v>
      </c>
      <c r="AL372" s="94">
        <v>20</v>
      </c>
      <c r="AM372" s="158">
        <v>1</v>
      </c>
      <c r="AN372" s="158"/>
      <c r="AO372" s="158"/>
      <c r="AP372" s="158"/>
      <c r="AQ372" s="158"/>
      <c r="AR372" s="158"/>
      <c r="AS372" s="2">
        <v>0</v>
      </c>
      <c r="AT372" s="58" t="s">
        <v>521</v>
      </c>
      <c r="AU372" s="7" t="s">
        <v>2210</v>
      </c>
      <c r="AV372" s="158"/>
      <c r="AW372" s="158"/>
      <c r="AX372" s="158"/>
      <c r="AY372" s="158"/>
      <c r="AZ372" s="158"/>
      <c r="BA372" s="158"/>
      <c r="BB372" s="69"/>
      <c r="BC372" s="69"/>
      <c r="BD372" s="271"/>
      <c r="BE372" s="271">
        <v>2019</v>
      </c>
      <c r="BF372" s="351">
        <v>2020</v>
      </c>
    </row>
    <row r="373" spans="1:58" s="204" customFormat="1" ht="18" customHeight="1">
      <c r="A373" s="160" t="s">
        <v>508</v>
      </c>
      <c r="B373" s="58" t="s">
        <v>641</v>
      </c>
      <c r="C373" s="526" t="s">
        <v>2243</v>
      </c>
      <c r="D373" s="526" t="s">
        <v>1926</v>
      </c>
      <c r="E373" s="536"/>
      <c r="F373" s="538">
        <v>4</v>
      </c>
      <c r="G373" s="538"/>
      <c r="H373" s="533" t="s">
        <v>2236</v>
      </c>
      <c r="I373" s="78">
        <v>269</v>
      </c>
      <c r="J373" s="459">
        <v>43900</v>
      </c>
      <c r="K373" s="61"/>
      <c r="L373" s="61"/>
      <c r="M373" s="61"/>
      <c r="N373" s="604">
        <v>29</v>
      </c>
      <c r="O373" s="61"/>
      <c r="P373" s="569">
        <v>2114444533</v>
      </c>
      <c r="Q373" s="61"/>
      <c r="R373" s="61"/>
      <c r="S373" s="61"/>
      <c r="T373" s="586">
        <v>1162666239</v>
      </c>
      <c r="U373" s="524">
        <v>20</v>
      </c>
      <c r="V373" s="527">
        <v>43921</v>
      </c>
      <c r="W373" s="527"/>
      <c r="X373" s="527"/>
      <c r="Y373" s="225"/>
      <c r="Z373" s="521">
        <v>20</v>
      </c>
      <c r="AA373" s="158"/>
      <c r="AB373" s="158"/>
      <c r="AC373" s="158"/>
      <c r="AD373" s="158"/>
      <c r="AE373" s="158"/>
      <c r="AF373" s="61"/>
      <c r="AG373" s="225"/>
      <c r="AH373" s="225">
        <v>2144444533</v>
      </c>
      <c r="AI373" s="225"/>
      <c r="AJ373" s="61">
        <f>(AH373-Q373-T373-Y373)</f>
        <v>981778294</v>
      </c>
      <c r="AK373" s="61">
        <v>877</v>
      </c>
      <c r="AL373" s="61">
        <v>20</v>
      </c>
      <c r="AM373" s="524"/>
      <c r="AN373" s="524">
        <v>29</v>
      </c>
      <c r="AO373" s="61"/>
      <c r="AP373" s="61"/>
      <c r="AQ373" s="61"/>
      <c r="AR373" s="61"/>
      <c r="AS373" s="493">
        <v>0</v>
      </c>
      <c r="AT373" s="485" t="s">
        <v>38</v>
      </c>
      <c r="AU373" s="7"/>
      <c r="AV373" s="61"/>
      <c r="AW373" s="61"/>
      <c r="AX373" s="61"/>
      <c r="AY373" s="61"/>
      <c r="AZ373" s="61"/>
      <c r="BA373" s="61"/>
      <c r="BB373" s="461"/>
      <c r="BC373" s="461"/>
      <c r="BD373" s="464"/>
      <c r="BE373" s="464"/>
      <c r="BF373" s="534">
        <v>2020</v>
      </c>
    </row>
    <row r="374" spans="1:58" s="204" customFormat="1" ht="18" customHeight="1">
      <c r="A374" s="160" t="s">
        <v>508</v>
      </c>
      <c r="B374" s="520" t="s">
        <v>2291</v>
      </c>
      <c r="C374" s="526" t="s">
        <v>2292</v>
      </c>
      <c r="D374" s="526" t="s">
        <v>157</v>
      </c>
      <c r="E374" s="536"/>
      <c r="F374" s="538">
        <v>4</v>
      </c>
      <c r="G374" s="538"/>
      <c r="H374" s="533" t="s">
        <v>2236</v>
      </c>
      <c r="I374" s="78">
        <v>406</v>
      </c>
      <c r="J374" s="459">
        <v>43956</v>
      </c>
      <c r="K374" s="61"/>
      <c r="L374" s="61"/>
      <c r="M374" s="61"/>
      <c r="N374" s="604">
        <v>41</v>
      </c>
      <c r="O374" s="61"/>
      <c r="P374" s="524">
        <f>(1640764546+1345200375)</f>
        <v>2985964921</v>
      </c>
      <c r="Q374" s="61"/>
      <c r="R374" s="61"/>
      <c r="S374" s="61"/>
      <c r="T374" s="586">
        <v>1640764546</v>
      </c>
      <c r="U374" s="524">
        <v>20</v>
      </c>
      <c r="V374" s="527">
        <v>43979</v>
      </c>
      <c r="W374" s="527"/>
      <c r="X374" s="527"/>
      <c r="Y374" s="225"/>
      <c r="Z374" s="521">
        <v>20</v>
      </c>
      <c r="AA374" s="158"/>
      <c r="AB374" s="158"/>
      <c r="AC374" s="158"/>
      <c r="AD374" s="158"/>
      <c r="AE374" s="158"/>
      <c r="AF374" s="61"/>
      <c r="AG374" s="225"/>
      <c r="AH374" s="225">
        <v>2985964921</v>
      </c>
      <c r="AI374" s="225"/>
      <c r="AJ374" s="61">
        <f>(AH374-Q374-T374-Y374)</f>
        <v>1345200375</v>
      </c>
      <c r="AK374" s="61">
        <v>877</v>
      </c>
      <c r="AL374" s="61">
        <v>20</v>
      </c>
      <c r="AM374" s="524"/>
      <c r="AN374" s="524">
        <v>41</v>
      </c>
      <c r="AO374" s="61"/>
      <c r="AP374" s="61"/>
      <c r="AQ374" s="61"/>
      <c r="AR374" s="61"/>
      <c r="AS374" s="545">
        <v>0</v>
      </c>
      <c r="AT374" s="589" t="s">
        <v>38</v>
      </c>
      <c r="AU374" s="7"/>
      <c r="AV374" s="61"/>
      <c r="AW374" s="61"/>
      <c r="AX374" s="61"/>
      <c r="AY374" s="61"/>
      <c r="AZ374" s="61"/>
      <c r="BA374" s="61"/>
      <c r="BB374" s="461"/>
      <c r="BC374" s="461"/>
      <c r="BD374" s="464"/>
      <c r="BE374" s="464"/>
      <c r="BF374" s="534">
        <v>2020</v>
      </c>
    </row>
    <row r="375" spans="1:58" ht="15" customHeight="1">
      <c r="A375" s="371" t="s">
        <v>509</v>
      </c>
      <c r="B375" s="371"/>
      <c r="C375" s="371"/>
      <c r="D375" s="371"/>
      <c r="E375" s="371"/>
      <c r="F375" s="371"/>
      <c r="G375" s="371"/>
      <c r="H375" s="371"/>
      <c r="I375" s="371"/>
      <c r="J375" s="371"/>
      <c r="K375" s="371">
        <f>SUM(K376:K424)</f>
        <v>76</v>
      </c>
      <c r="L375" s="370">
        <f>SUM(L376:L424)</f>
        <v>259</v>
      </c>
      <c r="M375" s="370">
        <f>SUM(M376:M424)</f>
        <v>588</v>
      </c>
      <c r="N375" s="424">
        <f>SUM(N376:N429)</f>
        <v>743</v>
      </c>
      <c r="O375" s="370">
        <f t="shared" ref="O375" si="65">SUM(O376:O424)</f>
        <v>4</v>
      </c>
      <c r="P375" s="371"/>
      <c r="Q375" s="371"/>
      <c r="R375" s="371"/>
      <c r="S375" s="371"/>
      <c r="T375" s="586"/>
      <c r="U375" s="371"/>
      <c r="V375" s="371"/>
      <c r="W375" s="371"/>
      <c r="X375" s="371"/>
      <c r="Y375" s="371"/>
      <c r="Z375" s="371"/>
      <c r="AA375" s="371"/>
      <c r="AB375" s="371"/>
      <c r="AC375" s="371"/>
      <c r="AD375" s="371"/>
      <c r="AE375" s="371"/>
      <c r="AF375" s="371"/>
      <c r="AG375" s="371"/>
      <c r="AH375" s="371"/>
      <c r="AI375" s="371"/>
      <c r="AJ375" s="371"/>
      <c r="AK375" s="371"/>
      <c r="AL375" s="371"/>
      <c r="AM375" s="424">
        <f t="shared" ref="AM375:AR375" si="66">SUM(AM376:AM429)</f>
        <v>123</v>
      </c>
      <c r="AN375" s="424">
        <f t="shared" si="66"/>
        <v>624</v>
      </c>
      <c r="AO375" s="424">
        <f t="shared" si="66"/>
        <v>0</v>
      </c>
      <c r="AP375" s="424">
        <f t="shared" si="66"/>
        <v>0</v>
      </c>
      <c r="AQ375" s="424">
        <f t="shared" si="66"/>
        <v>0</v>
      </c>
      <c r="AR375" s="424">
        <f t="shared" si="66"/>
        <v>0</v>
      </c>
      <c r="AS375" s="371"/>
      <c r="AT375" s="371"/>
      <c r="AU375" s="385" t="s">
        <v>1047</v>
      </c>
      <c r="AV375" s="370">
        <f t="shared" ref="AV375:BC375" si="67">SUM(AV376:AV424)</f>
        <v>132</v>
      </c>
      <c r="AW375" s="370">
        <f t="shared" si="67"/>
        <v>258</v>
      </c>
      <c r="AX375" s="370">
        <f t="shared" si="67"/>
        <v>226</v>
      </c>
      <c r="AY375" s="370">
        <f t="shared" si="67"/>
        <v>205</v>
      </c>
      <c r="AZ375" s="370"/>
      <c r="BA375" s="370">
        <f t="shared" si="67"/>
        <v>226</v>
      </c>
      <c r="BB375" s="370">
        <f t="shared" si="67"/>
        <v>205</v>
      </c>
      <c r="BC375" s="371">
        <f t="shared" si="67"/>
        <v>13</v>
      </c>
      <c r="BD375" s="371"/>
      <c r="BE375" s="371">
        <v>2019</v>
      </c>
      <c r="BF375" s="371">
        <v>2020</v>
      </c>
    </row>
    <row r="376" spans="1:58" s="204" customFormat="1" ht="18" customHeight="1">
      <c r="A376" s="160" t="s">
        <v>509</v>
      </c>
      <c r="B376" s="58" t="s">
        <v>515</v>
      </c>
      <c r="C376" s="148" t="s">
        <v>166</v>
      </c>
      <c r="D376" s="33" t="s">
        <v>27</v>
      </c>
      <c r="E376" s="33"/>
      <c r="F376" s="33"/>
      <c r="G376" s="33"/>
      <c r="H376" s="30" t="s">
        <v>647</v>
      </c>
      <c r="I376" s="30">
        <v>751</v>
      </c>
      <c r="J376" s="212">
        <v>41782</v>
      </c>
      <c r="K376" s="158"/>
      <c r="L376" s="158"/>
      <c r="M376" s="158">
        <v>70</v>
      </c>
      <c r="N376" s="158">
        <v>70</v>
      </c>
      <c r="O376" s="158"/>
      <c r="P376" s="158"/>
      <c r="Q376" s="158"/>
      <c r="R376" s="158"/>
      <c r="S376" s="158"/>
      <c r="T376" s="586"/>
      <c r="U376" s="158"/>
      <c r="V376" s="158"/>
      <c r="W376" s="158"/>
      <c r="X376" s="158"/>
      <c r="Y376" s="94"/>
      <c r="Z376" s="158"/>
      <c r="AA376" s="158"/>
      <c r="AB376" s="158"/>
      <c r="AC376" s="158"/>
      <c r="AD376" s="158"/>
      <c r="AE376" s="158">
        <f>P376-T376-Y376</f>
        <v>0</v>
      </c>
      <c r="AF376" s="158"/>
      <c r="AG376" s="94">
        <v>0</v>
      </c>
      <c r="AH376" s="94"/>
      <c r="AI376" s="94"/>
      <c r="AJ376" s="158">
        <f t="shared" ref="AJ376" si="68">AE376+AG376</f>
        <v>0</v>
      </c>
      <c r="AK376" s="158"/>
      <c r="AL376" s="158"/>
      <c r="AM376" s="158">
        <v>70</v>
      </c>
      <c r="AN376" s="158"/>
      <c r="AO376" s="158"/>
      <c r="AP376" s="158"/>
      <c r="AQ376" s="158"/>
      <c r="AR376" s="158"/>
      <c r="AS376" s="2">
        <v>0</v>
      </c>
      <c r="AT376" s="58" t="s">
        <v>521</v>
      </c>
      <c r="AU376" s="392"/>
      <c r="AV376" s="158" t="s">
        <v>0</v>
      </c>
      <c r="AW376" s="158"/>
      <c r="AX376" s="158"/>
      <c r="AY376" s="158"/>
      <c r="AZ376" s="158"/>
      <c r="BA376" s="158"/>
      <c r="BB376" s="69"/>
      <c r="BC376" s="69"/>
      <c r="BD376" s="271"/>
      <c r="BE376" s="271">
        <v>2019</v>
      </c>
      <c r="BF376" s="271">
        <v>2020</v>
      </c>
    </row>
    <row r="377" spans="1:58" s="204" customFormat="1" ht="15" hidden="1" customHeight="1">
      <c r="A377" s="160" t="s">
        <v>509</v>
      </c>
      <c r="B377" s="58" t="s">
        <v>185</v>
      </c>
      <c r="C377" s="148" t="s">
        <v>167</v>
      </c>
      <c r="D377" s="33" t="s">
        <v>168</v>
      </c>
      <c r="E377" s="33"/>
      <c r="F377" s="33"/>
      <c r="G377" s="33"/>
      <c r="H377" s="30"/>
      <c r="I377" s="58"/>
      <c r="J377" s="212"/>
      <c r="K377" s="158"/>
      <c r="L377" s="158"/>
      <c r="M377" s="158"/>
      <c r="N377" s="158"/>
      <c r="O377" s="158"/>
      <c r="P377" s="158"/>
      <c r="Q377" s="158"/>
      <c r="R377" s="158"/>
      <c r="S377" s="158"/>
      <c r="T377" s="586"/>
      <c r="U377" s="158"/>
      <c r="V377" s="158"/>
      <c r="W377" s="158"/>
      <c r="X377" s="158"/>
      <c r="Y377" s="94"/>
      <c r="Z377" s="158"/>
      <c r="AA377" s="158"/>
      <c r="AB377" s="158"/>
      <c r="AC377" s="158"/>
      <c r="AD377" s="158"/>
      <c r="AE377" s="158"/>
      <c r="AF377" s="158"/>
      <c r="AG377" s="158"/>
      <c r="AH377" s="158"/>
      <c r="AI377" s="158"/>
      <c r="AJ377" s="158"/>
      <c r="AK377" s="158"/>
      <c r="AL377" s="158"/>
      <c r="AM377" s="158"/>
      <c r="AN377" s="158"/>
      <c r="AO377" s="158"/>
      <c r="AP377" s="158"/>
      <c r="AQ377" s="158"/>
      <c r="AR377" s="158"/>
      <c r="AS377" s="2"/>
      <c r="AT377" s="58"/>
      <c r="AU377" s="106"/>
      <c r="AV377" s="158">
        <v>30</v>
      </c>
      <c r="AW377" s="158"/>
      <c r="AX377" s="158"/>
      <c r="AY377" s="158"/>
      <c r="AZ377" s="158"/>
      <c r="BA377" s="158"/>
      <c r="BB377" s="69"/>
      <c r="BC377" s="69"/>
      <c r="BD377" s="271">
        <v>2016</v>
      </c>
      <c r="BE377" s="271"/>
      <c r="BF377" s="271"/>
    </row>
    <row r="378" spans="1:58" s="204" customFormat="1" ht="15" hidden="1" customHeight="1">
      <c r="A378" s="160" t="s">
        <v>509</v>
      </c>
      <c r="B378" s="58" t="s">
        <v>173</v>
      </c>
      <c r="C378" s="148" t="s">
        <v>669</v>
      </c>
      <c r="D378" s="33" t="s">
        <v>171</v>
      </c>
      <c r="E378" s="33"/>
      <c r="F378" s="33"/>
      <c r="G378" s="33"/>
      <c r="H378" s="30" t="s">
        <v>691</v>
      </c>
      <c r="I378" s="30"/>
      <c r="J378" s="212"/>
      <c r="K378" s="158"/>
      <c r="L378" s="158"/>
      <c r="M378" s="158"/>
      <c r="N378" s="158"/>
      <c r="O378" s="158"/>
      <c r="P378" s="158"/>
      <c r="Q378" s="158"/>
      <c r="R378" s="158"/>
      <c r="S378" s="158"/>
      <c r="T378" s="586"/>
      <c r="U378" s="158"/>
      <c r="V378" s="158"/>
      <c r="W378" s="158"/>
      <c r="X378" s="158"/>
      <c r="Y378" s="94"/>
      <c r="Z378" s="158"/>
      <c r="AA378" s="158"/>
      <c r="AB378" s="158"/>
      <c r="AC378" s="158"/>
      <c r="AD378" s="158"/>
      <c r="AE378" s="158"/>
      <c r="AF378" s="158"/>
      <c r="AG378" s="158"/>
      <c r="AH378" s="158"/>
      <c r="AI378" s="158"/>
      <c r="AJ378" s="158"/>
      <c r="AK378" s="158"/>
      <c r="AL378" s="158"/>
      <c r="AM378" s="158">
        <f>6-6</f>
        <v>0</v>
      </c>
      <c r="AN378" s="158"/>
      <c r="AO378" s="158"/>
      <c r="AP378" s="158"/>
      <c r="AQ378" s="158"/>
      <c r="AR378" s="158"/>
      <c r="AS378" s="2">
        <v>0</v>
      </c>
      <c r="AT378" s="58" t="s">
        <v>687</v>
      </c>
      <c r="AU378" s="106"/>
      <c r="AV378" s="158" t="s">
        <v>0</v>
      </c>
      <c r="AW378" s="158"/>
      <c r="AX378" s="158"/>
      <c r="AY378" s="158"/>
      <c r="AZ378" s="158"/>
      <c r="BA378" s="158"/>
      <c r="BB378" s="69"/>
      <c r="BC378" s="69">
        <v>6</v>
      </c>
      <c r="BD378" s="271" t="s">
        <v>1703</v>
      </c>
      <c r="BE378" s="271"/>
      <c r="BF378" s="271"/>
    </row>
    <row r="379" spans="1:58" s="204" customFormat="1" ht="15" hidden="1" customHeight="1">
      <c r="A379" s="160" t="s">
        <v>509</v>
      </c>
      <c r="B379" s="58" t="s">
        <v>173</v>
      </c>
      <c r="C379" s="148" t="s">
        <v>172</v>
      </c>
      <c r="D379" s="33" t="s">
        <v>30</v>
      </c>
      <c r="E379" s="33"/>
      <c r="F379" s="33"/>
      <c r="G379" s="33"/>
      <c r="H379" s="30"/>
      <c r="I379" s="58"/>
      <c r="J379" s="212"/>
      <c r="K379" s="158"/>
      <c r="L379" s="158"/>
      <c r="M379" s="158"/>
      <c r="N379" s="158"/>
      <c r="O379" s="158"/>
      <c r="P379" s="158"/>
      <c r="Q379" s="158"/>
      <c r="R379" s="158"/>
      <c r="S379" s="158"/>
      <c r="T379" s="586"/>
      <c r="U379" s="158"/>
      <c r="V379" s="158"/>
      <c r="W379" s="158"/>
      <c r="X379" s="158"/>
      <c r="Y379" s="94"/>
      <c r="Z379" s="158"/>
      <c r="AA379" s="158"/>
      <c r="AB379" s="158"/>
      <c r="AC379" s="158"/>
      <c r="AD379" s="158"/>
      <c r="AE379" s="158"/>
      <c r="AF379" s="158"/>
      <c r="AG379" s="158"/>
      <c r="AH379" s="158"/>
      <c r="AI379" s="158"/>
      <c r="AJ379" s="158"/>
      <c r="AK379" s="158"/>
      <c r="AL379" s="158"/>
      <c r="AM379" s="158"/>
      <c r="AN379" s="158"/>
      <c r="AO379" s="158"/>
      <c r="AP379" s="158"/>
      <c r="AQ379" s="158"/>
      <c r="AR379" s="158"/>
      <c r="AS379" s="2"/>
      <c r="AT379" s="58"/>
      <c r="AU379" s="106"/>
      <c r="AV379" s="158">
        <v>17</v>
      </c>
      <c r="AW379" s="158"/>
      <c r="AX379" s="158"/>
      <c r="AY379" s="158"/>
      <c r="AZ379" s="158"/>
      <c r="BA379" s="158"/>
      <c r="BB379" s="69"/>
      <c r="BC379" s="69"/>
      <c r="BD379" s="271">
        <v>2016</v>
      </c>
      <c r="BE379" s="271"/>
      <c r="BF379" s="271"/>
    </row>
    <row r="380" spans="1:58" s="204" customFormat="1" ht="15" hidden="1" customHeight="1">
      <c r="A380" s="160" t="s">
        <v>509</v>
      </c>
      <c r="B380" s="58" t="s">
        <v>169</v>
      </c>
      <c r="C380" s="148" t="s">
        <v>174</v>
      </c>
      <c r="D380" s="33" t="s">
        <v>170</v>
      </c>
      <c r="E380" s="33"/>
      <c r="F380" s="33"/>
      <c r="G380" s="33"/>
      <c r="H380" s="30"/>
      <c r="I380" s="58"/>
      <c r="J380" s="212"/>
      <c r="K380" s="158"/>
      <c r="L380" s="158"/>
      <c r="M380" s="158"/>
      <c r="N380" s="158"/>
      <c r="O380" s="158"/>
      <c r="P380" s="158"/>
      <c r="Q380" s="158"/>
      <c r="R380" s="158"/>
      <c r="S380" s="158"/>
      <c r="T380" s="586"/>
      <c r="U380" s="158"/>
      <c r="V380" s="158"/>
      <c r="W380" s="158"/>
      <c r="X380" s="158"/>
      <c r="Y380" s="94"/>
      <c r="Z380" s="158"/>
      <c r="AA380" s="158"/>
      <c r="AB380" s="158"/>
      <c r="AC380" s="158"/>
      <c r="AD380" s="158"/>
      <c r="AE380" s="158"/>
      <c r="AF380" s="158"/>
      <c r="AG380" s="158"/>
      <c r="AH380" s="158"/>
      <c r="AI380" s="158"/>
      <c r="AJ380" s="158"/>
      <c r="AK380" s="158"/>
      <c r="AL380" s="158"/>
      <c r="AM380" s="158"/>
      <c r="AN380" s="158"/>
      <c r="AO380" s="158"/>
      <c r="AP380" s="158"/>
      <c r="AQ380" s="158"/>
      <c r="AR380" s="158"/>
      <c r="AS380" s="2"/>
      <c r="AT380" s="58"/>
      <c r="AU380" s="106"/>
      <c r="AV380" s="158">
        <v>34</v>
      </c>
      <c r="AW380" s="158"/>
      <c r="AX380" s="158"/>
      <c r="AY380" s="158"/>
      <c r="AZ380" s="158"/>
      <c r="BA380" s="158"/>
      <c r="BB380" s="69"/>
      <c r="BC380" s="69"/>
      <c r="BD380" s="271">
        <v>2016</v>
      </c>
      <c r="BE380" s="271"/>
      <c r="BF380" s="271"/>
    </row>
    <row r="381" spans="1:58" s="204" customFormat="1" ht="15" hidden="1" customHeight="1">
      <c r="A381" s="160" t="s">
        <v>509</v>
      </c>
      <c r="B381" s="58" t="s">
        <v>173</v>
      </c>
      <c r="C381" s="148" t="s">
        <v>175</v>
      </c>
      <c r="D381" s="33" t="s">
        <v>16</v>
      </c>
      <c r="E381" s="33"/>
      <c r="F381" s="33"/>
      <c r="G381" s="33"/>
      <c r="H381" s="30"/>
      <c r="I381" s="58"/>
      <c r="J381" s="212"/>
      <c r="K381" s="158"/>
      <c r="L381" s="158"/>
      <c r="M381" s="158"/>
      <c r="N381" s="158"/>
      <c r="O381" s="158"/>
      <c r="P381" s="158"/>
      <c r="Q381" s="158"/>
      <c r="R381" s="158"/>
      <c r="S381" s="158"/>
      <c r="T381" s="586"/>
      <c r="U381" s="158"/>
      <c r="V381" s="158"/>
      <c r="W381" s="158"/>
      <c r="X381" s="158"/>
      <c r="Y381" s="94"/>
      <c r="Z381" s="158"/>
      <c r="AA381" s="158"/>
      <c r="AB381" s="158"/>
      <c r="AC381" s="158"/>
      <c r="AD381" s="158"/>
      <c r="AE381" s="158"/>
      <c r="AF381" s="158"/>
      <c r="AG381" s="158"/>
      <c r="AH381" s="158"/>
      <c r="AI381" s="158"/>
      <c r="AJ381" s="158"/>
      <c r="AK381" s="158"/>
      <c r="AL381" s="158"/>
      <c r="AM381" s="158"/>
      <c r="AN381" s="158"/>
      <c r="AO381" s="158"/>
      <c r="AP381" s="158"/>
      <c r="AQ381" s="158"/>
      <c r="AR381" s="158"/>
      <c r="AS381" s="2"/>
      <c r="AT381" s="58"/>
      <c r="AU381" s="106"/>
      <c r="AV381" s="158">
        <v>51</v>
      </c>
      <c r="AW381" s="158"/>
      <c r="AX381" s="158"/>
      <c r="AY381" s="158"/>
      <c r="AZ381" s="158"/>
      <c r="BA381" s="158"/>
      <c r="BB381" s="69"/>
      <c r="BC381" s="69"/>
      <c r="BD381" s="271">
        <v>2016</v>
      </c>
      <c r="BE381" s="271"/>
      <c r="BF381" s="271"/>
    </row>
    <row r="382" spans="1:58" s="204" customFormat="1" ht="15" hidden="1" customHeight="1">
      <c r="A382" s="160" t="s">
        <v>509</v>
      </c>
      <c r="B382" s="58" t="s">
        <v>173</v>
      </c>
      <c r="C382" s="148" t="s">
        <v>175</v>
      </c>
      <c r="D382" s="33" t="s">
        <v>16</v>
      </c>
      <c r="E382" s="33"/>
      <c r="F382" s="33"/>
      <c r="G382" s="33"/>
      <c r="H382" s="30" t="s">
        <v>658</v>
      </c>
      <c r="I382" s="30"/>
      <c r="J382" s="212"/>
      <c r="K382" s="158"/>
      <c r="L382" s="158"/>
      <c r="M382" s="158"/>
      <c r="N382" s="158"/>
      <c r="O382" s="158"/>
      <c r="P382" s="158"/>
      <c r="Q382" s="158"/>
      <c r="R382" s="158"/>
      <c r="S382" s="158"/>
      <c r="T382" s="586"/>
      <c r="U382" s="158"/>
      <c r="V382" s="158"/>
      <c r="W382" s="158"/>
      <c r="X382" s="158"/>
      <c r="Y382" s="94"/>
      <c r="Z382" s="158"/>
      <c r="AA382" s="158"/>
      <c r="AB382" s="158"/>
      <c r="AC382" s="158"/>
      <c r="AD382" s="158"/>
      <c r="AE382" s="158"/>
      <c r="AF382" s="158"/>
      <c r="AG382" s="158"/>
      <c r="AH382" s="158"/>
      <c r="AI382" s="158"/>
      <c r="AJ382" s="158"/>
      <c r="AK382" s="158"/>
      <c r="AL382" s="158"/>
      <c r="AM382" s="158">
        <f>1-1</f>
        <v>0</v>
      </c>
      <c r="AN382" s="158"/>
      <c r="AO382" s="158"/>
      <c r="AP382" s="158"/>
      <c r="AQ382" s="158"/>
      <c r="AR382" s="158"/>
      <c r="AS382" s="2">
        <v>0</v>
      </c>
      <c r="AT382" s="58" t="s">
        <v>687</v>
      </c>
      <c r="AU382" s="162" t="s">
        <v>1371</v>
      </c>
      <c r="AV382" s="158"/>
      <c r="AW382" s="158"/>
      <c r="AX382" s="158"/>
      <c r="AY382" s="158"/>
      <c r="AZ382" s="158"/>
      <c r="BA382" s="158"/>
      <c r="BB382" s="69"/>
      <c r="BC382" s="69">
        <v>1</v>
      </c>
      <c r="BD382" s="271" t="s">
        <v>1703</v>
      </c>
      <c r="BE382" s="271"/>
      <c r="BF382" s="271"/>
    </row>
    <row r="383" spans="1:58" s="204" customFormat="1" ht="15" hidden="1" customHeight="1">
      <c r="A383" s="160" t="s">
        <v>509</v>
      </c>
      <c r="B383" s="58" t="s">
        <v>173</v>
      </c>
      <c r="C383" s="148" t="s">
        <v>670</v>
      </c>
      <c r="D383" s="33" t="s">
        <v>30</v>
      </c>
      <c r="E383" s="33"/>
      <c r="F383" s="33"/>
      <c r="G383" s="33"/>
      <c r="H383" s="30" t="s">
        <v>635</v>
      </c>
      <c r="I383" s="30"/>
      <c r="J383" s="212"/>
      <c r="K383" s="158"/>
      <c r="L383" s="158"/>
      <c r="M383" s="158"/>
      <c r="N383" s="158"/>
      <c r="O383" s="158"/>
      <c r="P383" s="158"/>
      <c r="Q383" s="158"/>
      <c r="R383" s="158"/>
      <c r="S383" s="158"/>
      <c r="T383" s="586"/>
      <c r="U383" s="158"/>
      <c r="V383" s="158"/>
      <c r="W383" s="158"/>
      <c r="X383" s="158"/>
      <c r="Y383" s="94"/>
      <c r="Z383" s="158"/>
      <c r="AA383" s="158"/>
      <c r="AB383" s="158"/>
      <c r="AC383" s="158"/>
      <c r="AD383" s="158"/>
      <c r="AE383" s="158"/>
      <c r="AF383" s="158"/>
      <c r="AG383" s="158"/>
      <c r="AH383" s="158"/>
      <c r="AI383" s="158"/>
      <c r="AJ383" s="158"/>
      <c r="AK383" s="158"/>
      <c r="AL383" s="158"/>
      <c r="AM383" s="158"/>
      <c r="AN383" s="158"/>
      <c r="AO383" s="158"/>
      <c r="AP383" s="158"/>
      <c r="AQ383" s="158"/>
      <c r="AR383" s="158"/>
      <c r="AS383" s="2">
        <v>1</v>
      </c>
      <c r="AT383" s="58" t="s">
        <v>646</v>
      </c>
      <c r="AU383" s="106"/>
      <c r="AV383" s="158"/>
      <c r="AW383" s="158">
        <v>32</v>
      </c>
      <c r="AX383" s="158"/>
      <c r="AY383" s="158"/>
      <c r="AZ383" s="158"/>
      <c r="BA383" s="158"/>
      <c r="BB383" s="69"/>
      <c r="BC383" s="69"/>
      <c r="BD383" s="271">
        <v>2017</v>
      </c>
      <c r="BE383" s="271"/>
      <c r="BF383" s="271"/>
    </row>
    <row r="384" spans="1:58" s="204" customFormat="1" ht="15" hidden="1" customHeight="1">
      <c r="A384" s="160" t="s">
        <v>509</v>
      </c>
      <c r="B384" s="58" t="s">
        <v>177</v>
      </c>
      <c r="C384" s="148" t="s">
        <v>176</v>
      </c>
      <c r="D384" s="33" t="s">
        <v>168</v>
      </c>
      <c r="E384" s="33"/>
      <c r="F384" s="33"/>
      <c r="G384" s="33"/>
      <c r="H384" s="30" t="s">
        <v>636</v>
      </c>
      <c r="I384" s="30"/>
      <c r="J384" s="212"/>
      <c r="K384" s="158"/>
      <c r="L384" s="158"/>
      <c r="M384" s="158"/>
      <c r="N384" s="158"/>
      <c r="O384" s="158"/>
      <c r="P384" s="158"/>
      <c r="Q384" s="158"/>
      <c r="R384" s="158"/>
      <c r="S384" s="158"/>
      <c r="T384" s="586"/>
      <c r="U384" s="158"/>
      <c r="V384" s="158"/>
      <c r="W384" s="158"/>
      <c r="X384" s="158"/>
      <c r="Y384" s="94"/>
      <c r="Z384" s="158"/>
      <c r="AA384" s="158"/>
      <c r="AB384" s="158"/>
      <c r="AC384" s="158"/>
      <c r="AD384" s="158"/>
      <c r="AE384" s="158"/>
      <c r="AF384" s="158"/>
      <c r="AG384" s="158"/>
      <c r="AH384" s="158"/>
      <c r="AI384" s="158"/>
      <c r="AJ384" s="158"/>
      <c r="AK384" s="158"/>
      <c r="AL384" s="158"/>
      <c r="AM384" s="158"/>
      <c r="AN384" s="158"/>
      <c r="AO384" s="158"/>
      <c r="AP384" s="11"/>
      <c r="AQ384" s="11"/>
      <c r="AR384" s="11"/>
      <c r="AS384" s="2">
        <v>1</v>
      </c>
      <c r="AT384" s="58" t="s">
        <v>646</v>
      </c>
      <c r="AU384" s="106"/>
      <c r="AV384" s="158"/>
      <c r="AW384" s="11"/>
      <c r="AX384" s="158">
        <v>92</v>
      </c>
      <c r="AY384" s="158"/>
      <c r="AZ384" s="158"/>
      <c r="BA384" s="158">
        <v>92</v>
      </c>
      <c r="BB384" s="69"/>
      <c r="BC384" s="69"/>
      <c r="BD384" s="271">
        <v>2018</v>
      </c>
      <c r="BE384" s="271"/>
      <c r="BF384" s="271"/>
    </row>
    <row r="385" spans="1:58" s="204" customFormat="1" ht="15" hidden="1" customHeight="1">
      <c r="A385" s="160" t="s">
        <v>509</v>
      </c>
      <c r="B385" s="58" t="s">
        <v>177</v>
      </c>
      <c r="C385" s="148" t="s">
        <v>176</v>
      </c>
      <c r="D385" s="33" t="s">
        <v>168</v>
      </c>
      <c r="E385" s="33"/>
      <c r="F385" s="33"/>
      <c r="G385" s="33"/>
      <c r="H385" s="30" t="s">
        <v>636</v>
      </c>
      <c r="I385" s="30"/>
      <c r="J385" s="212"/>
      <c r="K385" s="158"/>
      <c r="L385" s="158"/>
      <c r="M385" s="158"/>
      <c r="N385" s="158"/>
      <c r="O385" s="158"/>
      <c r="P385" s="158"/>
      <c r="Q385" s="158"/>
      <c r="R385" s="158"/>
      <c r="S385" s="158"/>
      <c r="T385" s="586"/>
      <c r="U385" s="158"/>
      <c r="V385" s="158"/>
      <c r="W385" s="158"/>
      <c r="X385" s="158"/>
      <c r="Y385" s="94"/>
      <c r="Z385" s="158"/>
      <c r="AA385" s="158"/>
      <c r="AB385" s="158"/>
      <c r="AC385" s="158"/>
      <c r="AD385" s="158"/>
      <c r="AE385" s="158"/>
      <c r="AF385" s="158"/>
      <c r="AG385" s="158"/>
      <c r="AH385" s="158"/>
      <c r="AI385" s="158"/>
      <c r="AJ385" s="158"/>
      <c r="AK385" s="158"/>
      <c r="AL385" s="158"/>
      <c r="AM385" s="158"/>
      <c r="AN385" s="158"/>
      <c r="AO385" s="158"/>
      <c r="AP385" s="11"/>
      <c r="AQ385" s="11"/>
      <c r="AR385" s="11"/>
      <c r="AS385" s="2">
        <v>1</v>
      </c>
      <c r="AT385" s="58" t="s">
        <v>646</v>
      </c>
      <c r="AU385" s="58" t="s">
        <v>642</v>
      </c>
      <c r="AV385" s="158"/>
      <c r="AW385" s="11"/>
      <c r="AX385" s="158">
        <v>5</v>
      </c>
      <c r="AY385" s="158"/>
      <c r="AZ385" s="158"/>
      <c r="BA385" s="158">
        <v>5</v>
      </c>
      <c r="BB385" s="69"/>
      <c r="BC385" s="69"/>
      <c r="BD385" s="271">
        <v>2018</v>
      </c>
      <c r="BE385" s="271"/>
      <c r="BF385" s="271"/>
    </row>
    <row r="386" spans="1:58" s="204" customFormat="1" ht="15" hidden="1" customHeight="1">
      <c r="A386" s="160" t="s">
        <v>509</v>
      </c>
      <c r="B386" s="58" t="s">
        <v>173</v>
      </c>
      <c r="C386" s="148" t="s">
        <v>178</v>
      </c>
      <c r="D386" s="33" t="s">
        <v>30</v>
      </c>
      <c r="E386" s="33"/>
      <c r="F386" s="33"/>
      <c r="G386" s="33"/>
      <c r="H386" s="30" t="s">
        <v>650</v>
      </c>
      <c r="I386" s="30"/>
      <c r="J386" s="212"/>
      <c r="K386" s="158"/>
      <c r="L386" s="158"/>
      <c r="M386" s="158"/>
      <c r="N386" s="158"/>
      <c r="O386" s="158"/>
      <c r="P386" s="158"/>
      <c r="Q386" s="158"/>
      <c r="R386" s="158"/>
      <c r="S386" s="158"/>
      <c r="T386" s="586"/>
      <c r="U386" s="158"/>
      <c r="V386" s="158"/>
      <c r="W386" s="158"/>
      <c r="X386" s="158"/>
      <c r="Y386" s="94"/>
      <c r="Z386" s="158"/>
      <c r="AA386" s="158"/>
      <c r="AB386" s="158"/>
      <c r="AC386" s="158"/>
      <c r="AD386" s="158"/>
      <c r="AE386" s="158"/>
      <c r="AF386" s="158"/>
      <c r="AG386" s="158"/>
      <c r="AH386" s="158"/>
      <c r="AI386" s="158"/>
      <c r="AJ386" s="158"/>
      <c r="AK386" s="158"/>
      <c r="AL386" s="158"/>
      <c r="AM386" s="158"/>
      <c r="AN386" s="158"/>
      <c r="AO386" s="158"/>
      <c r="AP386" s="158"/>
      <c r="AQ386" s="158"/>
      <c r="AR386" s="158"/>
      <c r="AS386" s="2">
        <v>1</v>
      </c>
      <c r="AT386" s="58" t="s">
        <v>646</v>
      </c>
      <c r="AU386" s="58"/>
      <c r="AV386" s="158"/>
      <c r="AW386" s="158">
        <v>40</v>
      </c>
      <c r="AX386" s="158"/>
      <c r="AY386" s="158"/>
      <c r="AZ386" s="158"/>
      <c r="BA386" s="158"/>
      <c r="BB386" s="69"/>
      <c r="BC386" s="69"/>
      <c r="BD386" s="271">
        <v>2017</v>
      </c>
      <c r="BE386" s="271"/>
      <c r="BF386" s="271"/>
    </row>
    <row r="387" spans="1:58" s="204" customFormat="1" ht="15" hidden="1" customHeight="1">
      <c r="A387" s="160" t="s">
        <v>509</v>
      </c>
      <c r="B387" s="58" t="s">
        <v>180</v>
      </c>
      <c r="C387" s="148" t="s">
        <v>179</v>
      </c>
      <c r="D387" s="33" t="s">
        <v>168</v>
      </c>
      <c r="E387" s="33"/>
      <c r="F387" s="33"/>
      <c r="G387" s="33"/>
      <c r="H387" s="30" t="s">
        <v>650</v>
      </c>
      <c r="I387" s="30"/>
      <c r="J387" s="212"/>
      <c r="K387" s="158"/>
      <c r="L387" s="158"/>
      <c r="M387" s="158"/>
      <c r="N387" s="158"/>
      <c r="O387" s="158"/>
      <c r="P387" s="158"/>
      <c r="Q387" s="158"/>
      <c r="R387" s="158"/>
      <c r="S387" s="158"/>
      <c r="T387" s="586"/>
      <c r="U387" s="158"/>
      <c r="V387" s="158"/>
      <c r="W387" s="158"/>
      <c r="X387" s="158"/>
      <c r="Y387" s="94"/>
      <c r="Z387" s="158"/>
      <c r="AA387" s="158"/>
      <c r="AB387" s="158"/>
      <c r="AC387" s="158"/>
      <c r="AD387" s="158"/>
      <c r="AE387" s="158"/>
      <c r="AF387" s="158"/>
      <c r="AG387" s="158"/>
      <c r="AH387" s="158"/>
      <c r="AI387" s="158"/>
      <c r="AJ387" s="158"/>
      <c r="AK387" s="158"/>
      <c r="AL387" s="158"/>
      <c r="AM387" s="158"/>
      <c r="AN387" s="158"/>
      <c r="AO387" s="158"/>
      <c r="AP387" s="158"/>
      <c r="AQ387" s="158"/>
      <c r="AR387" s="158"/>
      <c r="AS387" s="2">
        <v>1</v>
      </c>
      <c r="AT387" s="58" t="s">
        <v>646</v>
      </c>
      <c r="AU387" s="106"/>
      <c r="AV387" s="158"/>
      <c r="AW387" s="158">
        <v>36</v>
      </c>
      <c r="AX387" s="158"/>
      <c r="AY387" s="158"/>
      <c r="AZ387" s="158"/>
      <c r="BA387" s="158"/>
      <c r="BB387" s="69"/>
      <c r="BC387" s="69"/>
      <c r="BD387" s="271">
        <v>2017</v>
      </c>
      <c r="BE387" s="271"/>
      <c r="BF387" s="271"/>
    </row>
    <row r="388" spans="1:58" s="204" customFormat="1" ht="15" hidden="1" customHeight="1">
      <c r="A388" s="160" t="s">
        <v>509</v>
      </c>
      <c r="B388" s="58" t="s">
        <v>173</v>
      </c>
      <c r="C388" s="148" t="s">
        <v>181</v>
      </c>
      <c r="D388" s="33" t="s">
        <v>30</v>
      </c>
      <c r="E388" s="33"/>
      <c r="F388" s="33"/>
      <c r="G388" s="33"/>
      <c r="H388" s="30" t="s">
        <v>650</v>
      </c>
      <c r="I388" s="30"/>
      <c r="J388" s="212"/>
      <c r="K388" s="158"/>
      <c r="L388" s="158"/>
      <c r="M388" s="158"/>
      <c r="N388" s="158"/>
      <c r="O388" s="158"/>
      <c r="P388" s="158"/>
      <c r="Q388" s="158"/>
      <c r="R388" s="158"/>
      <c r="S388" s="158"/>
      <c r="T388" s="586"/>
      <c r="U388" s="158"/>
      <c r="V388" s="158"/>
      <c r="W388" s="158"/>
      <c r="X388" s="158"/>
      <c r="Y388" s="94"/>
      <c r="Z388" s="158"/>
      <c r="AA388" s="158"/>
      <c r="AB388" s="158"/>
      <c r="AC388" s="158"/>
      <c r="AD388" s="158"/>
      <c r="AE388" s="158"/>
      <c r="AF388" s="158"/>
      <c r="AG388" s="158"/>
      <c r="AH388" s="158"/>
      <c r="AI388" s="158"/>
      <c r="AJ388" s="158"/>
      <c r="AK388" s="158"/>
      <c r="AL388" s="158"/>
      <c r="AM388" s="158"/>
      <c r="AN388" s="158"/>
      <c r="AO388" s="158"/>
      <c r="AP388" s="158"/>
      <c r="AQ388" s="158"/>
      <c r="AR388" s="158"/>
      <c r="AS388" s="2">
        <v>1</v>
      </c>
      <c r="AT388" s="58" t="s">
        <v>646</v>
      </c>
      <c r="AU388" s="106"/>
      <c r="AV388" s="158"/>
      <c r="AW388" s="158">
        <v>19</v>
      </c>
      <c r="AX388" s="158"/>
      <c r="AY388" s="158"/>
      <c r="AZ388" s="158"/>
      <c r="BA388" s="158"/>
      <c r="BB388" s="69"/>
      <c r="BC388" s="69"/>
      <c r="BD388" s="271">
        <v>2017</v>
      </c>
      <c r="BE388" s="271"/>
      <c r="BF388" s="271"/>
    </row>
    <row r="389" spans="1:58" s="204" customFormat="1" ht="15" hidden="1" customHeight="1">
      <c r="A389" s="160" t="s">
        <v>509</v>
      </c>
      <c r="B389" s="58" t="s">
        <v>173</v>
      </c>
      <c r="C389" s="148" t="s">
        <v>182</v>
      </c>
      <c r="D389" s="33" t="s">
        <v>30</v>
      </c>
      <c r="E389" s="33"/>
      <c r="F389" s="33"/>
      <c r="G389" s="33"/>
      <c r="H389" s="30" t="s">
        <v>650</v>
      </c>
      <c r="I389" s="30"/>
      <c r="J389" s="212"/>
      <c r="K389" s="158"/>
      <c r="L389" s="158"/>
      <c r="M389" s="158"/>
      <c r="N389" s="158"/>
      <c r="O389" s="158"/>
      <c r="P389" s="158"/>
      <c r="Q389" s="158"/>
      <c r="R389" s="158"/>
      <c r="S389" s="158"/>
      <c r="T389" s="586"/>
      <c r="U389" s="158"/>
      <c r="V389" s="158"/>
      <c r="W389" s="158"/>
      <c r="X389" s="158"/>
      <c r="Y389" s="94"/>
      <c r="Z389" s="158"/>
      <c r="AA389" s="158"/>
      <c r="AB389" s="158"/>
      <c r="AC389" s="158"/>
      <c r="AD389" s="158"/>
      <c r="AE389" s="158"/>
      <c r="AF389" s="158"/>
      <c r="AG389" s="158"/>
      <c r="AH389" s="158"/>
      <c r="AI389" s="158"/>
      <c r="AJ389" s="158"/>
      <c r="AK389" s="158"/>
      <c r="AL389" s="158"/>
      <c r="AM389" s="158"/>
      <c r="AN389" s="158"/>
      <c r="AO389" s="158"/>
      <c r="AP389" s="158"/>
      <c r="AQ389" s="158"/>
      <c r="AR389" s="158"/>
      <c r="AS389" s="2">
        <v>1</v>
      </c>
      <c r="AT389" s="58" t="s">
        <v>646</v>
      </c>
      <c r="AU389" s="106"/>
      <c r="AV389" s="158"/>
      <c r="AW389" s="158">
        <v>21</v>
      </c>
      <c r="AX389" s="158"/>
      <c r="AY389" s="158"/>
      <c r="AZ389" s="158"/>
      <c r="BA389" s="158"/>
      <c r="BB389" s="69"/>
      <c r="BC389" s="69"/>
      <c r="BD389" s="271">
        <v>2017</v>
      </c>
      <c r="BE389" s="271"/>
      <c r="BF389" s="271"/>
    </row>
    <row r="390" spans="1:58" s="204" customFormat="1" ht="15" hidden="1" customHeight="1">
      <c r="A390" s="160" t="s">
        <v>509</v>
      </c>
      <c r="B390" s="58" t="s">
        <v>173</v>
      </c>
      <c r="C390" s="148" t="s">
        <v>183</v>
      </c>
      <c r="D390" s="33" t="s">
        <v>30</v>
      </c>
      <c r="E390" s="33"/>
      <c r="F390" s="33"/>
      <c r="G390" s="33"/>
      <c r="H390" s="30" t="s">
        <v>650</v>
      </c>
      <c r="I390" s="30"/>
      <c r="J390" s="212"/>
      <c r="K390" s="158"/>
      <c r="L390" s="158"/>
      <c r="M390" s="158"/>
      <c r="N390" s="158"/>
      <c r="O390" s="158"/>
      <c r="P390" s="158"/>
      <c r="Q390" s="158"/>
      <c r="R390" s="158"/>
      <c r="S390" s="158"/>
      <c r="T390" s="586"/>
      <c r="U390" s="158"/>
      <c r="V390" s="158"/>
      <c r="W390" s="158"/>
      <c r="X390" s="158"/>
      <c r="Y390" s="94"/>
      <c r="Z390" s="158"/>
      <c r="AA390" s="158"/>
      <c r="AB390" s="158"/>
      <c r="AC390" s="158"/>
      <c r="AD390" s="158"/>
      <c r="AE390" s="158"/>
      <c r="AF390" s="158"/>
      <c r="AG390" s="158"/>
      <c r="AH390" s="158"/>
      <c r="AI390" s="158"/>
      <c r="AJ390" s="158"/>
      <c r="AK390" s="158"/>
      <c r="AL390" s="158"/>
      <c r="AM390" s="158"/>
      <c r="AN390" s="158"/>
      <c r="AO390" s="158"/>
      <c r="AP390" s="158"/>
      <c r="AQ390" s="158"/>
      <c r="AR390" s="158"/>
      <c r="AS390" s="2">
        <v>1</v>
      </c>
      <c r="AT390" s="58" t="s">
        <v>646</v>
      </c>
      <c r="AU390" s="106"/>
      <c r="AV390" s="158"/>
      <c r="AW390" s="158">
        <v>17</v>
      </c>
      <c r="AX390" s="158"/>
      <c r="AY390" s="158"/>
      <c r="AZ390" s="158"/>
      <c r="BA390" s="158"/>
      <c r="BB390" s="69"/>
      <c r="BC390" s="69"/>
      <c r="BD390" s="271">
        <v>2017</v>
      </c>
      <c r="BE390" s="271"/>
      <c r="BF390" s="271"/>
    </row>
    <row r="391" spans="1:58" s="204" customFormat="1" ht="15" hidden="1" customHeight="1">
      <c r="A391" s="160" t="s">
        <v>509</v>
      </c>
      <c r="B391" s="58" t="s">
        <v>185</v>
      </c>
      <c r="C391" s="148" t="s">
        <v>184</v>
      </c>
      <c r="D391" s="33" t="s">
        <v>149</v>
      </c>
      <c r="E391" s="33"/>
      <c r="F391" s="33"/>
      <c r="G391" s="33"/>
      <c r="H391" s="30" t="s">
        <v>650</v>
      </c>
      <c r="I391" s="30">
        <v>2887</v>
      </c>
      <c r="J391" s="212">
        <v>42726</v>
      </c>
      <c r="K391" s="158"/>
      <c r="L391" s="158"/>
      <c r="M391" s="158"/>
      <c r="N391" s="158"/>
      <c r="O391" s="158"/>
      <c r="P391" s="158">
        <f>4763319000-201267000</f>
        <v>4562052000</v>
      </c>
      <c r="Q391" s="158"/>
      <c r="R391" s="158"/>
      <c r="S391" s="158"/>
      <c r="T391" s="586">
        <v>1992388243</v>
      </c>
      <c r="U391" s="158"/>
      <c r="V391" s="158"/>
      <c r="W391" s="158"/>
      <c r="X391" s="158"/>
      <c r="Y391" s="94">
        <v>2569663757</v>
      </c>
      <c r="Z391" s="158"/>
      <c r="AA391" s="158"/>
      <c r="AB391" s="158"/>
      <c r="AC391" s="158"/>
      <c r="AD391" s="158"/>
      <c r="AE391" s="158"/>
      <c r="AF391" s="158"/>
      <c r="AG391" s="158"/>
      <c r="AH391" s="158"/>
      <c r="AI391" s="158"/>
      <c r="AJ391" s="158"/>
      <c r="AK391" s="158"/>
      <c r="AL391" s="158"/>
      <c r="AM391" s="158"/>
      <c r="AN391" s="158"/>
      <c r="AO391" s="158"/>
      <c r="AP391" s="158"/>
      <c r="AQ391" s="158"/>
      <c r="AR391" s="158"/>
      <c r="AS391" s="2">
        <v>1</v>
      </c>
      <c r="AT391" s="58" t="s">
        <v>646</v>
      </c>
      <c r="AU391" s="106"/>
      <c r="AV391" s="158"/>
      <c r="AW391" s="158"/>
      <c r="AX391" s="12">
        <v>68</v>
      </c>
      <c r="AY391" s="158"/>
      <c r="AZ391" s="158"/>
      <c r="BA391" s="12">
        <v>68</v>
      </c>
      <c r="BB391" s="70"/>
      <c r="BC391" s="70"/>
      <c r="BD391" s="271">
        <v>2018</v>
      </c>
      <c r="BE391" s="271"/>
      <c r="BF391" s="271"/>
    </row>
    <row r="392" spans="1:58" s="204" customFormat="1" ht="18" hidden="1" customHeight="1">
      <c r="A392" s="160" t="s">
        <v>509</v>
      </c>
      <c r="B392" s="58" t="s">
        <v>185</v>
      </c>
      <c r="C392" s="148" t="s">
        <v>184</v>
      </c>
      <c r="D392" s="33" t="s">
        <v>149</v>
      </c>
      <c r="E392" s="33"/>
      <c r="F392" s="33"/>
      <c r="G392" s="33"/>
      <c r="H392" s="30" t="s">
        <v>650</v>
      </c>
      <c r="I392" s="115" t="s">
        <v>1670</v>
      </c>
      <c r="J392" s="212">
        <v>42726</v>
      </c>
      <c r="K392" s="158"/>
      <c r="L392" s="158"/>
      <c r="M392" s="158">
        <f>3</f>
        <v>3</v>
      </c>
      <c r="N392" s="158"/>
      <c r="O392" s="158"/>
      <c r="P392" s="158">
        <v>201267000</v>
      </c>
      <c r="Q392" s="158"/>
      <c r="R392" s="158"/>
      <c r="S392" s="158"/>
      <c r="T392" s="586"/>
      <c r="U392" s="158"/>
      <c r="V392" s="158"/>
      <c r="W392" s="158"/>
      <c r="X392" s="158"/>
      <c r="Y392" s="94"/>
      <c r="Z392" s="158"/>
      <c r="AA392" s="158"/>
      <c r="AB392" s="158"/>
      <c r="AC392" s="158">
        <v>201267000</v>
      </c>
      <c r="AD392" s="158"/>
      <c r="AE392" s="158">
        <f>P392-T392-Y392-AC392</f>
        <v>0</v>
      </c>
      <c r="AF392" s="158"/>
      <c r="AG392" s="94">
        <v>0</v>
      </c>
      <c r="AH392" s="94"/>
      <c r="AI392" s="94"/>
      <c r="AJ392" s="158">
        <f t="shared" ref="AJ392" si="69">AE392+AG392</f>
        <v>0</v>
      </c>
      <c r="AK392" s="158">
        <v>877</v>
      </c>
      <c r="AL392" s="158">
        <v>10</v>
      </c>
      <c r="AM392" s="158"/>
      <c r="AN392" s="158"/>
      <c r="AO392" s="158"/>
      <c r="AP392" s="158"/>
      <c r="AQ392" s="158"/>
      <c r="AR392" s="158"/>
      <c r="AS392" s="2">
        <v>0</v>
      </c>
      <c r="AT392" s="58" t="s">
        <v>687</v>
      </c>
      <c r="AU392" s="393" t="s">
        <v>1373</v>
      </c>
      <c r="AV392" s="158"/>
      <c r="AW392" s="158"/>
      <c r="AX392" s="158"/>
      <c r="AY392" s="158"/>
      <c r="AZ392" s="158"/>
      <c r="BA392" s="158"/>
      <c r="BB392" s="69"/>
      <c r="BC392" s="69">
        <v>3</v>
      </c>
      <c r="BD392" s="271" t="s">
        <v>1706</v>
      </c>
      <c r="BE392" s="271">
        <v>2019</v>
      </c>
      <c r="BF392" s="271"/>
    </row>
    <row r="393" spans="1:58" s="204" customFormat="1" ht="15" hidden="1" customHeight="1">
      <c r="A393" s="160" t="s">
        <v>509</v>
      </c>
      <c r="B393" s="58" t="s">
        <v>173</v>
      </c>
      <c r="C393" s="148" t="s">
        <v>539</v>
      </c>
      <c r="D393" s="33" t="s">
        <v>30</v>
      </c>
      <c r="E393" s="33"/>
      <c r="F393" s="33"/>
      <c r="G393" s="33"/>
      <c r="H393" s="30" t="s">
        <v>650</v>
      </c>
      <c r="I393" s="30"/>
      <c r="J393" s="212"/>
      <c r="K393" s="158"/>
      <c r="L393" s="158"/>
      <c r="M393" s="158"/>
      <c r="N393" s="158"/>
      <c r="O393" s="158"/>
      <c r="P393" s="158"/>
      <c r="Q393" s="158"/>
      <c r="R393" s="158"/>
      <c r="S393" s="158"/>
      <c r="T393" s="586"/>
      <c r="U393" s="158"/>
      <c r="V393" s="158"/>
      <c r="W393" s="158"/>
      <c r="X393" s="158"/>
      <c r="Y393" s="94"/>
      <c r="Z393" s="158"/>
      <c r="AA393" s="158"/>
      <c r="AB393" s="158"/>
      <c r="AC393" s="158"/>
      <c r="AD393" s="158"/>
      <c r="AE393" s="158"/>
      <c r="AF393" s="158"/>
      <c r="AG393" s="158"/>
      <c r="AH393" s="158"/>
      <c r="AI393" s="158"/>
      <c r="AJ393" s="158"/>
      <c r="AK393" s="158"/>
      <c r="AL393" s="158"/>
      <c r="AM393" s="158"/>
      <c r="AN393" s="158"/>
      <c r="AO393" s="158"/>
      <c r="AP393" s="158"/>
      <c r="AQ393" s="158"/>
      <c r="AR393" s="158"/>
      <c r="AS393" s="2">
        <v>1</v>
      </c>
      <c r="AT393" s="58" t="s">
        <v>646</v>
      </c>
      <c r="AU393" s="106"/>
      <c r="AV393" s="158"/>
      <c r="AW393" s="158">
        <v>13</v>
      </c>
      <c r="AX393" s="158"/>
      <c r="AY393" s="158"/>
      <c r="AZ393" s="158"/>
      <c r="BA393" s="158"/>
      <c r="BB393" s="69"/>
      <c r="BC393" s="69"/>
      <c r="BD393" s="271">
        <v>2017</v>
      </c>
      <c r="BE393" s="271"/>
      <c r="BF393" s="271"/>
    </row>
    <row r="394" spans="1:58" s="204" customFormat="1" ht="15" hidden="1" customHeight="1">
      <c r="A394" s="160" t="s">
        <v>509</v>
      </c>
      <c r="B394" s="58" t="s">
        <v>540</v>
      </c>
      <c r="C394" s="148" t="s">
        <v>671</v>
      </c>
      <c r="D394" s="33" t="s">
        <v>672</v>
      </c>
      <c r="E394" s="33"/>
      <c r="F394" s="33"/>
      <c r="G394" s="33"/>
      <c r="H394" s="30" t="s">
        <v>650</v>
      </c>
      <c r="I394" s="30"/>
      <c r="J394" s="212"/>
      <c r="K394" s="158"/>
      <c r="L394" s="158"/>
      <c r="M394" s="158"/>
      <c r="N394" s="158"/>
      <c r="O394" s="158"/>
      <c r="P394" s="158"/>
      <c r="Q394" s="158"/>
      <c r="R394" s="158"/>
      <c r="S394" s="158"/>
      <c r="T394" s="586"/>
      <c r="U394" s="158"/>
      <c r="V394" s="158"/>
      <c r="W394" s="158"/>
      <c r="X394" s="158"/>
      <c r="Y394" s="94"/>
      <c r="Z394" s="158"/>
      <c r="AA394" s="158"/>
      <c r="AB394" s="158"/>
      <c r="AC394" s="158"/>
      <c r="AD394" s="158"/>
      <c r="AE394" s="158"/>
      <c r="AF394" s="158"/>
      <c r="AG394" s="158"/>
      <c r="AH394" s="158"/>
      <c r="AI394" s="158"/>
      <c r="AJ394" s="158"/>
      <c r="AK394" s="158"/>
      <c r="AL394" s="158"/>
      <c r="AM394" s="158"/>
      <c r="AN394" s="158"/>
      <c r="AO394" s="158"/>
      <c r="AP394" s="158"/>
      <c r="AQ394" s="158"/>
      <c r="AR394" s="158"/>
      <c r="AS394" s="2">
        <v>1</v>
      </c>
      <c r="AT394" s="58" t="s">
        <v>646</v>
      </c>
      <c r="AU394" s="58" t="s">
        <v>643</v>
      </c>
      <c r="AV394" s="158"/>
      <c r="AW394" s="11">
        <v>64</v>
      </c>
      <c r="AX394" s="158"/>
      <c r="AY394" s="158"/>
      <c r="AZ394" s="158"/>
      <c r="BA394" s="158"/>
      <c r="BB394" s="69"/>
      <c r="BC394" s="69"/>
      <c r="BD394" s="271">
        <v>2017</v>
      </c>
      <c r="BE394" s="271"/>
      <c r="BF394" s="271"/>
    </row>
    <row r="395" spans="1:58" s="204" customFormat="1" ht="18" hidden="1" customHeight="1">
      <c r="A395" s="160" t="s">
        <v>509</v>
      </c>
      <c r="B395" s="58" t="s">
        <v>540</v>
      </c>
      <c r="C395" s="148" t="s">
        <v>671</v>
      </c>
      <c r="D395" s="33" t="s">
        <v>672</v>
      </c>
      <c r="E395" s="33"/>
      <c r="F395" s="33"/>
      <c r="G395" s="33"/>
      <c r="H395" s="30" t="s">
        <v>650</v>
      </c>
      <c r="I395" s="30">
        <v>2922</v>
      </c>
      <c r="J395" s="212">
        <v>42727</v>
      </c>
      <c r="K395" s="158"/>
      <c r="L395" s="158">
        <v>3</v>
      </c>
      <c r="M395" s="158"/>
      <c r="N395" s="158"/>
      <c r="O395" s="158"/>
      <c r="P395" s="158"/>
      <c r="Q395" s="158"/>
      <c r="R395" s="158"/>
      <c r="S395" s="158"/>
      <c r="T395" s="586"/>
      <c r="U395" s="158"/>
      <c r="V395" s="158"/>
      <c r="W395" s="158"/>
      <c r="X395" s="158"/>
      <c r="Y395" s="94"/>
      <c r="Z395" s="158"/>
      <c r="AA395" s="158"/>
      <c r="AB395" s="158"/>
      <c r="AC395" s="158"/>
      <c r="AD395" s="158"/>
      <c r="AE395" s="158">
        <f>P395-T395-Y395</f>
        <v>0</v>
      </c>
      <c r="AF395" s="158"/>
      <c r="AG395" s="94">
        <v>0</v>
      </c>
      <c r="AH395" s="94"/>
      <c r="AI395" s="94"/>
      <c r="AJ395" s="158">
        <f t="shared" ref="AJ395" si="70">AE395+AG395</f>
        <v>0</v>
      </c>
      <c r="AK395" s="158"/>
      <c r="AL395" s="158"/>
      <c r="AM395" s="158"/>
      <c r="AN395" s="158"/>
      <c r="AO395" s="158"/>
      <c r="AP395" s="158"/>
      <c r="AQ395" s="158"/>
      <c r="AR395" s="158"/>
      <c r="AS395" s="2">
        <v>1</v>
      </c>
      <c r="AT395" s="58" t="s">
        <v>646</v>
      </c>
      <c r="AU395" s="104" t="s">
        <v>1103</v>
      </c>
      <c r="AV395" s="158"/>
      <c r="AW395" s="158"/>
      <c r="AX395" s="158"/>
      <c r="AY395" s="158">
        <v>3</v>
      </c>
      <c r="AZ395" s="158"/>
      <c r="BA395" s="158"/>
      <c r="BB395" s="69">
        <f>+AY395</f>
        <v>3</v>
      </c>
      <c r="BC395" s="69"/>
      <c r="BD395" s="271">
        <v>2019</v>
      </c>
      <c r="BE395" s="271">
        <v>2019</v>
      </c>
      <c r="BF395" s="271"/>
    </row>
    <row r="396" spans="1:58" s="204" customFormat="1" ht="15" hidden="1" customHeight="1">
      <c r="A396" s="160" t="s">
        <v>509</v>
      </c>
      <c r="B396" s="58" t="s">
        <v>173</v>
      </c>
      <c r="C396" s="148" t="s">
        <v>541</v>
      </c>
      <c r="D396" s="33" t="s">
        <v>30</v>
      </c>
      <c r="E396" s="33"/>
      <c r="F396" s="33"/>
      <c r="G396" s="33"/>
      <c r="H396" s="30" t="s">
        <v>650</v>
      </c>
      <c r="I396" s="30"/>
      <c r="J396" s="212"/>
      <c r="K396" s="158"/>
      <c r="L396" s="158"/>
      <c r="M396" s="158"/>
      <c r="N396" s="158"/>
      <c r="O396" s="158"/>
      <c r="P396" s="158"/>
      <c r="Q396" s="158"/>
      <c r="R396" s="158"/>
      <c r="S396" s="158"/>
      <c r="T396" s="586"/>
      <c r="U396" s="158"/>
      <c r="V396" s="158"/>
      <c r="W396" s="158"/>
      <c r="X396" s="158"/>
      <c r="Y396" s="94"/>
      <c r="Z396" s="158"/>
      <c r="AA396" s="158"/>
      <c r="AB396" s="158"/>
      <c r="AC396" s="158"/>
      <c r="AD396" s="158"/>
      <c r="AE396" s="158"/>
      <c r="AF396" s="158"/>
      <c r="AG396" s="158"/>
      <c r="AH396" s="158"/>
      <c r="AI396" s="158"/>
      <c r="AJ396" s="158"/>
      <c r="AK396" s="158"/>
      <c r="AL396" s="158"/>
      <c r="AM396" s="158"/>
      <c r="AN396" s="158"/>
      <c r="AO396" s="158"/>
      <c r="AP396" s="158"/>
      <c r="AQ396" s="158"/>
      <c r="AR396" s="158"/>
      <c r="AS396" s="2">
        <v>1</v>
      </c>
      <c r="AT396" s="58" t="s">
        <v>646</v>
      </c>
      <c r="AU396" s="106"/>
      <c r="AV396" s="158"/>
      <c r="AW396" s="158">
        <v>8</v>
      </c>
      <c r="AX396" s="158"/>
      <c r="AY396" s="158"/>
      <c r="AZ396" s="158"/>
      <c r="BA396" s="158"/>
      <c r="BB396" s="69"/>
      <c r="BC396" s="69"/>
      <c r="BD396" s="271">
        <v>2017</v>
      </c>
      <c r="BE396" s="271"/>
      <c r="BF396" s="271"/>
    </row>
    <row r="397" spans="1:58" s="204" customFormat="1" ht="15" hidden="1" customHeight="1">
      <c r="A397" s="160" t="s">
        <v>509</v>
      </c>
      <c r="B397" s="58" t="s">
        <v>173</v>
      </c>
      <c r="C397" s="148" t="s">
        <v>542</v>
      </c>
      <c r="D397" s="33" t="s">
        <v>30</v>
      </c>
      <c r="E397" s="33"/>
      <c r="F397" s="33"/>
      <c r="G397" s="33"/>
      <c r="H397" s="30" t="s">
        <v>650</v>
      </c>
      <c r="I397" s="30"/>
      <c r="J397" s="212"/>
      <c r="K397" s="158"/>
      <c r="L397" s="158"/>
      <c r="M397" s="158"/>
      <c r="N397" s="158"/>
      <c r="O397" s="158"/>
      <c r="P397" s="158"/>
      <c r="Q397" s="158"/>
      <c r="R397" s="158"/>
      <c r="S397" s="158"/>
      <c r="T397" s="586"/>
      <c r="U397" s="158"/>
      <c r="V397" s="158"/>
      <c r="W397" s="158"/>
      <c r="X397" s="158"/>
      <c r="Y397" s="94"/>
      <c r="Z397" s="158"/>
      <c r="AA397" s="158"/>
      <c r="AB397" s="158"/>
      <c r="AC397" s="158"/>
      <c r="AD397" s="158"/>
      <c r="AE397" s="158"/>
      <c r="AF397" s="158"/>
      <c r="AG397" s="158"/>
      <c r="AH397" s="158"/>
      <c r="AI397" s="158"/>
      <c r="AJ397" s="158"/>
      <c r="AK397" s="158"/>
      <c r="AL397" s="158"/>
      <c r="AM397" s="158"/>
      <c r="AN397" s="158"/>
      <c r="AO397" s="158"/>
      <c r="AP397" s="158"/>
      <c r="AQ397" s="158"/>
      <c r="AR397" s="158"/>
      <c r="AS397" s="2">
        <v>1</v>
      </c>
      <c r="AT397" s="58" t="s">
        <v>646</v>
      </c>
      <c r="AU397" s="106"/>
      <c r="AV397" s="158"/>
      <c r="AW397" s="158">
        <v>8</v>
      </c>
      <c r="AX397" s="158"/>
      <c r="AY397" s="158"/>
      <c r="AZ397" s="158"/>
      <c r="BA397" s="158"/>
      <c r="BB397" s="69"/>
      <c r="BC397" s="69"/>
      <c r="BD397" s="271">
        <v>2017</v>
      </c>
      <c r="BE397" s="271"/>
      <c r="BF397" s="271"/>
    </row>
    <row r="398" spans="1:58" s="204" customFormat="1" ht="24.75" hidden="1" customHeight="1">
      <c r="A398" s="230" t="s">
        <v>509</v>
      </c>
      <c r="B398" s="58" t="s">
        <v>185</v>
      </c>
      <c r="C398" s="148" t="s">
        <v>1344</v>
      </c>
      <c r="D398" s="33" t="s">
        <v>119</v>
      </c>
      <c r="E398" s="33"/>
      <c r="F398" s="33"/>
      <c r="G398" s="33"/>
      <c r="H398" s="30" t="s">
        <v>630</v>
      </c>
      <c r="I398" s="228" t="s">
        <v>1671</v>
      </c>
      <c r="J398" s="215" t="s">
        <v>1672</v>
      </c>
      <c r="K398" s="158"/>
      <c r="L398" s="158"/>
      <c r="M398" s="158"/>
      <c r="N398" s="158"/>
      <c r="O398" s="158"/>
      <c r="P398" s="158">
        <v>3732424728</v>
      </c>
      <c r="Q398" s="158"/>
      <c r="R398" s="158"/>
      <c r="S398" s="158"/>
      <c r="T398" s="586"/>
      <c r="U398" s="158"/>
      <c r="V398" s="158"/>
      <c r="W398" s="158"/>
      <c r="X398" s="158"/>
      <c r="Y398" s="94"/>
      <c r="Z398" s="158"/>
      <c r="AA398" s="5"/>
      <c r="AB398" s="5"/>
      <c r="AC398" s="5"/>
      <c r="AD398" s="158"/>
      <c r="AE398" s="158"/>
      <c r="AF398" s="158"/>
      <c r="AG398" s="158"/>
      <c r="AH398" s="158"/>
      <c r="AI398" s="158"/>
      <c r="AJ398" s="158"/>
      <c r="AK398" s="158"/>
      <c r="AL398" s="158"/>
      <c r="AM398" s="158"/>
      <c r="AN398" s="158"/>
      <c r="AO398" s="158"/>
      <c r="AP398" s="158"/>
      <c r="AQ398" s="158"/>
      <c r="AR398" s="158"/>
      <c r="AS398" s="2">
        <v>1</v>
      </c>
      <c r="AT398" s="58" t="s">
        <v>646</v>
      </c>
      <c r="AU398" s="106"/>
      <c r="AV398" s="158"/>
      <c r="AW398" s="158"/>
      <c r="AX398" s="158">
        <v>61</v>
      </c>
      <c r="AY398" s="158"/>
      <c r="AZ398" s="158"/>
      <c r="BA398" s="158">
        <v>61</v>
      </c>
      <c r="BB398" s="69"/>
      <c r="BC398" s="69"/>
      <c r="BD398" s="271">
        <v>2018</v>
      </c>
      <c r="BE398" s="271"/>
      <c r="BF398" s="271"/>
    </row>
    <row r="399" spans="1:58" s="204" customFormat="1" ht="18" hidden="1" customHeight="1">
      <c r="A399" s="160" t="s">
        <v>509</v>
      </c>
      <c r="B399" s="58" t="s">
        <v>185</v>
      </c>
      <c r="C399" s="148" t="s">
        <v>1344</v>
      </c>
      <c r="D399" s="33" t="s">
        <v>119</v>
      </c>
      <c r="E399" s="33"/>
      <c r="F399" s="33"/>
      <c r="G399" s="33"/>
      <c r="H399" s="30" t="s">
        <v>630</v>
      </c>
      <c r="I399" s="228" t="s">
        <v>1671</v>
      </c>
      <c r="J399" s="215" t="s">
        <v>1672</v>
      </c>
      <c r="K399" s="158"/>
      <c r="L399" s="158"/>
      <c r="M399" s="158">
        <v>1</v>
      </c>
      <c r="N399" s="158"/>
      <c r="O399" s="158"/>
      <c r="P399" s="158">
        <v>61187291</v>
      </c>
      <c r="Q399" s="158"/>
      <c r="R399" s="158"/>
      <c r="S399" s="158"/>
      <c r="T399" s="586"/>
      <c r="U399" s="158"/>
      <c r="V399" s="158"/>
      <c r="W399" s="158"/>
      <c r="X399" s="158"/>
      <c r="Y399" s="94"/>
      <c r="Z399" s="69"/>
      <c r="AA399" s="69"/>
      <c r="AB399" s="69"/>
      <c r="AC399" s="69">
        <v>61187291</v>
      </c>
      <c r="AD399" s="158"/>
      <c r="AE399" s="158">
        <f>P399-T399-Y399-AC399</f>
        <v>0</v>
      </c>
      <c r="AF399" s="158"/>
      <c r="AG399" s="94">
        <v>0</v>
      </c>
      <c r="AH399" s="94"/>
      <c r="AI399" s="94"/>
      <c r="AJ399" s="158">
        <f t="shared" ref="AJ399:AJ400" si="71">AE399+AG399</f>
        <v>0</v>
      </c>
      <c r="AK399" s="158">
        <v>877</v>
      </c>
      <c r="AL399" s="158">
        <v>10</v>
      </c>
      <c r="AM399" s="158"/>
      <c r="AN399" s="158"/>
      <c r="AO399" s="158"/>
      <c r="AP399" s="158"/>
      <c r="AQ399" s="158"/>
      <c r="AR399" s="158"/>
      <c r="AS399" s="2">
        <v>0</v>
      </c>
      <c r="AT399" s="58" t="s">
        <v>687</v>
      </c>
      <c r="AU399" s="394" t="s">
        <v>1454</v>
      </c>
      <c r="AV399" s="158"/>
      <c r="AW399" s="158"/>
      <c r="AX399" s="158"/>
      <c r="AY399" s="158"/>
      <c r="AZ399" s="158"/>
      <c r="BA399" s="158"/>
      <c r="BB399" s="69"/>
      <c r="BC399" s="69">
        <v>1</v>
      </c>
      <c r="BD399" s="271" t="s">
        <v>1706</v>
      </c>
      <c r="BE399" s="271">
        <v>2019</v>
      </c>
      <c r="BF399" s="271"/>
    </row>
    <row r="400" spans="1:58" s="204" customFormat="1" ht="18" customHeight="1">
      <c r="A400" s="243" t="s">
        <v>509</v>
      </c>
      <c r="B400" s="58" t="s">
        <v>515</v>
      </c>
      <c r="C400" s="148" t="s">
        <v>992</v>
      </c>
      <c r="D400" s="33" t="s">
        <v>765</v>
      </c>
      <c r="E400" s="33"/>
      <c r="F400" s="33"/>
      <c r="G400" s="33"/>
      <c r="H400" s="30" t="s">
        <v>630</v>
      </c>
      <c r="I400" s="30">
        <v>1356</v>
      </c>
      <c r="J400" s="212">
        <v>42921</v>
      </c>
      <c r="K400" s="51"/>
      <c r="L400" s="51"/>
      <c r="M400" s="81">
        <v>33</v>
      </c>
      <c r="N400" s="81">
        <v>33</v>
      </c>
      <c r="O400" s="81"/>
      <c r="P400" s="51"/>
      <c r="Q400" s="51"/>
      <c r="R400" s="158"/>
      <c r="S400" s="51"/>
      <c r="T400" s="586"/>
      <c r="U400" s="51"/>
      <c r="V400" s="51"/>
      <c r="W400" s="51"/>
      <c r="X400" s="51"/>
      <c r="Y400" s="94"/>
      <c r="Z400" s="51"/>
      <c r="AA400" s="280"/>
      <c r="AB400" s="280"/>
      <c r="AC400" s="280"/>
      <c r="AD400" s="158"/>
      <c r="AE400" s="158">
        <f>P400-T400-Y400</f>
        <v>0</v>
      </c>
      <c r="AF400" s="158"/>
      <c r="AG400" s="94">
        <v>0</v>
      </c>
      <c r="AH400" s="94"/>
      <c r="AI400" s="94"/>
      <c r="AJ400" s="158">
        <f t="shared" si="71"/>
        <v>0</v>
      </c>
      <c r="AK400" s="158"/>
      <c r="AL400" s="158"/>
      <c r="AM400" s="158"/>
      <c r="AN400" s="158">
        <v>33</v>
      </c>
      <c r="AO400" s="81"/>
      <c r="AP400" s="81"/>
      <c r="AQ400" s="81"/>
      <c r="AR400" s="81"/>
      <c r="AS400" s="98">
        <v>0.96489999999999998</v>
      </c>
      <c r="AT400" s="58" t="s">
        <v>38</v>
      </c>
      <c r="AU400" s="104"/>
      <c r="AV400" s="51"/>
      <c r="AW400" s="51"/>
      <c r="AX400" s="51"/>
      <c r="AY400" s="51"/>
      <c r="AZ400" s="51"/>
      <c r="BA400" s="51"/>
      <c r="BB400" s="71"/>
      <c r="BC400" s="71"/>
      <c r="BD400" s="271"/>
      <c r="BE400" s="271">
        <v>2019</v>
      </c>
      <c r="BF400" s="271">
        <v>2020</v>
      </c>
    </row>
    <row r="401" spans="1:58" s="204" customFormat="1" ht="18" customHeight="1">
      <c r="A401" s="160" t="s">
        <v>509</v>
      </c>
      <c r="B401" s="58" t="s">
        <v>515</v>
      </c>
      <c r="C401" s="148" t="s">
        <v>992</v>
      </c>
      <c r="D401" s="33" t="s">
        <v>765</v>
      </c>
      <c r="E401" s="33"/>
      <c r="F401" s="33"/>
      <c r="G401" s="33"/>
      <c r="H401" s="30" t="s">
        <v>630</v>
      </c>
      <c r="I401" s="228" t="s">
        <v>1499</v>
      </c>
      <c r="J401" s="215" t="s">
        <v>1498</v>
      </c>
      <c r="K401" s="51"/>
      <c r="L401" s="51"/>
      <c r="M401" s="81">
        <v>1</v>
      </c>
      <c r="N401" s="81">
        <v>1</v>
      </c>
      <c r="O401" s="81"/>
      <c r="P401" s="158">
        <v>61213795</v>
      </c>
      <c r="Q401" s="158"/>
      <c r="R401" s="158"/>
      <c r="S401" s="158"/>
      <c r="T401" s="586">
        <v>27545337</v>
      </c>
      <c r="U401" s="51">
        <v>10</v>
      </c>
      <c r="V401" s="51"/>
      <c r="W401" s="51"/>
      <c r="X401" s="51"/>
      <c r="Y401" s="94"/>
      <c r="Z401" s="71"/>
      <c r="AA401" s="71"/>
      <c r="AB401" s="71"/>
      <c r="AC401" s="71"/>
      <c r="AD401" s="158"/>
      <c r="AE401" s="158">
        <f>P401-T401-Y401</f>
        <v>33668458</v>
      </c>
      <c r="AF401" s="158"/>
      <c r="AG401" s="94">
        <v>0</v>
      </c>
      <c r="AH401" s="94"/>
      <c r="AI401" s="94"/>
      <c r="AJ401" s="158">
        <f>AE401+AG401</f>
        <v>33668458</v>
      </c>
      <c r="AK401" s="158">
        <v>877</v>
      </c>
      <c r="AL401" s="158">
        <v>20</v>
      </c>
      <c r="AM401" s="158">
        <v>1</v>
      </c>
      <c r="AN401" s="158"/>
      <c r="AO401" s="158"/>
      <c r="AP401" s="158"/>
      <c r="AQ401" s="158"/>
      <c r="AR401" s="158"/>
      <c r="AS401" s="98">
        <v>0</v>
      </c>
      <c r="AT401" s="58" t="s">
        <v>521</v>
      </c>
      <c r="AU401" s="104"/>
      <c r="AV401" s="51"/>
      <c r="AW401" s="158"/>
      <c r="AX401" s="158"/>
      <c r="AY401" s="158"/>
      <c r="AZ401" s="158"/>
      <c r="BA401" s="158"/>
      <c r="BB401" s="69"/>
      <c r="BC401" s="69"/>
      <c r="BD401" s="271"/>
      <c r="BE401" s="271">
        <v>2019</v>
      </c>
      <c r="BF401" s="271">
        <v>2020</v>
      </c>
    </row>
    <row r="402" spans="1:58" s="204" customFormat="1" ht="18" hidden="1" customHeight="1">
      <c r="A402" s="243" t="s">
        <v>509</v>
      </c>
      <c r="B402" s="58" t="s">
        <v>185</v>
      </c>
      <c r="C402" s="148" t="s">
        <v>766</v>
      </c>
      <c r="D402" s="33" t="s">
        <v>767</v>
      </c>
      <c r="E402" s="33"/>
      <c r="F402" s="33"/>
      <c r="G402" s="33"/>
      <c r="H402" s="30" t="s">
        <v>715</v>
      </c>
      <c r="I402" s="30">
        <v>2040</v>
      </c>
      <c r="J402" s="212">
        <v>43001</v>
      </c>
      <c r="K402" s="51"/>
      <c r="L402" s="51">
        <v>51</v>
      </c>
      <c r="M402" s="81"/>
      <c r="N402" s="81"/>
      <c r="O402" s="81"/>
      <c r="P402" s="51"/>
      <c r="Q402" s="51"/>
      <c r="R402" s="158"/>
      <c r="S402" s="51"/>
      <c r="T402" s="586"/>
      <c r="U402" s="51"/>
      <c r="V402" s="51"/>
      <c r="W402" s="51"/>
      <c r="X402" s="51"/>
      <c r="Y402" s="94"/>
      <c r="Z402" s="51"/>
      <c r="AA402" s="280"/>
      <c r="AB402" s="280"/>
      <c r="AC402" s="280"/>
      <c r="AD402" s="158"/>
      <c r="AE402" s="158">
        <f>P402-T402-Y402</f>
        <v>0</v>
      </c>
      <c r="AF402" s="158"/>
      <c r="AG402" s="94">
        <v>0</v>
      </c>
      <c r="AH402" s="94"/>
      <c r="AI402" s="94"/>
      <c r="AJ402" s="158">
        <f t="shared" ref="AJ402:AJ405" si="72">AE402+AG402</f>
        <v>0</v>
      </c>
      <c r="AK402" s="158"/>
      <c r="AL402" s="158"/>
      <c r="AM402" s="158"/>
      <c r="AN402" s="158"/>
      <c r="AO402" s="81"/>
      <c r="AP402" s="81"/>
      <c r="AQ402" s="81"/>
      <c r="AR402" s="81"/>
      <c r="AS402" s="2">
        <v>1</v>
      </c>
      <c r="AT402" s="58" t="s">
        <v>646</v>
      </c>
      <c r="AU402" s="104"/>
      <c r="AV402" s="51"/>
      <c r="AW402" s="54"/>
      <c r="AX402" s="54"/>
      <c r="AY402" s="81">
        <v>51</v>
      </c>
      <c r="AZ402" s="81"/>
      <c r="BA402" s="158"/>
      <c r="BB402" s="69">
        <f>+AY402</f>
        <v>51</v>
      </c>
      <c r="BC402" s="69"/>
      <c r="BD402" s="271">
        <v>2019</v>
      </c>
      <c r="BE402" s="271">
        <v>2019</v>
      </c>
      <c r="BF402" s="271"/>
    </row>
    <row r="403" spans="1:58" s="204" customFormat="1" ht="18" customHeight="1">
      <c r="A403" s="160" t="s">
        <v>509</v>
      </c>
      <c r="B403" s="58" t="s">
        <v>185</v>
      </c>
      <c r="C403" s="148" t="s">
        <v>766</v>
      </c>
      <c r="D403" s="33" t="s">
        <v>767</v>
      </c>
      <c r="E403" s="33"/>
      <c r="F403" s="33"/>
      <c r="G403" s="33"/>
      <c r="H403" s="30" t="s">
        <v>715</v>
      </c>
      <c r="I403" s="228" t="s">
        <v>1501</v>
      </c>
      <c r="J403" s="215" t="s">
        <v>1500</v>
      </c>
      <c r="K403" s="51"/>
      <c r="L403" s="51">
        <v>1</v>
      </c>
      <c r="M403" s="81"/>
      <c r="N403" s="81">
        <v>0</v>
      </c>
      <c r="O403" s="81"/>
      <c r="P403" s="158">
        <v>69623658</v>
      </c>
      <c r="Q403" s="158"/>
      <c r="R403" s="158"/>
      <c r="S403" s="158"/>
      <c r="T403" s="586"/>
      <c r="U403" s="51"/>
      <c r="V403" s="51"/>
      <c r="W403" s="51"/>
      <c r="X403" s="51"/>
      <c r="Y403" s="94"/>
      <c r="Z403" s="71"/>
      <c r="AA403" s="71"/>
      <c r="AB403" s="71"/>
      <c r="AC403" s="71"/>
      <c r="AD403" s="158"/>
      <c r="AE403" s="158">
        <f>P403-T403-Y403</f>
        <v>69623658</v>
      </c>
      <c r="AF403" s="158"/>
      <c r="AG403" s="94">
        <v>0</v>
      </c>
      <c r="AH403" s="94"/>
      <c r="AI403" s="94"/>
      <c r="AJ403" s="158">
        <f t="shared" si="72"/>
        <v>69623658</v>
      </c>
      <c r="AK403" s="158">
        <v>877</v>
      </c>
      <c r="AL403" s="158">
        <v>20</v>
      </c>
      <c r="AM403" s="158"/>
      <c r="AN403" s="158"/>
      <c r="AO403" s="81"/>
      <c r="AP403" s="81"/>
      <c r="AQ403" s="81"/>
      <c r="AR403" s="81"/>
      <c r="AS403" s="2">
        <v>1</v>
      </c>
      <c r="AT403" s="58" t="s">
        <v>646</v>
      </c>
      <c r="AU403" s="104"/>
      <c r="AV403" s="51"/>
      <c r="AW403" s="54"/>
      <c r="AX403" s="54"/>
      <c r="AY403" s="81">
        <v>1</v>
      </c>
      <c r="AZ403" s="81"/>
      <c r="BA403" s="158"/>
      <c r="BB403" s="69">
        <f>+AY403</f>
        <v>1</v>
      </c>
      <c r="BC403" s="69"/>
      <c r="BD403" s="271">
        <v>2019</v>
      </c>
      <c r="BE403" s="271">
        <v>2019</v>
      </c>
      <c r="BF403" s="271" t="s">
        <v>2194</v>
      </c>
    </row>
    <row r="404" spans="1:58" s="204" customFormat="1" ht="18" hidden="1" customHeight="1">
      <c r="A404" s="248" t="s">
        <v>509</v>
      </c>
      <c r="B404" s="58" t="s">
        <v>173</v>
      </c>
      <c r="C404" s="148" t="s">
        <v>768</v>
      </c>
      <c r="D404" s="33" t="s">
        <v>769</v>
      </c>
      <c r="E404" s="33"/>
      <c r="F404" s="33"/>
      <c r="G404" s="33"/>
      <c r="H404" s="30" t="s">
        <v>715</v>
      </c>
      <c r="I404" s="228" t="s">
        <v>1542</v>
      </c>
      <c r="J404" s="215" t="s">
        <v>1541</v>
      </c>
      <c r="K404" s="51"/>
      <c r="L404" s="51">
        <v>95</v>
      </c>
      <c r="M404" s="81"/>
      <c r="N404" s="81"/>
      <c r="O404" s="81"/>
      <c r="P404" s="158">
        <f>7391431342-365912442-73182490</f>
        <v>6952336410</v>
      </c>
      <c r="Q404" s="51"/>
      <c r="R404" s="158"/>
      <c r="S404" s="51"/>
      <c r="T404" s="586">
        <f>2989193550-61632858+61632858</f>
        <v>2989193550</v>
      </c>
      <c r="U404" s="51">
        <v>20</v>
      </c>
      <c r="V404" s="79"/>
      <c r="W404" s="79"/>
      <c r="X404" s="79"/>
      <c r="Y404" s="158">
        <f>4024775718-61632858</f>
        <v>3963142860</v>
      </c>
      <c r="Z404" s="51">
        <v>20</v>
      </c>
      <c r="AA404" s="53"/>
      <c r="AB404" s="53"/>
      <c r="AC404" s="53"/>
      <c r="AD404" s="158"/>
      <c r="AE404" s="158">
        <f>P404-T404-Y404</f>
        <v>0</v>
      </c>
      <c r="AF404" s="158"/>
      <c r="AG404" s="94">
        <v>0</v>
      </c>
      <c r="AH404" s="94"/>
      <c r="AI404" s="94"/>
      <c r="AJ404" s="158">
        <f t="shared" si="72"/>
        <v>0</v>
      </c>
      <c r="AK404" s="158"/>
      <c r="AL404" s="158"/>
      <c r="AM404" s="158"/>
      <c r="AN404" s="158"/>
      <c r="AO404" s="81"/>
      <c r="AP404" s="81"/>
      <c r="AQ404" s="81"/>
      <c r="AR404" s="81"/>
      <c r="AS404" s="2">
        <v>1</v>
      </c>
      <c r="AT404" s="58" t="s">
        <v>646</v>
      </c>
      <c r="AU404" s="104"/>
      <c r="AV404" s="51"/>
      <c r="AW404" s="51"/>
      <c r="AX404" s="81"/>
      <c r="AY404" s="81">
        <v>95</v>
      </c>
      <c r="AZ404" s="81"/>
      <c r="BA404" s="158"/>
      <c r="BB404" s="69">
        <v>95</v>
      </c>
      <c r="BC404" s="69"/>
      <c r="BD404" s="271">
        <v>2019</v>
      </c>
      <c r="BE404" s="271">
        <v>2019</v>
      </c>
      <c r="BF404" s="444"/>
    </row>
    <row r="405" spans="1:58" s="204" customFormat="1" ht="18" hidden="1" customHeight="1">
      <c r="A405" s="230" t="s">
        <v>509</v>
      </c>
      <c r="B405" s="58" t="s">
        <v>173</v>
      </c>
      <c r="C405" s="148" t="s">
        <v>768</v>
      </c>
      <c r="D405" s="33" t="s">
        <v>769</v>
      </c>
      <c r="E405" s="33"/>
      <c r="F405" s="33"/>
      <c r="G405" s="33"/>
      <c r="H405" s="30" t="s">
        <v>715</v>
      </c>
      <c r="I405" s="30">
        <v>2663</v>
      </c>
      <c r="J405" s="212">
        <v>43060</v>
      </c>
      <c r="K405" s="51"/>
      <c r="L405" s="51"/>
      <c r="M405" s="51">
        <v>2</v>
      </c>
      <c r="N405" s="51"/>
      <c r="O405" s="51"/>
      <c r="P405" s="158">
        <v>146364976</v>
      </c>
      <c r="Q405" s="51"/>
      <c r="R405" s="158"/>
      <c r="S405" s="51"/>
      <c r="T405" s="586">
        <f>61632858-61632858</f>
        <v>0</v>
      </c>
      <c r="U405" s="51"/>
      <c r="V405" s="51"/>
      <c r="W405" s="51"/>
      <c r="X405" s="51"/>
      <c r="Y405" s="158"/>
      <c r="Z405" s="51"/>
      <c r="AA405" s="71"/>
      <c r="AB405" s="71"/>
      <c r="AC405" s="69">
        <v>146364976</v>
      </c>
      <c r="AD405" s="158"/>
      <c r="AE405" s="158">
        <f>P405-T405-Y405-AC405</f>
        <v>0</v>
      </c>
      <c r="AF405" s="158"/>
      <c r="AG405" s="94">
        <v>0</v>
      </c>
      <c r="AH405" s="94"/>
      <c r="AI405" s="94"/>
      <c r="AJ405" s="158">
        <f t="shared" si="72"/>
        <v>0</v>
      </c>
      <c r="AK405" s="158">
        <v>877</v>
      </c>
      <c r="AL405" s="158">
        <v>20</v>
      </c>
      <c r="AM405" s="158"/>
      <c r="AN405" s="158"/>
      <c r="AO405" s="81"/>
      <c r="AP405" s="81"/>
      <c r="AQ405" s="81"/>
      <c r="AR405" s="81"/>
      <c r="AS405" s="98">
        <v>0</v>
      </c>
      <c r="AT405" s="58" t="s">
        <v>687</v>
      </c>
      <c r="AU405" s="387" t="s">
        <v>1376</v>
      </c>
      <c r="AV405" s="51"/>
      <c r="AW405" s="51"/>
      <c r="AX405" s="81"/>
      <c r="AY405" s="81"/>
      <c r="AZ405" s="81"/>
      <c r="BA405" s="158"/>
      <c r="BB405" s="69"/>
      <c r="BC405" s="69">
        <v>2</v>
      </c>
      <c r="BD405" s="271" t="s">
        <v>1706</v>
      </c>
      <c r="BE405" s="271">
        <v>2019</v>
      </c>
      <c r="BF405" s="271"/>
    </row>
    <row r="406" spans="1:58" s="204" customFormat="1" ht="18" customHeight="1">
      <c r="A406" s="160" t="s">
        <v>509</v>
      </c>
      <c r="B406" s="58" t="s">
        <v>173</v>
      </c>
      <c r="C406" s="148" t="s">
        <v>768</v>
      </c>
      <c r="D406" s="33" t="s">
        <v>769</v>
      </c>
      <c r="E406" s="33"/>
      <c r="F406" s="33"/>
      <c r="G406" s="33"/>
      <c r="H406" s="30" t="s">
        <v>715</v>
      </c>
      <c r="I406" s="78">
        <v>2663</v>
      </c>
      <c r="J406" s="212">
        <v>43060</v>
      </c>
      <c r="K406" s="51"/>
      <c r="L406" s="51"/>
      <c r="M406" s="51">
        <v>3</v>
      </c>
      <c r="N406" s="51"/>
      <c r="O406" s="51">
        <v>3</v>
      </c>
      <c r="P406" s="158">
        <f>365912442-146364976</f>
        <v>219547466</v>
      </c>
      <c r="Q406" s="158"/>
      <c r="R406" s="158"/>
      <c r="S406" s="158"/>
      <c r="T406" s="586">
        <f>92449285-92449285</f>
        <v>0</v>
      </c>
      <c r="U406" s="51"/>
      <c r="V406" s="51"/>
      <c r="W406" s="51"/>
      <c r="X406" s="51"/>
      <c r="Y406" s="158"/>
      <c r="Z406" s="71"/>
      <c r="AA406" s="71"/>
      <c r="AB406" s="71"/>
      <c r="AC406" s="71"/>
      <c r="AD406" s="158"/>
      <c r="AE406" s="158">
        <f>P406-T406-Y406</f>
        <v>219547466</v>
      </c>
      <c r="AF406" s="158"/>
      <c r="AG406" s="94">
        <v>0</v>
      </c>
      <c r="AH406" s="94"/>
      <c r="AI406" s="94"/>
      <c r="AJ406" s="158">
        <f>AE406+AG406</f>
        <v>219547466</v>
      </c>
      <c r="AK406" s="158">
        <v>877</v>
      </c>
      <c r="AL406" s="158">
        <v>10</v>
      </c>
      <c r="AM406" s="158">
        <v>3</v>
      </c>
      <c r="AN406" s="158"/>
      <c r="AO406" s="81"/>
      <c r="AP406" s="81"/>
      <c r="AQ406" s="81"/>
      <c r="AR406" s="81"/>
      <c r="AS406" s="2">
        <v>0</v>
      </c>
      <c r="AT406" s="58" t="s">
        <v>521</v>
      </c>
      <c r="AU406" s="394" t="s">
        <v>1502</v>
      </c>
      <c r="AV406" s="51"/>
      <c r="AW406" s="51"/>
      <c r="AX406" s="51"/>
      <c r="AY406" s="51"/>
      <c r="AZ406" s="51"/>
      <c r="BA406" s="51"/>
      <c r="BB406" s="71"/>
      <c r="BC406" s="71"/>
      <c r="BD406" s="271"/>
      <c r="BE406" s="271">
        <v>2019</v>
      </c>
      <c r="BF406" s="271">
        <v>2020</v>
      </c>
    </row>
    <row r="407" spans="1:58" s="204" customFormat="1" ht="18" customHeight="1">
      <c r="A407" s="248" t="s">
        <v>509</v>
      </c>
      <c r="B407" s="58" t="s">
        <v>173</v>
      </c>
      <c r="C407" s="148" t="s">
        <v>768</v>
      </c>
      <c r="D407" s="33" t="s">
        <v>769</v>
      </c>
      <c r="E407" s="33"/>
      <c r="F407" s="33"/>
      <c r="G407" s="33"/>
      <c r="H407" s="30" t="s">
        <v>715</v>
      </c>
      <c r="I407" s="78">
        <v>2663</v>
      </c>
      <c r="J407" s="212">
        <v>43060</v>
      </c>
      <c r="K407" s="51"/>
      <c r="L407" s="51"/>
      <c r="M407" s="51">
        <v>1</v>
      </c>
      <c r="N407" s="51"/>
      <c r="O407" s="51">
        <v>1</v>
      </c>
      <c r="P407" s="158">
        <v>73182490</v>
      </c>
      <c r="Q407" s="51"/>
      <c r="R407" s="158"/>
      <c r="S407" s="51"/>
      <c r="T407" s="586"/>
      <c r="U407" s="51"/>
      <c r="V407" s="51"/>
      <c r="W407" s="51"/>
      <c r="X407" s="51"/>
      <c r="Y407" s="158"/>
      <c r="Z407" s="51"/>
      <c r="AA407" s="53"/>
      <c r="AB407" s="53"/>
      <c r="AC407" s="53"/>
      <c r="AD407" s="158"/>
      <c r="AE407" s="158">
        <f>P407-T407-Y407-73182490</f>
        <v>0</v>
      </c>
      <c r="AF407" s="158"/>
      <c r="AG407" s="158">
        <v>73182490</v>
      </c>
      <c r="AH407" s="158"/>
      <c r="AI407" s="158"/>
      <c r="AJ407" s="158">
        <f>AE407+AG407</f>
        <v>73182490</v>
      </c>
      <c r="AK407" s="158">
        <v>877</v>
      </c>
      <c r="AL407" s="158">
        <v>10</v>
      </c>
      <c r="AM407" s="158">
        <v>1</v>
      </c>
      <c r="AN407" s="158"/>
      <c r="AO407" s="81"/>
      <c r="AP407" s="81"/>
      <c r="AQ407" s="81"/>
      <c r="AR407" s="81"/>
      <c r="AS407" s="2">
        <v>0</v>
      </c>
      <c r="AT407" s="58" t="s">
        <v>521</v>
      </c>
      <c r="AU407" s="104" t="s">
        <v>1222</v>
      </c>
      <c r="AV407" s="51"/>
      <c r="AW407" s="51"/>
      <c r="AX407" s="51"/>
      <c r="AY407" s="51"/>
      <c r="AZ407" s="51"/>
      <c r="BA407" s="51"/>
      <c r="BB407" s="71"/>
      <c r="BC407" s="71"/>
      <c r="BD407" s="271"/>
      <c r="BE407" s="271">
        <v>2019</v>
      </c>
      <c r="BF407" s="271">
        <v>2020</v>
      </c>
    </row>
    <row r="408" spans="1:58" s="204" customFormat="1" ht="18" hidden="1" customHeight="1">
      <c r="A408" s="160" t="s">
        <v>509</v>
      </c>
      <c r="B408" s="58" t="s">
        <v>515</v>
      </c>
      <c r="C408" s="148" t="s">
        <v>917</v>
      </c>
      <c r="D408" s="33" t="s">
        <v>730</v>
      </c>
      <c r="E408" s="33"/>
      <c r="F408" s="33"/>
      <c r="G408" s="33"/>
      <c r="H408" s="30" t="s">
        <v>731</v>
      </c>
      <c r="I408" s="30">
        <v>3125</v>
      </c>
      <c r="J408" s="212">
        <v>43098</v>
      </c>
      <c r="K408" s="158"/>
      <c r="L408" s="158">
        <v>33</v>
      </c>
      <c r="M408" s="51"/>
      <c r="N408" s="51"/>
      <c r="O408" s="51"/>
      <c r="P408" s="158">
        <f>2161610604-63576783</f>
        <v>2098033821</v>
      </c>
      <c r="Q408" s="158"/>
      <c r="R408" s="158"/>
      <c r="S408" s="158"/>
      <c r="T408" s="586">
        <v>959515367</v>
      </c>
      <c r="U408" s="158">
        <v>30</v>
      </c>
      <c r="V408" s="158"/>
      <c r="W408" s="158"/>
      <c r="X408" s="158"/>
      <c r="Y408" s="158">
        <v>1138518454</v>
      </c>
      <c r="Z408" s="158">
        <v>30</v>
      </c>
      <c r="AA408" s="5"/>
      <c r="AB408" s="5"/>
      <c r="AC408" s="5"/>
      <c r="AD408" s="158"/>
      <c r="AE408" s="158">
        <f t="shared" ref="AE408:AE412" si="73">P408-T408-Y408</f>
        <v>0</v>
      </c>
      <c r="AF408" s="158"/>
      <c r="AG408" s="94">
        <v>0</v>
      </c>
      <c r="AH408" s="94"/>
      <c r="AI408" s="94"/>
      <c r="AJ408" s="158">
        <f t="shared" ref="AJ408" si="74">AE408+AG408</f>
        <v>0</v>
      </c>
      <c r="AK408" s="158">
        <v>877</v>
      </c>
      <c r="AL408" s="158">
        <v>30</v>
      </c>
      <c r="AM408" s="158"/>
      <c r="AN408" s="158"/>
      <c r="AO408" s="158"/>
      <c r="AP408" s="158"/>
      <c r="AQ408" s="158"/>
      <c r="AR408" s="158"/>
      <c r="AS408" s="2">
        <v>1</v>
      </c>
      <c r="AT408" s="58" t="s">
        <v>646</v>
      </c>
      <c r="AU408" s="104"/>
      <c r="AV408" s="158"/>
      <c r="AW408" s="158"/>
      <c r="AX408" s="158"/>
      <c r="AY408" s="158">
        <v>33</v>
      </c>
      <c r="AZ408" s="158"/>
      <c r="BA408" s="158"/>
      <c r="BB408" s="69">
        <f>+AY408</f>
        <v>33</v>
      </c>
      <c r="BC408" s="69"/>
      <c r="BD408" s="271">
        <v>2019</v>
      </c>
      <c r="BE408" s="271">
        <v>2019</v>
      </c>
      <c r="BF408" s="271"/>
    </row>
    <row r="409" spans="1:58" s="204" customFormat="1" ht="18" customHeight="1">
      <c r="A409" s="160" t="s">
        <v>509</v>
      </c>
      <c r="B409" s="58" t="s">
        <v>515</v>
      </c>
      <c r="C409" s="148" t="s">
        <v>917</v>
      </c>
      <c r="D409" s="33" t="s">
        <v>730</v>
      </c>
      <c r="E409" s="33"/>
      <c r="F409" s="33"/>
      <c r="G409" s="33"/>
      <c r="H409" s="30" t="s">
        <v>731</v>
      </c>
      <c r="I409" s="30">
        <v>3125</v>
      </c>
      <c r="J409" s="212">
        <v>43098</v>
      </c>
      <c r="K409" s="158"/>
      <c r="L409" s="158"/>
      <c r="M409" s="51">
        <v>1</v>
      </c>
      <c r="N409" s="51">
        <v>1</v>
      </c>
      <c r="O409" s="51"/>
      <c r="P409" s="158">
        <v>63576783</v>
      </c>
      <c r="Q409" s="158"/>
      <c r="R409" s="158"/>
      <c r="S409" s="158"/>
      <c r="T409" s="586"/>
      <c r="U409" s="158"/>
      <c r="V409" s="158"/>
      <c r="W409" s="158"/>
      <c r="X409" s="158"/>
      <c r="Y409" s="158"/>
      <c r="Z409" s="69"/>
      <c r="AA409" s="69"/>
      <c r="AB409" s="69"/>
      <c r="AC409" s="69"/>
      <c r="AD409" s="158"/>
      <c r="AE409" s="158">
        <f t="shared" si="73"/>
        <v>63576783</v>
      </c>
      <c r="AF409" s="158"/>
      <c r="AG409" s="94">
        <v>0</v>
      </c>
      <c r="AH409" s="94"/>
      <c r="AI409" s="94"/>
      <c r="AJ409" s="158">
        <f>AE409+AG409</f>
        <v>63576783</v>
      </c>
      <c r="AK409" s="158">
        <v>877</v>
      </c>
      <c r="AL409" s="158">
        <v>10</v>
      </c>
      <c r="AM409" s="158">
        <v>1</v>
      </c>
      <c r="AN409" s="158"/>
      <c r="AO409" s="158"/>
      <c r="AP409" s="158"/>
      <c r="AQ409" s="158"/>
      <c r="AR409" s="158"/>
      <c r="AS409" s="2">
        <v>0</v>
      </c>
      <c r="AT409" s="58" t="s">
        <v>521</v>
      </c>
      <c r="AU409" s="104"/>
      <c r="AV409" s="158"/>
      <c r="AW409" s="158"/>
      <c r="AX409" s="158"/>
      <c r="AY409" s="158"/>
      <c r="AZ409" s="158"/>
      <c r="BA409" s="158"/>
      <c r="BB409" s="69"/>
      <c r="BC409" s="69"/>
      <c r="BD409" s="271"/>
      <c r="BE409" s="271">
        <v>2019</v>
      </c>
      <c r="BF409" s="271">
        <v>2020</v>
      </c>
    </row>
    <row r="410" spans="1:58" s="204" customFormat="1" ht="18" customHeight="1">
      <c r="A410" s="160" t="s">
        <v>509</v>
      </c>
      <c r="B410" s="58" t="s">
        <v>177</v>
      </c>
      <c r="C410" s="148" t="s">
        <v>1216</v>
      </c>
      <c r="D410" s="33" t="s">
        <v>1217</v>
      </c>
      <c r="E410" s="33"/>
      <c r="F410" s="33"/>
      <c r="G410" s="33"/>
      <c r="H410" s="30" t="s">
        <v>1116</v>
      </c>
      <c r="I410" s="78">
        <v>324</v>
      </c>
      <c r="J410" s="212">
        <v>43405</v>
      </c>
      <c r="K410" s="158">
        <v>54</v>
      </c>
      <c r="L410" s="158">
        <v>54</v>
      </c>
      <c r="M410" s="51"/>
      <c r="N410" s="51">
        <v>54</v>
      </c>
      <c r="O410" s="51"/>
      <c r="P410" s="158">
        <v>3551242500</v>
      </c>
      <c r="Q410" s="158"/>
      <c r="R410" s="158"/>
      <c r="S410" s="158"/>
      <c r="T410" s="586">
        <v>1477092165</v>
      </c>
      <c r="U410" s="214">
        <v>10</v>
      </c>
      <c r="V410" s="311">
        <v>43497</v>
      </c>
      <c r="W410" s="311"/>
      <c r="X410" s="311"/>
      <c r="Y410" s="158">
        <v>2074150335</v>
      </c>
      <c r="Z410" s="221">
        <v>10</v>
      </c>
      <c r="AA410" s="311">
        <v>43678</v>
      </c>
      <c r="AB410" s="577"/>
      <c r="AC410" s="221"/>
      <c r="AD410" s="158"/>
      <c r="AE410" s="158">
        <f t="shared" si="73"/>
        <v>0</v>
      </c>
      <c r="AF410" s="158"/>
      <c r="AG410" s="94">
        <v>0</v>
      </c>
      <c r="AH410" s="94"/>
      <c r="AI410" s="94"/>
      <c r="AJ410" s="158">
        <f t="shared" ref="AJ410:AJ424" si="75">AE410+AG410</f>
        <v>0</v>
      </c>
      <c r="AK410" s="158">
        <v>877</v>
      </c>
      <c r="AL410" s="158">
        <v>10</v>
      </c>
      <c r="AM410" s="158"/>
      <c r="AN410" s="158">
        <v>54</v>
      </c>
      <c r="AO410" s="158"/>
      <c r="AP410" s="158"/>
      <c r="AQ410" s="158"/>
      <c r="AR410" s="158"/>
      <c r="AS410" s="2">
        <v>0.46629999999999999</v>
      </c>
      <c r="AT410" s="58" t="s">
        <v>38</v>
      </c>
      <c r="AU410" s="104"/>
      <c r="AV410" s="158"/>
      <c r="AW410" s="158"/>
      <c r="AX410" s="158"/>
      <c r="AY410" s="158"/>
      <c r="AZ410" s="158"/>
      <c r="BA410" s="158"/>
      <c r="BB410" s="69"/>
      <c r="BC410" s="69"/>
      <c r="BD410" s="271"/>
      <c r="BE410" s="271">
        <v>2019</v>
      </c>
      <c r="BF410" s="271">
        <v>2020</v>
      </c>
    </row>
    <row r="411" spans="1:58" s="204" customFormat="1" ht="18" hidden="1" customHeight="1">
      <c r="A411" s="160" t="s">
        <v>509</v>
      </c>
      <c r="B411" s="58" t="s">
        <v>515</v>
      </c>
      <c r="C411" s="148" t="s">
        <v>1166</v>
      </c>
      <c r="D411" s="33" t="s">
        <v>1167</v>
      </c>
      <c r="E411" s="33"/>
      <c r="F411" s="33"/>
      <c r="G411" s="33"/>
      <c r="H411" s="30" t="s">
        <v>1113</v>
      </c>
      <c r="I411" s="30">
        <v>707</v>
      </c>
      <c r="J411" s="212">
        <v>43452</v>
      </c>
      <c r="K411" s="158">
        <v>22</v>
      </c>
      <c r="L411" s="158">
        <v>22</v>
      </c>
      <c r="M411" s="51"/>
      <c r="N411" s="51"/>
      <c r="O411" s="51"/>
      <c r="P411" s="158">
        <v>1447203772</v>
      </c>
      <c r="Q411" s="158"/>
      <c r="R411" s="158"/>
      <c r="S411" s="158"/>
      <c r="T411" s="586">
        <v>785690399</v>
      </c>
      <c r="U411" s="158"/>
      <c r="V411" s="158"/>
      <c r="W411" s="158"/>
      <c r="X411" s="158"/>
      <c r="Y411" s="158">
        <v>661513373</v>
      </c>
      <c r="Z411" s="158">
        <v>20</v>
      </c>
      <c r="AA411" s="311">
        <v>43617</v>
      </c>
      <c r="AB411" s="311"/>
      <c r="AC411" s="158"/>
      <c r="AD411" s="158"/>
      <c r="AE411" s="158">
        <f t="shared" si="73"/>
        <v>0</v>
      </c>
      <c r="AF411" s="158"/>
      <c r="AG411" s="94">
        <v>0</v>
      </c>
      <c r="AH411" s="94"/>
      <c r="AI411" s="94"/>
      <c r="AJ411" s="158">
        <f t="shared" si="75"/>
        <v>0</v>
      </c>
      <c r="AK411" s="158">
        <v>877</v>
      </c>
      <c r="AL411" s="158">
        <v>20</v>
      </c>
      <c r="AM411" s="158"/>
      <c r="AN411" s="158"/>
      <c r="AO411" s="158"/>
      <c r="AP411" s="158"/>
      <c r="AQ411" s="158"/>
      <c r="AR411" s="158"/>
      <c r="AS411" s="2">
        <v>1</v>
      </c>
      <c r="AT411" s="58" t="s">
        <v>646</v>
      </c>
      <c r="AU411" s="104" t="s">
        <v>1709</v>
      </c>
      <c r="AV411" s="158"/>
      <c r="AW411" s="158"/>
      <c r="AX411" s="158"/>
      <c r="AY411" s="158">
        <v>22</v>
      </c>
      <c r="AZ411" s="158"/>
      <c r="BA411" s="158"/>
      <c r="BB411" s="69">
        <v>22</v>
      </c>
      <c r="BC411" s="69"/>
      <c r="BD411" s="271">
        <v>2019</v>
      </c>
      <c r="BE411" s="271">
        <v>2019</v>
      </c>
      <c r="BF411" s="444"/>
    </row>
    <row r="412" spans="1:58" s="204" customFormat="1" ht="18" customHeight="1">
      <c r="A412" s="248" t="s">
        <v>509</v>
      </c>
      <c r="B412" s="58" t="s">
        <v>173</v>
      </c>
      <c r="C412" s="148" t="s">
        <v>172</v>
      </c>
      <c r="D412" s="33" t="s">
        <v>1628</v>
      </c>
      <c r="E412" s="33"/>
      <c r="F412" s="33"/>
      <c r="G412" s="33"/>
      <c r="H412" s="30" t="s">
        <v>1605</v>
      </c>
      <c r="I412" s="30">
        <v>1362</v>
      </c>
      <c r="J412" s="212">
        <v>43685</v>
      </c>
      <c r="K412" s="158"/>
      <c r="L412" s="158"/>
      <c r="M412" s="51">
        <f>43</f>
        <v>43</v>
      </c>
      <c r="N412" s="51">
        <v>43</v>
      </c>
      <c r="O412" s="51"/>
      <c r="P412" s="158">
        <v>3131568407</v>
      </c>
      <c r="Q412" s="158"/>
      <c r="R412" s="158"/>
      <c r="S412" s="158"/>
      <c r="T412" s="586">
        <v>1682215694</v>
      </c>
      <c r="U412" s="158">
        <v>20</v>
      </c>
      <c r="V412" s="311">
        <v>43678</v>
      </c>
      <c r="W412" s="311"/>
      <c r="X412" s="311"/>
      <c r="Y412" s="158">
        <v>1449352713</v>
      </c>
      <c r="Z412" s="158">
        <v>20</v>
      </c>
      <c r="AA412" s="311">
        <v>43770</v>
      </c>
      <c r="AB412" s="583"/>
      <c r="AC412" s="92"/>
      <c r="AD412" s="158"/>
      <c r="AE412" s="158">
        <f t="shared" si="73"/>
        <v>0</v>
      </c>
      <c r="AF412" s="158"/>
      <c r="AG412" s="94">
        <v>0</v>
      </c>
      <c r="AH412" s="94"/>
      <c r="AI412" s="94"/>
      <c r="AJ412" s="158">
        <f t="shared" si="75"/>
        <v>0</v>
      </c>
      <c r="AK412" s="158">
        <v>877</v>
      </c>
      <c r="AL412" s="158">
        <v>20</v>
      </c>
      <c r="AM412" s="158"/>
      <c r="AN412" s="158">
        <v>43</v>
      </c>
      <c r="AO412" s="158"/>
      <c r="AP412" s="158"/>
      <c r="AQ412" s="158"/>
      <c r="AR412" s="158"/>
      <c r="AS412" s="2">
        <v>0.55120000000000002</v>
      </c>
      <c r="AT412" s="58" t="s">
        <v>38</v>
      </c>
      <c r="AU412" s="104"/>
      <c r="AV412" s="158"/>
      <c r="AW412" s="158"/>
      <c r="AX412" s="158"/>
      <c r="AY412" s="158"/>
      <c r="AZ412" s="158"/>
      <c r="BA412" s="158"/>
      <c r="BB412" s="69"/>
      <c r="BC412" s="69"/>
      <c r="BD412" s="271"/>
      <c r="BE412" s="271">
        <v>2019</v>
      </c>
      <c r="BF412" s="271">
        <v>2020</v>
      </c>
    </row>
    <row r="413" spans="1:58" s="204" customFormat="1" ht="18" customHeight="1">
      <c r="A413" s="248" t="s">
        <v>509</v>
      </c>
      <c r="B413" s="58" t="s">
        <v>540</v>
      </c>
      <c r="C413" s="489" t="s">
        <v>1626</v>
      </c>
      <c r="D413" s="483" t="s">
        <v>1629</v>
      </c>
      <c r="E413" s="483"/>
      <c r="F413" s="483"/>
      <c r="G413" s="483"/>
      <c r="H413" s="30" t="s">
        <v>1605</v>
      </c>
      <c r="I413" s="30">
        <v>1380</v>
      </c>
      <c r="J413" s="212">
        <v>43685</v>
      </c>
      <c r="K413" s="158"/>
      <c r="L413" s="158"/>
      <c r="M413" s="51">
        <v>60</v>
      </c>
      <c r="N413" s="51">
        <v>60</v>
      </c>
      <c r="O413" s="51"/>
      <c r="P413" s="158">
        <v>4863952500</v>
      </c>
      <c r="Q413" s="158"/>
      <c r="R413" s="158"/>
      <c r="S413" s="158"/>
      <c r="T413" s="586">
        <v>2601177150</v>
      </c>
      <c r="U413" s="158">
        <v>20</v>
      </c>
      <c r="V413" s="311">
        <v>43678</v>
      </c>
      <c r="W413" s="311"/>
      <c r="X413" s="311"/>
      <c r="Y413" s="625">
        <v>2262775350</v>
      </c>
      <c r="Z413" s="72">
        <v>20</v>
      </c>
      <c r="AA413" s="484">
        <v>43889</v>
      </c>
      <c r="AB413" s="620"/>
      <c r="AC413" s="92"/>
      <c r="AD413" s="158"/>
      <c r="AE413" s="158">
        <f>P413-T413-Y413</f>
        <v>0</v>
      </c>
      <c r="AF413" s="158"/>
      <c r="AG413" s="94">
        <v>0</v>
      </c>
      <c r="AH413" s="94"/>
      <c r="AI413" s="94"/>
      <c r="AJ413" s="158">
        <f t="shared" si="75"/>
        <v>0</v>
      </c>
      <c r="AK413" s="158">
        <v>877</v>
      </c>
      <c r="AL413" s="158">
        <v>20</v>
      </c>
      <c r="AM413" s="158"/>
      <c r="AN413" s="158">
        <v>60</v>
      </c>
      <c r="AO413" s="158"/>
      <c r="AP413" s="158"/>
      <c r="AQ413" s="158"/>
      <c r="AR413" s="158"/>
      <c r="AS413" s="493">
        <v>0.1651</v>
      </c>
      <c r="AT413" s="485" t="s">
        <v>38</v>
      </c>
      <c r="AU413" s="104" t="s">
        <v>2213</v>
      </c>
      <c r="AV413" s="158"/>
      <c r="AW413" s="158"/>
      <c r="AX413" s="158"/>
      <c r="AY413" s="158"/>
      <c r="AZ413" s="158"/>
      <c r="BA413" s="158"/>
      <c r="BB413" s="69"/>
      <c r="BC413" s="69"/>
      <c r="BD413" s="271"/>
      <c r="BE413" s="271">
        <v>2019</v>
      </c>
      <c r="BF413" s="271">
        <v>2020</v>
      </c>
    </row>
    <row r="414" spans="1:58" s="204" customFormat="1" ht="18" customHeight="1">
      <c r="A414" s="248" t="s">
        <v>509</v>
      </c>
      <c r="B414" s="58" t="s">
        <v>185</v>
      </c>
      <c r="C414" s="148" t="s">
        <v>1627</v>
      </c>
      <c r="D414" s="33" t="s">
        <v>3</v>
      </c>
      <c r="E414" s="33"/>
      <c r="F414" s="33"/>
      <c r="G414" s="33"/>
      <c r="H414" s="30" t="s">
        <v>1605</v>
      </c>
      <c r="I414" s="30">
        <v>1370</v>
      </c>
      <c r="J414" s="212">
        <v>43685</v>
      </c>
      <c r="K414" s="158"/>
      <c r="L414" s="158"/>
      <c r="M414" s="51">
        <v>66</v>
      </c>
      <c r="N414" s="51">
        <v>66</v>
      </c>
      <c r="O414" s="51"/>
      <c r="P414" s="158">
        <v>5499213410</v>
      </c>
      <c r="Q414" s="158"/>
      <c r="R414" s="158"/>
      <c r="S414" s="158"/>
      <c r="T414" s="586">
        <v>2964028401</v>
      </c>
      <c r="U414" s="158">
        <v>20</v>
      </c>
      <c r="V414" s="311">
        <v>43678</v>
      </c>
      <c r="W414" s="311"/>
      <c r="X414" s="311"/>
      <c r="Y414" s="94"/>
      <c r="Z414" s="158"/>
      <c r="AA414" s="92"/>
      <c r="AB414" s="92"/>
      <c r="AC414" s="92"/>
      <c r="AD414" s="158"/>
      <c r="AE414" s="158">
        <f>P414-T414-Y414</f>
        <v>2535185009</v>
      </c>
      <c r="AF414" s="158"/>
      <c r="AG414" s="94">
        <v>0</v>
      </c>
      <c r="AH414" s="94"/>
      <c r="AI414" s="94"/>
      <c r="AJ414" s="158">
        <f t="shared" si="75"/>
        <v>2535185009</v>
      </c>
      <c r="AK414" s="158">
        <v>877</v>
      </c>
      <c r="AL414" s="158">
        <v>20</v>
      </c>
      <c r="AM414" s="158"/>
      <c r="AN414" s="158">
        <v>66</v>
      </c>
      <c r="AO414" s="158"/>
      <c r="AP414" s="158"/>
      <c r="AQ414" s="158"/>
      <c r="AR414" s="158"/>
      <c r="AS414" s="2">
        <v>0.13719999999999999</v>
      </c>
      <c r="AT414" s="58" t="s">
        <v>38</v>
      </c>
      <c r="AU414" s="104" t="s">
        <v>2173</v>
      </c>
      <c r="AV414" s="158"/>
      <c r="AW414" s="158"/>
      <c r="AX414" s="158"/>
      <c r="AY414" s="158"/>
      <c r="AZ414" s="158"/>
      <c r="BA414" s="158"/>
      <c r="BB414" s="69"/>
      <c r="BC414" s="69"/>
      <c r="BD414" s="271"/>
      <c r="BE414" s="271">
        <v>2019</v>
      </c>
      <c r="BF414" s="271">
        <v>2020</v>
      </c>
    </row>
    <row r="415" spans="1:58" s="204" customFormat="1" ht="18" customHeight="1">
      <c r="A415" s="248" t="s">
        <v>509</v>
      </c>
      <c r="B415" s="58" t="s">
        <v>540</v>
      </c>
      <c r="C415" s="489" t="s">
        <v>1575</v>
      </c>
      <c r="D415" s="483" t="s">
        <v>1577</v>
      </c>
      <c r="E415" s="483"/>
      <c r="F415" s="483"/>
      <c r="G415" s="483"/>
      <c r="H415" s="30" t="s">
        <v>1553</v>
      </c>
      <c r="I415" s="30">
        <v>1656</v>
      </c>
      <c r="J415" s="212">
        <v>43728</v>
      </c>
      <c r="K415" s="158"/>
      <c r="L415" s="158"/>
      <c r="M415" s="51">
        <f>53-1</f>
        <v>52</v>
      </c>
      <c r="N415" s="51">
        <v>52</v>
      </c>
      <c r="O415" s="51"/>
      <c r="P415" s="158">
        <f>4296491375-81065875</f>
        <v>4215425500</v>
      </c>
      <c r="Q415" s="158"/>
      <c r="R415" s="158"/>
      <c r="S415" s="158"/>
      <c r="T415" s="586">
        <v>2296018530</v>
      </c>
      <c r="U415" s="158">
        <v>20</v>
      </c>
      <c r="V415" s="311">
        <v>43739</v>
      </c>
      <c r="W415" s="311"/>
      <c r="X415" s="311"/>
      <c r="Y415" s="611">
        <v>1919406970</v>
      </c>
      <c r="Z415" s="72">
        <v>20</v>
      </c>
      <c r="AA415" s="484">
        <v>43951</v>
      </c>
      <c r="AB415" s="620"/>
      <c r="AC415" s="92"/>
      <c r="AD415" s="158"/>
      <c r="AE415" s="158">
        <f>P415-T415-Y415-AG415</f>
        <v>0</v>
      </c>
      <c r="AF415" s="158"/>
      <c r="AG415" s="158">
        <f t="shared" ref="AG415" si="76">P415-T415-Y415</f>
        <v>0</v>
      </c>
      <c r="AH415" s="158"/>
      <c r="AI415" s="158"/>
      <c r="AJ415" s="158">
        <f t="shared" si="75"/>
        <v>0</v>
      </c>
      <c r="AK415" s="158">
        <v>877</v>
      </c>
      <c r="AL415" s="158">
        <v>20</v>
      </c>
      <c r="AM415" s="158"/>
      <c r="AN415" s="158">
        <v>52</v>
      </c>
      <c r="AO415" s="158"/>
      <c r="AP415" s="158"/>
      <c r="AQ415" s="158"/>
      <c r="AR415" s="158"/>
      <c r="AS415" s="493">
        <v>0</v>
      </c>
      <c r="AT415" s="485" t="s">
        <v>38</v>
      </c>
      <c r="AU415" s="104"/>
      <c r="AV415" s="158"/>
      <c r="AW415" s="158"/>
      <c r="AX415" s="158"/>
      <c r="AY415" s="158"/>
      <c r="AZ415" s="158"/>
      <c r="BA415" s="158"/>
      <c r="BB415" s="69"/>
      <c r="BC415" s="69"/>
      <c r="BD415" s="271"/>
      <c r="BE415" s="271">
        <v>2019</v>
      </c>
      <c r="BF415" s="271">
        <v>2020</v>
      </c>
    </row>
    <row r="416" spans="1:58" s="204" customFormat="1" ht="18" customHeight="1">
      <c r="A416" s="248" t="s">
        <v>509</v>
      </c>
      <c r="B416" s="58" t="s">
        <v>540</v>
      </c>
      <c r="C416" s="148" t="s">
        <v>1575</v>
      </c>
      <c r="D416" s="33" t="s">
        <v>1577</v>
      </c>
      <c r="E416" s="33"/>
      <c r="F416" s="33"/>
      <c r="G416" s="33"/>
      <c r="H416" s="30" t="s">
        <v>1553</v>
      </c>
      <c r="I416" s="30">
        <v>1656</v>
      </c>
      <c r="J416" s="212">
        <v>43728</v>
      </c>
      <c r="K416" s="158"/>
      <c r="L416" s="158"/>
      <c r="M416" s="51">
        <v>1</v>
      </c>
      <c r="N416" s="51">
        <v>1</v>
      </c>
      <c r="O416" s="51"/>
      <c r="P416" s="158">
        <v>81065875</v>
      </c>
      <c r="Q416" s="158"/>
      <c r="R416" s="158"/>
      <c r="S416" s="158"/>
      <c r="T416" s="586"/>
      <c r="U416" s="158"/>
      <c r="V416" s="311"/>
      <c r="W416" s="311"/>
      <c r="X416" s="311"/>
      <c r="Y416" s="94"/>
      <c r="Z416" s="158"/>
      <c r="AA416" s="92"/>
      <c r="AB416" s="92"/>
      <c r="AC416" s="92"/>
      <c r="AD416" s="158"/>
      <c r="AE416" s="158">
        <f>P416-T416-Y416-AG416</f>
        <v>81065875</v>
      </c>
      <c r="AF416" s="158"/>
      <c r="AG416" s="94">
        <v>0</v>
      </c>
      <c r="AH416" s="94"/>
      <c r="AI416" s="94"/>
      <c r="AJ416" s="158">
        <f t="shared" si="75"/>
        <v>81065875</v>
      </c>
      <c r="AK416" s="158">
        <v>877</v>
      </c>
      <c r="AL416" s="158">
        <v>20</v>
      </c>
      <c r="AM416" s="158">
        <v>1</v>
      </c>
      <c r="AN416" s="158"/>
      <c r="AO416" s="158"/>
      <c r="AP416" s="158"/>
      <c r="AQ416" s="158"/>
      <c r="AR416" s="158"/>
      <c r="AS416" s="2">
        <v>0</v>
      </c>
      <c r="AT416" s="58" t="s">
        <v>521</v>
      </c>
      <c r="AU416" s="104" t="s">
        <v>2214</v>
      </c>
      <c r="AV416" s="158"/>
      <c r="AW416" s="158"/>
      <c r="AX416" s="158"/>
      <c r="AY416" s="158"/>
      <c r="AZ416" s="158"/>
      <c r="BA416" s="158"/>
      <c r="BB416" s="69"/>
      <c r="BC416" s="69"/>
      <c r="BD416" s="271"/>
      <c r="BE416" s="271">
        <v>2019</v>
      </c>
      <c r="BF416" s="271">
        <v>2020</v>
      </c>
    </row>
    <row r="417" spans="1:58" s="204" customFormat="1" ht="18" customHeight="1">
      <c r="A417" s="248" t="s">
        <v>509</v>
      </c>
      <c r="B417" s="58" t="s">
        <v>185</v>
      </c>
      <c r="C417" s="489" t="s">
        <v>1576</v>
      </c>
      <c r="D417" s="483" t="s">
        <v>61</v>
      </c>
      <c r="E417" s="536"/>
      <c r="F417" s="538">
        <v>4</v>
      </c>
      <c r="G417" s="538"/>
      <c r="H417" s="30" t="s">
        <v>1553</v>
      </c>
      <c r="I417" s="30">
        <v>1652</v>
      </c>
      <c r="J417" s="212">
        <v>43728</v>
      </c>
      <c r="K417" s="158"/>
      <c r="L417" s="158"/>
      <c r="M417" s="51">
        <v>38</v>
      </c>
      <c r="N417" s="51">
        <v>38</v>
      </c>
      <c r="O417" s="51"/>
      <c r="P417" s="158">
        <v>3059653320</v>
      </c>
      <c r="Q417" s="158">
        <v>396720000</v>
      </c>
      <c r="R417" s="158">
        <v>20</v>
      </c>
      <c r="S417" s="311">
        <v>43770</v>
      </c>
      <c r="T417" s="612">
        <v>1443562050</v>
      </c>
      <c r="U417" s="72">
        <v>20</v>
      </c>
      <c r="V417" s="484">
        <v>43979</v>
      </c>
      <c r="W417" s="484"/>
      <c r="X417" s="484"/>
      <c r="Y417" s="94"/>
      <c r="Z417" s="158"/>
      <c r="AA417" s="92"/>
      <c r="AB417" s="633"/>
      <c r="AC417" s="92"/>
      <c r="AD417" s="158"/>
      <c r="AE417" s="158">
        <f>P417-Q417-T417-Y417</f>
        <v>1219371270</v>
      </c>
      <c r="AF417" s="158"/>
      <c r="AG417" s="94">
        <v>0</v>
      </c>
      <c r="AH417" s="94"/>
      <c r="AI417" s="94"/>
      <c r="AJ417" s="158">
        <f t="shared" si="75"/>
        <v>1219371270</v>
      </c>
      <c r="AK417" s="158">
        <v>877</v>
      </c>
      <c r="AL417" s="158">
        <v>20</v>
      </c>
      <c r="AM417" s="72"/>
      <c r="AN417" s="72">
        <v>38</v>
      </c>
      <c r="AO417" s="158"/>
      <c r="AP417" s="158"/>
      <c r="AQ417" s="158"/>
      <c r="AR417" s="158"/>
      <c r="AS417" s="493">
        <v>0</v>
      </c>
      <c r="AT417" s="485" t="s">
        <v>38</v>
      </c>
      <c r="AU417" s="104" t="s">
        <v>1565</v>
      </c>
      <c r="AV417" s="158"/>
      <c r="AW417" s="158"/>
      <c r="AX417" s="158"/>
      <c r="AY417" s="158"/>
      <c r="AZ417" s="158"/>
      <c r="BA417" s="158"/>
      <c r="BB417" s="69"/>
      <c r="BC417" s="69"/>
      <c r="BD417" s="271"/>
      <c r="BE417" s="271">
        <v>2019</v>
      </c>
      <c r="BF417" s="271">
        <v>2020</v>
      </c>
    </row>
    <row r="418" spans="1:58" s="204" customFormat="1" ht="18" customHeight="1">
      <c r="A418" s="248" t="s">
        <v>509</v>
      </c>
      <c r="B418" s="58" t="s">
        <v>540</v>
      </c>
      <c r="C418" s="489" t="s">
        <v>1764</v>
      </c>
      <c r="D418" s="483" t="s">
        <v>1765</v>
      </c>
      <c r="E418" s="483"/>
      <c r="F418" s="483"/>
      <c r="G418" s="483"/>
      <c r="H418" s="30" t="s">
        <v>1763</v>
      </c>
      <c r="I418" s="30">
        <v>1839</v>
      </c>
      <c r="J418" s="212">
        <v>43763</v>
      </c>
      <c r="K418" s="158"/>
      <c r="L418" s="158"/>
      <c r="M418" s="51">
        <v>44</v>
      </c>
      <c r="N418" s="51">
        <v>44</v>
      </c>
      <c r="O418" s="51"/>
      <c r="P418" s="158">
        <v>3666426776</v>
      </c>
      <c r="Q418" s="158"/>
      <c r="R418" s="158"/>
      <c r="S418" s="158"/>
      <c r="T418" s="586">
        <v>2015656629</v>
      </c>
      <c r="U418" s="158">
        <v>20</v>
      </c>
      <c r="V418" s="311">
        <v>43770</v>
      </c>
      <c r="W418" s="311"/>
      <c r="X418" s="311"/>
      <c r="Y418" s="623">
        <v>1650770147</v>
      </c>
      <c r="Z418" s="72">
        <v>20</v>
      </c>
      <c r="AA418" s="484">
        <v>43913</v>
      </c>
      <c r="AB418" s="620"/>
      <c r="AC418" s="92"/>
      <c r="AD418" s="158"/>
      <c r="AE418" s="158">
        <f>P418-T418-Y418-AG418</f>
        <v>0</v>
      </c>
      <c r="AF418" s="158"/>
      <c r="AG418" s="94">
        <v>0</v>
      </c>
      <c r="AH418" s="94"/>
      <c r="AI418" s="94"/>
      <c r="AJ418" s="158">
        <f t="shared" si="75"/>
        <v>0</v>
      </c>
      <c r="AK418" s="158">
        <v>877</v>
      </c>
      <c r="AL418" s="158">
        <v>20</v>
      </c>
      <c r="AM418" s="158"/>
      <c r="AN418" s="158">
        <v>44</v>
      </c>
      <c r="AO418" s="158"/>
      <c r="AP418" s="158"/>
      <c r="AQ418" s="158"/>
      <c r="AR418" s="158"/>
      <c r="AS418" s="493">
        <v>0</v>
      </c>
      <c r="AT418" s="485" t="s">
        <v>38</v>
      </c>
      <c r="AU418" s="104" t="s">
        <v>1565</v>
      </c>
      <c r="AV418" s="158"/>
      <c r="AW418" s="158"/>
      <c r="AX418" s="158"/>
      <c r="AY418" s="158"/>
      <c r="AZ418" s="158"/>
      <c r="BA418" s="158"/>
      <c r="BB418" s="69"/>
      <c r="BC418" s="69"/>
      <c r="BD418" s="271"/>
      <c r="BE418" s="271">
        <v>2019</v>
      </c>
      <c r="BF418" s="271">
        <v>2020</v>
      </c>
    </row>
    <row r="419" spans="1:58" s="204" customFormat="1" ht="18" customHeight="1">
      <c r="A419" s="248" t="s">
        <v>509</v>
      </c>
      <c r="B419" s="58" t="s">
        <v>1781</v>
      </c>
      <c r="C419" s="489" t="s">
        <v>1780</v>
      </c>
      <c r="D419" s="483" t="s">
        <v>1584</v>
      </c>
      <c r="E419" s="483"/>
      <c r="F419" s="483"/>
      <c r="G419" s="483"/>
      <c r="H419" s="30" t="s">
        <v>1763</v>
      </c>
      <c r="I419" s="30">
        <v>1865</v>
      </c>
      <c r="J419" s="212">
        <v>43766</v>
      </c>
      <c r="K419" s="158"/>
      <c r="L419" s="158"/>
      <c r="M419" s="51">
        <v>71</v>
      </c>
      <c r="N419" s="51">
        <v>71</v>
      </c>
      <c r="O419" s="51"/>
      <c r="P419" s="158">
        <v>5916279570</v>
      </c>
      <c r="Q419" s="158"/>
      <c r="R419" s="158"/>
      <c r="S419" s="158"/>
      <c r="T419" s="586">
        <v>3253038816</v>
      </c>
      <c r="U419" s="158">
        <v>20</v>
      </c>
      <c r="V419" s="311">
        <v>43770</v>
      </c>
      <c r="W419" s="311"/>
      <c r="X419" s="311"/>
      <c r="Y419" s="156">
        <v>2663240754</v>
      </c>
      <c r="Z419" s="72">
        <v>20</v>
      </c>
      <c r="AA419" s="484">
        <v>43951</v>
      </c>
      <c r="AB419" s="620"/>
      <c r="AC419" s="92"/>
      <c r="AD419" s="158"/>
      <c r="AE419" s="158">
        <f>P419-T419-Y419-AG419</f>
        <v>0</v>
      </c>
      <c r="AF419" s="158"/>
      <c r="AG419" s="94">
        <v>0</v>
      </c>
      <c r="AH419" s="94"/>
      <c r="AI419" s="94"/>
      <c r="AJ419" s="158">
        <f t="shared" si="75"/>
        <v>0</v>
      </c>
      <c r="AK419" s="158">
        <v>877</v>
      </c>
      <c r="AL419" s="158">
        <v>20</v>
      </c>
      <c r="AM419" s="597"/>
      <c r="AN419" s="72">
        <v>71</v>
      </c>
      <c r="AO419" s="158"/>
      <c r="AP419" s="158"/>
      <c r="AQ419" s="158"/>
      <c r="AR419" s="158"/>
      <c r="AS419" s="493">
        <v>0</v>
      </c>
      <c r="AT419" s="485" t="s">
        <v>38</v>
      </c>
      <c r="AU419" s="104" t="s">
        <v>1565</v>
      </c>
      <c r="AV419" s="158"/>
      <c r="AW419" s="158"/>
      <c r="AX419" s="158"/>
      <c r="AY419" s="158"/>
      <c r="AZ419" s="158"/>
      <c r="BA419" s="158"/>
      <c r="BB419" s="69"/>
      <c r="BC419" s="69"/>
      <c r="BD419" s="271"/>
      <c r="BE419" s="271">
        <v>2019</v>
      </c>
      <c r="BF419" s="271">
        <v>2020</v>
      </c>
    </row>
    <row r="420" spans="1:58" s="204" customFormat="1" ht="18" customHeight="1">
      <c r="A420" s="248" t="s">
        <v>509</v>
      </c>
      <c r="B420" s="58" t="s">
        <v>1786</v>
      </c>
      <c r="C420" s="148" t="s">
        <v>1785</v>
      </c>
      <c r="D420" s="33" t="s">
        <v>1779</v>
      </c>
      <c r="E420" s="33"/>
      <c r="F420" s="33"/>
      <c r="G420" s="33"/>
      <c r="H420" s="30" t="s">
        <v>1763</v>
      </c>
      <c r="I420" s="30">
        <v>1843</v>
      </c>
      <c r="J420" s="212">
        <v>43763</v>
      </c>
      <c r="K420" s="158"/>
      <c r="L420" s="158"/>
      <c r="M420" s="51">
        <f>40-1</f>
        <v>39</v>
      </c>
      <c r="N420" s="51">
        <v>39</v>
      </c>
      <c r="O420" s="51"/>
      <c r="P420" s="158">
        <f>3324808453-83120211</f>
        <v>3241688242</v>
      </c>
      <c r="Q420" s="158"/>
      <c r="R420" s="158"/>
      <c r="S420" s="158"/>
      <c r="T420" s="517">
        <v>1781920336</v>
      </c>
      <c r="U420" s="158">
        <v>20</v>
      </c>
      <c r="V420" s="311">
        <v>43770</v>
      </c>
      <c r="W420" s="311"/>
      <c r="X420" s="311"/>
      <c r="Y420" s="175">
        <v>1459767906</v>
      </c>
      <c r="Z420" s="72">
        <v>20</v>
      </c>
      <c r="AA420" s="484">
        <v>43980</v>
      </c>
      <c r="AB420" s="585"/>
      <c r="AC420" s="92"/>
      <c r="AD420" s="158"/>
      <c r="AE420" s="158">
        <f t="shared" ref="AE420" si="77">P420-T420-Y420-AG420</f>
        <v>0</v>
      </c>
      <c r="AF420" s="158"/>
      <c r="AG420" s="94">
        <v>0</v>
      </c>
      <c r="AH420" s="94"/>
      <c r="AI420" s="94"/>
      <c r="AJ420" s="158">
        <f t="shared" si="75"/>
        <v>0</v>
      </c>
      <c r="AK420" s="158">
        <v>877</v>
      </c>
      <c r="AL420" s="158">
        <v>20</v>
      </c>
      <c r="AM420" s="72"/>
      <c r="AN420" s="72">
        <v>39</v>
      </c>
      <c r="AO420" s="158"/>
      <c r="AP420" s="158"/>
      <c r="AQ420" s="158"/>
      <c r="AR420" s="158"/>
      <c r="AS420" s="493">
        <v>0</v>
      </c>
      <c r="AT420" s="485" t="s">
        <v>38</v>
      </c>
      <c r="AU420" s="104" t="s">
        <v>2211</v>
      </c>
      <c r="AV420" s="158"/>
      <c r="AW420" s="158"/>
      <c r="AX420" s="158"/>
      <c r="AY420" s="158"/>
      <c r="AZ420" s="158"/>
      <c r="BA420" s="158"/>
      <c r="BB420" s="69"/>
      <c r="BC420" s="69"/>
      <c r="BD420" s="271"/>
      <c r="BE420" s="271">
        <v>2019</v>
      </c>
      <c r="BF420" s="271">
        <v>2020</v>
      </c>
    </row>
    <row r="421" spans="1:58" s="204" customFormat="1" ht="18" customHeight="1">
      <c r="A421" s="243" t="s">
        <v>509</v>
      </c>
      <c r="B421" s="58" t="s">
        <v>1786</v>
      </c>
      <c r="C421" s="148" t="s">
        <v>1785</v>
      </c>
      <c r="D421" s="33" t="s">
        <v>1779</v>
      </c>
      <c r="E421" s="33"/>
      <c r="F421" s="33"/>
      <c r="G421" s="33"/>
      <c r="H421" s="30" t="s">
        <v>1763</v>
      </c>
      <c r="I421" s="30">
        <v>1843</v>
      </c>
      <c r="J421" s="212">
        <v>43763</v>
      </c>
      <c r="K421" s="5"/>
      <c r="L421" s="5"/>
      <c r="M421" s="51">
        <v>1</v>
      </c>
      <c r="N421" s="89">
        <v>1</v>
      </c>
      <c r="O421" s="89"/>
      <c r="P421" s="5">
        <v>83120211</v>
      </c>
      <c r="Q421" s="5"/>
      <c r="R421" s="158"/>
      <c r="S421" s="5"/>
      <c r="T421" s="586"/>
      <c r="U421" s="5"/>
      <c r="V421" s="329"/>
      <c r="W421" s="329"/>
      <c r="X421" s="329"/>
      <c r="Y421" s="233"/>
      <c r="Z421" s="5"/>
      <c r="AA421" s="247"/>
      <c r="AB421" s="247"/>
      <c r="AC421" s="247">
        <f>AE421-34696830</f>
        <v>48423381</v>
      </c>
      <c r="AD421" s="158"/>
      <c r="AE421" s="158">
        <f>P421-T421-Y421-AG421</f>
        <v>83120211</v>
      </c>
      <c r="AF421" s="158"/>
      <c r="AG421" s="94">
        <v>0</v>
      </c>
      <c r="AH421" s="94"/>
      <c r="AI421" s="94"/>
      <c r="AJ421" s="158">
        <f t="shared" si="75"/>
        <v>83120211</v>
      </c>
      <c r="AK421" s="158">
        <v>877</v>
      </c>
      <c r="AL421" s="158">
        <v>20</v>
      </c>
      <c r="AM421" s="158">
        <v>1</v>
      </c>
      <c r="AN421" s="158"/>
      <c r="AO421" s="5"/>
      <c r="AP421" s="5"/>
      <c r="AQ421" s="5"/>
      <c r="AR421" s="5"/>
      <c r="AS421" s="4">
        <v>0</v>
      </c>
      <c r="AT421" s="28" t="s">
        <v>521</v>
      </c>
      <c r="AU421" s="104" t="s">
        <v>2212</v>
      </c>
      <c r="AV421" s="5"/>
      <c r="AW421" s="5"/>
      <c r="AX421" s="5"/>
      <c r="AY421" s="5"/>
      <c r="AZ421" s="5"/>
      <c r="BA421" s="5"/>
      <c r="BB421" s="276"/>
      <c r="BC421" s="276"/>
      <c r="BD421" s="470"/>
      <c r="BE421" s="271">
        <v>2019</v>
      </c>
      <c r="BF421" s="271">
        <v>2020</v>
      </c>
    </row>
    <row r="422" spans="1:58" s="204" customFormat="1" ht="28.5" customHeight="1">
      <c r="A422" s="160" t="s">
        <v>509</v>
      </c>
      <c r="B422" s="58" t="s">
        <v>1938</v>
      </c>
      <c r="C422" s="55" t="s">
        <v>1937</v>
      </c>
      <c r="D422" s="33" t="s">
        <v>1234</v>
      </c>
      <c r="E422" s="33"/>
      <c r="F422" s="33"/>
      <c r="G422" s="33"/>
      <c r="H422" s="30" t="s">
        <v>1920</v>
      </c>
      <c r="I422" s="30">
        <v>2030</v>
      </c>
      <c r="J422" s="212">
        <v>43795</v>
      </c>
      <c r="K422" s="158"/>
      <c r="L422" s="158"/>
      <c r="M422" s="51">
        <f>43-1</f>
        <v>42</v>
      </c>
      <c r="N422" s="51">
        <v>42</v>
      </c>
      <c r="O422" s="51"/>
      <c r="P422" s="158">
        <f>3583086262-83327587</f>
        <v>3499758675</v>
      </c>
      <c r="Q422" s="158"/>
      <c r="R422" s="158"/>
      <c r="S422" s="158"/>
      <c r="T422" s="586">
        <v>1921277702</v>
      </c>
      <c r="U422" s="158">
        <v>20</v>
      </c>
      <c r="V422" s="311">
        <v>43800</v>
      </c>
      <c r="W422" s="311"/>
      <c r="X422" s="311"/>
      <c r="Y422" s="94"/>
      <c r="Z422" s="158"/>
      <c r="AA422" s="158"/>
      <c r="AB422" s="158"/>
      <c r="AC422" s="158"/>
      <c r="AD422" s="158"/>
      <c r="AE422" s="158">
        <f>P422-T422-Y422-AG422</f>
        <v>0</v>
      </c>
      <c r="AF422" s="158"/>
      <c r="AG422" s="158">
        <f t="shared" ref="AG422:AG424" si="78">P422-T422-Y422</f>
        <v>1578480973</v>
      </c>
      <c r="AH422" s="158"/>
      <c r="AI422" s="158"/>
      <c r="AJ422" s="158">
        <f t="shared" si="75"/>
        <v>1578480973</v>
      </c>
      <c r="AK422" s="158">
        <v>877</v>
      </c>
      <c r="AL422" s="158">
        <v>20</v>
      </c>
      <c r="AM422" s="158">
        <v>42</v>
      </c>
      <c r="AN422" s="158"/>
      <c r="AO422" s="158"/>
      <c r="AP422" s="158"/>
      <c r="AQ422" s="158"/>
      <c r="AR422" s="158"/>
      <c r="AS422" s="2">
        <v>0</v>
      </c>
      <c r="AT422" s="58" t="s">
        <v>521</v>
      </c>
      <c r="AU422" s="104" t="s">
        <v>1565</v>
      </c>
      <c r="AV422" s="158"/>
      <c r="AW422" s="158"/>
      <c r="AX422" s="158"/>
      <c r="AY422" s="158"/>
      <c r="AZ422" s="158"/>
      <c r="BA422" s="158"/>
      <c r="BB422" s="158"/>
      <c r="BC422" s="158"/>
      <c r="BD422" s="271"/>
      <c r="BE422" s="271">
        <v>2019</v>
      </c>
      <c r="BF422" s="271">
        <v>2020</v>
      </c>
    </row>
    <row r="423" spans="1:58" s="204" customFormat="1" ht="28.5" customHeight="1">
      <c r="A423" s="160" t="s">
        <v>509</v>
      </c>
      <c r="B423" s="58" t="s">
        <v>1938</v>
      </c>
      <c r="C423" s="55" t="s">
        <v>1937</v>
      </c>
      <c r="D423" s="33" t="s">
        <v>1234</v>
      </c>
      <c r="E423" s="33"/>
      <c r="F423" s="33"/>
      <c r="G423" s="33"/>
      <c r="H423" s="30" t="s">
        <v>1920</v>
      </c>
      <c r="I423" s="30">
        <v>2030</v>
      </c>
      <c r="J423" s="212">
        <v>43795</v>
      </c>
      <c r="K423" s="158"/>
      <c r="L423" s="158"/>
      <c r="M423" s="51">
        <v>1</v>
      </c>
      <c r="N423" s="51">
        <v>1</v>
      </c>
      <c r="O423" s="51"/>
      <c r="P423" s="158">
        <v>83327587</v>
      </c>
      <c r="Q423" s="158"/>
      <c r="R423" s="158"/>
      <c r="S423" s="158"/>
      <c r="T423" s="586"/>
      <c r="U423" s="158"/>
      <c r="V423" s="311"/>
      <c r="W423" s="311"/>
      <c r="X423" s="311"/>
      <c r="Y423" s="94"/>
      <c r="Z423" s="158"/>
      <c r="AA423" s="158"/>
      <c r="AB423" s="158"/>
      <c r="AC423" s="158"/>
      <c r="AD423" s="158"/>
      <c r="AE423" s="158">
        <f>P423-T423-Y423-AG423</f>
        <v>83327587</v>
      </c>
      <c r="AF423" s="158"/>
      <c r="AG423" s="94">
        <v>0</v>
      </c>
      <c r="AH423" s="94"/>
      <c r="AI423" s="94"/>
      <c r="AJ423" s="158">
        <f t="shared" si="75"/>
        <v>83327587</v>
      </c>
      <c r="AK423" s="158">
        <v>877</v>
      </c>
      <c r="AL423" s="158">
        <v>20</v>
      </c>
      <c r="AM423" s="158">
        <v>1</v>
      </c>
      <c r="AN423" s="158"/>
      <c r="AO423" s="158"/>
      <c r="AP423" s="158"/>
      <c r="AQ423" s="158"/>
      <c r="AR423" s="158"/>
      <c r="AS423" s="2">
        <v>0</v>
      </c>
      <c r="AT423" s="58" t="s">
        <v>521</v>
      </c>
      <c r="AU423" s="104" t="s">
        <v>2217</v>
      </c>
      <c r="AV423" s="158"/>
      <c r="AW423" s="158"/>
      <c r="AX423" s="158"/>
      <c r="AY423" s="158"/>
      <c r="AZ423" s="158"/>
      <c r="BA423" s="158"/>
      <c r="BB423" s="158"/>
      <c r="BC423" s="158"/>
      <c r="BD423" s="271"/>
      <c r="BE423" s="271">
        <v>2019</v>
      </c>
      <c r="BF423" s="271">
        <v>2020</v>
      </c>
    </row>
    <row r="424" spans="1:58" s="204" customFormat="1" ht="18" customHeight="1">
      <c r="A424" s="160" t="s">
        <v>509</v>
      </c>
      <c r="B424" s="58" t="s">
        <v>1940</v>
      </c>
      <c r="C424" s="489" t="s">
        <v>1939</v>
      </c>
      <c r="D424" s="483" t="s">
        <v>1015</v>
      </c>
      <c r="E424" s="483"/>
      <c r="F424" s="483"/>
      <c r="G424" s="483"/>
      <c r="H424" s="30" t="s">
        <v>1920</v>
      </c>
      <c r="I424" s="30">
        <v>2049</v>
      </c>
      <c r="J424" s="212">
        <v>43797</v>
      </c>
      <c r="K424" s="269"/>
      <c r="L424" s="374"/>
      <c r="M424" s="51">
        <v>15</v>
      </c>
      <c r="N424" s="51">
        <v>15</v>
      </c>
      <c r="O424" s="51"/>
      <c r="P424" s="158">
        <v>1053629582</v>
      </c>
      <c r="Q424" s="269"/>
      <c r="R424" s="158"/>
      <c r="S424" s="269"/>
      <c r="T424" s="586">
        <v>578655480</v>
      </c>
      <c r="U424" s="158">
        <v>20</v>
      </c>
      <c r="V424" s="311">
        <v>43800</v>
      </c>
      <c r="W424" s="311"/>
      <c r="X424" s="311"/>
      <c r="Y424" s="623">
        <v>474974102</v>
      </c>
      <c r="Z424" s="72">
        <v>20</v>
      </c>
      <c r="AA424" s="484">
        <v>43920</v>
      </c>
      <c r="AB424" s="615"/>
      <c r="AC424" s="268"/>
      <c r="AD424" s="158"/>
      <c r="AE424" s="158">
        <v>0</v>
      </c>
      <c r="AF424" s="158"/>
      <c r="AG424" s="158">
        <f t="shared" si="78"/>
        <v>0</v>
      </c>
      <c r="AH424" s="158"/>
      <c r="AI424" s="158"/>
      <c r="AJ424" s="158">
        <f t="shared" si="75"/>
        <v>0</v>
      </c>
      <c r="AK424" s="158">
        <v>877</v>
      </c>
      <c r="AL424" s="158">
        <v>20</v>
      </c>
      <c r="AM424" s="72"/>
      <c r="AN424" s="72">
        <v>15</v>
      </c>
      <c r="AO424" s="471"/>
      <c r="AP424" s="471"/>
      <c r="AQ424" s="471"/>
      <c r="AR424" s="471"/>
      <c r="AS424" s="2">
        <v>0</v>
      </c>
      <c r="AT424" s="485" t="s">
        <v>38</v>
      </c>
      <c r="AU424" s="104" t="s">
        <v>1565</v>
      </c>
      <c r="AV424" s="268"/>
      <c r="AW424" s="268"/>
      <c r="AX424" s="268"/>
      <c r="AY424" s="268"/>
      <c r="AZ424" s="268"/>
      <c r="BA424" s="268"/>
      <c r="BB424" s="268"/>
      <c r="BC424" s="268"/>
      <c r="BD424" s="268"/>
      <c r="BE424" s="271">
        <v>2019</v>
      </c>
      <c r="BF424" s="271">
        <v>2020</v>
      </c>
    </row>
    <row r="425" spans="1:58" s="204" customFormat="1" ht="18" customHeight="1">
      <c r="A425" s="248" t="s">
        <v>509</v>
      </c>
      <c r="B425" s="58" t="s">
        <v>173</v>
      </c>
      <c r="C425" s="526" t="s">
        <v>2237</v>
      </c>
      <c r="D425" s="526" t="s">
        <v>2238</v>
      </c>
      <c r="E425" s="536"/>
      <c r="F425" s="538">
        <v>4</v>
      </c>
      <c r="G425" s="538"/>
      <c r="H425" s="533" t="s">
        <v>2236</v>
      </c>
      <c r="I425" s="78">
        <v>302</v>
      </c>
      <c r="J425" s="459">
        <v>43907</v>
      </c>
      <c r="K425" s="529"/>
      <c r="L425" s="530"/>
      <c r="M425" s="60"/>
      <c r="N425" s="606">
        <v>13</v>
      </c>
      <c r="O425" s="60"/>
      <c r="P425" s="524">
        <f>(592557137+490701500)</f>
        <v>1083258637</v>
      </c>
      <c r="Q425" s="529"/>
      <c r="R425" s="61"/>
      <c r="S425" s="529"/>
      <c r="T425" s="586">
        <v>592557137</v>
      </c>
      <c r="U425" s="524">
        <v>10</v>
      </c>
      <c r="V425" s="527">
        <v>43921</v>
      </c>
      <c r="W425" s="527"/>
      <c r="X425" s="527"/>
      <c r="Y425" s="61"/>
      <c r="Z425" s="521">
        <v>10</v>
      </c>
      <c r="AA425" s="311"/>
      <c r="AB425" s="311"/>
      <c r="AC425" s="268"/>
      <c r="AD425" s="158"/>
      <c r="AE425" s="158"/>
      <c r="AF425" s="61"/>
      <c r="AG425" s="61">
        <v>0</v>
      </c>
      <c r="AH425" s="524">
        <v>1083258637</v>
      </c>
      <c r="AI425" s="524"/>
      <c r="AJ425" s="524">
        <f>(AH425-Q425-T425-Y425)</f>
        <v>490701500</v>
      </c>
      <c r="AK425" s="61">
        <v>877</v>
      </c>
      <c r="AL425" s="61">
        <v>10</v>
      </c>
      <c r="AM425" s="61"/>
      <c r="AN425" s="524">
        <v>13</v>
      </c>
      <c r="AO425" s="532"/>
      <c r="AP425" s="532"/>
      <c r="AQ425" s="532"/>
      <c r="AR425" s="532"/>
      <c r="AS425" s="2">
        <v>0</v>
      </c>
      <c r="AT425" s="485" t="s">
        <v>38</v>
      </c>
      <c r="AU425" s="462"/>
      <c r="AV425" s="531"/>
      <c r="AW425" s="531"/>
      <c r="AX425" s="531"/>
      <c r="AY425" s="531"/>
      <c r="AZ425" s="531"/>
      <c r="BA425" s="531"/>
      <c r="BB425" s="531"/>
      <c r="BC425" s="531"/>
      <c r="BD425" s="531"/>
      <c r="BE425" s="464"/>
      <c r="BF425" s="464">
        <v>2020</v>
      </c>
    </row>
    <row r="426" spans="1:58" s="204" customFormat="1" ht="18" customHeight="1">
      <c r="A426" s="248" t="s">
        <v>509</v>
      </c>
      <c r="B426" s="58" t="s">
        <v>173</v>
      </c>
      <c r="C426" s="536" t="s">
        <v>2251</v>
      </c>
      <c r="D426" s="526" t="s">
        <v>1167</v>
      </c>
      <c r="E426" s="536"/>
      <c r="F426" s="538">
        <v>4</v>
      </c>
      <c r="G426" s="538"/>
      <c r="H426" s="533" t="s">
        <v>2236</v>
      </c>
      <c r="I426" s="78">
        <v>251</v>
      </c>
      <c r="J426" s="459">
        <v>43893</v>
      </c>
      <c r="K426" s="529"/>
      <c r="L426" s="530"/>
      <c r="M426" s="60"/>
      <c r="N426" s="606">
        <v>31</v>
      </c>
      <c r="O426" s="60"/>
      <c r="P426" s="524">
        <f>(1229809054+1029632353)</f>
        <v>2259441407</v>
      </c>
      <c r="Q426" s="529"/>
      <c r="R426" s="61"/>
      <c r="S426" s="529"/>
      <c r="T426" s="586">
        <v>1229809054</v>
      </c>
      <c r="U426" s="524">
        <v>10</v>
      </c>
      <c r="V426" s="527">
        <v>43950</v>
      </c>
      <c r="W426" s="527"/>
      <c r="X426" s="527"/>
      <c r="Y426" s="61"/>
      <c r="Z426" s="521">
        <v>10</v>
      </c>
      <c r="AA426" s="311"/>
      <c r="AB426" s="311"/>
      <c r="AC426" s="268"/>
      <c r="AD426" s="158"/>
      <c r="AE426" s="158"/>
      <c r="AF426" s="61"/>
      <c r="AG426" s="61"/>
      <c r="AH426" s="524">
        <v>2259441407</v>
      </c>
      <c r="AI426" s="524"/>
      <c r="AJ426" s="524">
        <f>(AH426-Q426-T426-Y426)</f>
        <v>1029632353</v>
      </c>
      <c r="AK426" s="61">
        <v>877</v>
      </c>
      <c r="AL426" s="61">
        <v>10</v>
      </c>
      <c r="AM426" s="61"/>
      <c r="AN426" s="524">
        <v>31</v>
      </c>
      <c r="AO426" s="532"/>
      <c r="AP426" s="532"/>
      <c r="AQ426" s="532"/>
      <c r="AR426" s="532"/>
      <c r="AS426" s="2">
        <v>0</v>
      </c>
      <c r="AT426" s="485" t="s">
        <v>38</v>
      </c>
      <c r="AU426" s="462"/>
      <c r="AV426" s="531"/>
      <c r="AW426" s="531"/>
      <c r="AX426" s="531"/>
      <c r="AY426" s="531"/>
      <c r="AZ426" s="531"/>
      <c r="BA426" s="531"/>
      <c r="BB426" s="531"/>
      <c r="BC426" s="531"/>
      <c r="BD426" s="531"/>
      <c r="BE426" s="464"/>
      <c r="BF426" s="464">
        <v>2020</v>
      </c>
    </row>
    <row r="427" spans="1:58" s="204" customFormat="1" ht="33" customHeight="1">
      <c r="A427" s="248" t="s">
        <v>509</v>
      </c>
      <c r="B427" s="520" t="s">
        <v>1940</v>
      </c>
      <c r="C427" s="526" t="s">
        <v>2252</v>
      </c>
      <c r="D427" s="548" t="s">
        <v>1015</v>
      </c>
      <c r="E427" s="536"/>
      <c r="F427" s="538">
        <v>4</v>
      </c>
      <c r="G427" s="538"/>
      <c r="H427" s="533" t="s">
        <v>2236</v>
      </c>
      <c r="I427" s="549" t="s">
        <v>2254</v>
      </c>
      <c r="J427" s="549" t="s">
        <v>2253</v>
      </c>
      <c r="K427" s="529"/>
      <c r="L427" s="530"/>
      <c r="M427" s="60"/>
      <c r="N427" s="539">
        <v>51</v>
      </c>
      <c r="O427" s="60"/>
      <c r="P427" s="524">
        <f>(1937684886+1926644179-145823738)</f>
        <v>3718505327</v>
      </c>
      <c r="Q427" s="529"/>
      <c r="R427" s="61"/>
      <c r="S427" s="529"/>
      <c r="T427" s="586">
        <v>1937684886</v>
      </c>
      <c r="U427" s="524">
        <v>20</v>
      </c>
      <c r="V427" s="527">
        <v>43950</v>
      </c>
      <c r="W427" s="527"/>
      <c r="X427" s="527"/>
      <c r="Y427" s="61"/>
      <c r="Z427" s="521">
        <v>20</v>
      </c>
      <c r="AA427" s="311"/>
      <c r="AB427" s="311"/>
      <c r="AC427" s="268"/>
      <c r="AD427" s="158"/>
      <c r="AE427" s="158"/>
      <c r="AF427" s="61"/>
      <c r="AG427" s="61"/>
      <c r="AH427" s="524">
        <v>3864329065</v>
      </c>
      <c r="AI427" s="524"/>
      <c r="AJ427" s="524">
        <f>(AH427-Q427-T427-Y427)</f>
        <v>1926644179</v>
      </c>
      <c r="AK427" s="61">
        <v>877</v>
      </c>
      <c r="AL427" s="61">
        <v>20</v>
      </c>
      <c r="AM427" s="61"/>
      <c r="AN427" s="524">
        <v>51</v>
      </c>
      <c r="AO427" s="532"/>
      <c r="AP427" s="532"/>
      <c r="AQ427" s="532"/>
      <c r="AR427" s="532"/>
      <c r="AS427" s="2">
        <v>0</v>
      </c>
      <c r="AT427" s="485" t="s">
        <v>38</v>
      </c>
      <c r="AU427" s="462" t="s">
        <v>2260</v>
      </c>
      <c r="AV427" s="531"/>
      <c r="AW427" s="531"/>
      <c r="AX427" s="531"/>
      <c r="AY427" s="531"/>
      <c r="AZ427" s="531"/>
      <c r="BA427" s="531"/>
      <c r="BB427" s="531"/>
      <c r="BC427" s="531"/>
      <c r="BD427" s="531"/>
      <c r="BE427" s="464"/>
      <c r="BF427" s="464">
        <v>2020</v>
      </c>
    </row>
    <row r="428" spans="1:58" s="204" customFormat="1" ht="33" customHeight="1">
      <c r="A428" s="248" t="s">
        <v>509</v>
      </c>
      <c r="B428" s="520" t="s">
        <v>1940</v>
      </c>
      <c r="C428" s="526" t="s">
        <v>2252</v>
      </c>
      <c r="D428" s="548" t="s">
        <v>1015</v>
      </c>
      <c r="E428" s="533" t="s">
        <v>2236</v>
      </c>
      <c r="F428" s="549" t="s">
        <v>2254</v>
      </c>
      <c r="G428" s="538"/>
      <c r="H428" s="533" t="s">
        <v>2236</v>
      </c>
      <c r="I428" s="549" t="s">
        <v>2254</v>
      </c>
      <c r="J428" s="549" t="s">
        <v>2253</v>
      </c>
      <c r="K428" s="529"/>
      <c r="L428" s="530"/>
      <c r="M428" s="60"/>
      <c r="N428" s="539">
        <v>2</v>
      </c>
      <c r="O428" s="60"/>
      <c r="P428" s="524">
        <v>145823738</v>
      </c>
      <c r="Q428" s="529"/>
      <c r="R428" s="61"/>
      <c r="S428" s="529"/>
      <c r="T428" s="586"/>
      <c r="U428" s="524"/>
      <c r="V428" s="527"/>
      <c r="W428" s="527"/>
      <c r="X428" s="527"/>
      <c r="Y428" s="61"/>
      <c r="Z428" s="521"/>
      <c r="AA428" s="311"/>
      <c r="AB428" s="311"/>
      <c r="AC428" s="268"/>
      <c r="AD428" s="158"/>
      <c r="AE428" s="158"/>
      <c r="AF428" s="61"/>
      <c r="AG428" s="61"/>
      <c r="AH428" s="524"/>
      <c r="AI428" s="524"/>
      <c r="AJ428" s="524">
        <f>(AH428-Q428-T428-Y428)</f>
        <v>0</v>
      </c>
      <c r="AK428" s="61">
        <v>877</v>
      </c>
      <c r="AL428" s="61">
        <v>20</v>
      </c>
      <c r="AM428" s="61">
        <v>2</v>
      </c>
      <c r="AN428" s="524"/>
      <c r="AO428" s="532"/>
      <c r="AP428" s="532"/>
      <c r="AQ428" s="532"/>
      <c r="AR428" s="532"/>
      <c r="AS428" s="2">
        <v>0</v>
      </c>
      <c r="AT428" s="58" t="s">
        <v>521</v>
      </c>
      <c r="AU428" s="462"/>
      <c r="AV428" s="531"/>
      <c r="AW428" s="531"/>
      <c r="AX428" s="531"/>
      <c r="AY428" s="531"/>
      <c r="AZ428" s="531"/>
      <c r="BA428" s="531"/>
      <c r="BB428" s="531"/>
      <c r="BC428" s="531"/>
      <c r="BD428" s="531"/>
      <c r="BE428" s="464"/>
      <c r="BF428" s="464">
        <v>2020</v>
      </c>
    </row>
    <row r="429" spans="1:58" s="204" customFormat="1" ht="33" customHeight="1">
      <c r="A429" s="248" t="s">
        <v>509</v>
      </c>
      <c r="B429" s="58" t="s">
        <v>173</v>
      </c>
      <c r="C429" s="526" t="s">
        <v>2261</v>
      </c>
      <c r="D429" s="526" t="s">
        <v>1167</v>
      </c>
      <c r="E429" s="536"/>
      <c r="F429" s="538">
        <v>4</v>
      </c>
      <c r="G429" s="538"/>
      <c r="H429" s="533" t="s">
        <v>2236</v>
      </c>
      <c r="I429" s="551" t="s">
        <v>2262</v>
      </c>
      <c r="J429" s="549" t="s">
        <v>2263</v>
      </c>
      <c r="K429" s="529"/>
      <c r="L429" s="530"/>
      <c r="M429" s="60"/>
      <c r="N429" s="606">
        <v>14</v>
      </c>
      <c r="O429" s="60"/>
      <c r="P429" s="524">
        <f>(559839049+460927352)</f>
        <v>1020766401</v>
      </c>
      <c r="Q429" s="529"/>
      <c r="R429" s="61"/>
      <c r="S429" s="529"/>
      <c r="T429" s="586">
        <v>559839049</v>
      </c>
      <c r="U429" s="524">
        <v>20</v>
      </c>
      <c r="V429" s="527">
        <v>43951</v>
      </c>
      <c r="W429" s="527"/>
      <c r="X429" s="527"/>
      <c r="Y429" s="61"/>
      <c r="Z429" s="521">
        <v>20</v>
      </c>
      <c r="AA429" s="311"/>
      <c r="AB429" s="311"/>
      <c r="AC429" s="268"/>
      <c r="AD429" s="158"/>
      <c r="AE429" s="158"/>
      <c r="AF429" s="61"/>
      <c r="AG429" s="61"/>
      <c r="AH429" s="524">
        <v>1020766401</v>
      </c>
      <c r="AI429" s="524"/>
      <c r="AJ429" s="524">
        <f>(AH429-Q429-T429-Y429)</f>
        <v>460927352</v>
      </c>
      <c r="AK429" s="61">
        <v>877</v>
      </c>
      <c r="AL429" s="61">
        <v>20</v>
      </c>
      <c r="AM429" s="61"/>
      <c r="AN429" s="524">
        <v>14</v>
      </c>
      <c r="AO429" s="532"/>
      <c r="AP429" s="532"/>
      <c r="AQ429" s="532"/>
      <c r="AR429" s="532"/>
      <c r="AS429" s="2">
        <v>0</v>
      </c>
      <c r="AT429" s="485" t="s">
        <v>38</v>
      </c>
      <c r="AU429" s="462" t="s">
        <v>2260</v>
      </c>
      <c r="AV429" s="531"/>
      <c r="AW429" s="531"/>
      <c r="AX429" s="531"/>
      <c r="AY429" s="531"/>
      <c r="AZ429" s="531"/>
      <c r="BA429" s="531"/>
      <c r="BB429" s="531"/>
      <c r="BC429" s="531"/>
      <c r="BD429" s="531"/>
      <c r="BE429" s="464"/>
      <c r="BF429" s="464">
        <v>2020</v>
      </c>
    </row>
    <row r="430" spans="1:58" ht="15" customHeight="1">
      <c r="A430" s="371" t="s">
        <v>510</v>
      </c>
      <c r="B430" s="371"/>
      <c r="C430" s="371"/>
      <c r="D430" s="371"/>
      <c r="E430" s="371"/>
      <c r="F430" s="371"/>
      <c r="G430" s="371"/>
      <c r="H430" s="371"/>
      <c r="I430" s="371"/>
      <c r="J430" s="371"/>
      <c r="K430" s="424">
        <f>SUM(K431:K622)</f>
        <v>689</v>
      </c>
      <c r="L430" s="424">
        <f>SUM(L431:L622)</f>
        <v>1029</v>
      </c>
      <c r="M430" s="424">
        <f>SUM(M431:M622)</f>
        <v>903</v>
      </c>
      <c r="N430" s="424">
        <f>SUM(N431:N629)</f>
        <v>1090</v>
      </c>
      <c r="O430" s="370">
        <f>SUM(O431:O622)</f>
        <v>85</v>
      </c>
      <c r="P430" s="371"/>
      <c r="Q430" s="371"/>
      <c r="R430" s="371"/>
      <c r="S430" s="371"/>
      <c r="T430" s="586"/>
      <c r="U430" s="371"/>
      <c r="V430" s="371"/>
      <c r="W430" s="371"/>
      <c r="X430" s="371"/>
      <c r="Y430" s="371"/>
      <c r="Z430" s="371"/>
      <c r="AA430" s="371"/>
      <c r="AB430" s="371"/>
      <c r="AC430" s="371"/>
      <c r="AD430" s="371"/>
      <c r="AE430" s="371"/>
      <c r="AF430" s="371"/>
      <c r="AG430" s="371"/>
      <c r="AH430" s="371"/>
      <c r="AI430" s="371"/>
      <c r="AJ430" s="371"/>
      <c r="AK430" s="371"/>
      <c r="AL430" s="371"/>
      <c r="AM430" s="424">
        <f t="shared" ref="AM430:AR430" si="79">SUM(AM431:AM628)</f>
        <v>218</v>
      </c>
      <c r="AN430" s="424">
        <f t="shared" si="79"/>
        <v>892</v>
      </c>
      <c r="AO430" s="424">
        <f t="shared" si="79"/>
        <v>0</v>
      </c>
      <c r="AP430" s="424">
        <f t="shared" si="79"/>
        <v>39</v>
      </c>
      <c r="AQ430" s="424">
        <f t="shared" si="79"/>
        <v>0</v>
      </c>
      <c r="AR430" s="424">
        <f t="shared" si="79"/>
        <v>0</v>
      </c>
      <c r="AS430" s="371"/>
      <c r="AT430" s="371"/>
      <c r="AU430" s="385"/>
      <c r="AV430" s="424">
        <f>SUM(AV431:AV622)</f>
        <v>1162</v>
      </c>
      <c r="AW430" s="424">
        <f>SUM(AW431:AW622)</f>
        <v>984</v>
      </c>
      <c r="AX430" s="424">
        <f>SUM(AX431:AX622)</f>
        <v>729</v>
      </c>
      <c r="AY430" s="424">
        <f>SUM(AY431:AY622)</f>
        <v>1007</v>
      </c>
      <c r="AZ430" s="424"/>
      <c r="BA430" s="424">
        <f>SUM(BA431:BA622)</f>
        <v>570</v>
      </c>
      <c r="BB430" s="424">
        <f>SUM(BB431:BB622)</f>
        <v>1166</v>
      </c>
      <c r="BC430" s="424">
        <f>SUM(BC431:BC622)</f>
        <v>32</v>
      </c>
      <c r="BD430" s="371"/>
      <c r="BE430" s="371">
        <v>2019</v>
      </c>
      <c r="BF430" s="371">
        <v>2020</v>
      </c>
    </row>
    <row r="431" spans="1:58" s="204" customFormat="1" ht="15" hidden="1" customHeight="1">
      <c r="A431" s="160" t="s">
        <v>510</v>
      </c>
      <c r="B431" s="58" t="s">
        <v>186</v>
      </c>
      <c r="C431" s="148" t="s">
        <v>843</v>
      </c>
      <c r="D431" s="33" t="s">
        <v>61</v>
      </c>
      <c r="E431" s="33"/>
      <c r="F431" s="33"/>
      <c r="G431" s="33"/>
      <c r="H431" s="30"/>
      <c r="I431" s="58"/>
      <c r="J431" s="212"/>
      <c r="K431" s="158"/>
      <c r="L431" s="158"/>
      <c r="M431" s="158"/>
      <c r="N431" s="158"/>
      <c r="O431" s="158"/>
      <c r="P431" s="158"/>
      <c r="Q431" s="158"/>
      <c r="R431" s="158"/>
      <c r="S431" s="158"/>
      <c r="T431" s="586"/>
      <c r="U431" s="158"/>
      <c r="V431" s="311"/>
      <c r="W431" s="311"/>
      <c r="X431" s="311"/>
      <c r="Y431" s="94"/>
      <c r="Z431" s="158"/>
      <c r="AA431" s="158"/>
      <c r="AB431" s="158"/>
      <c r="AC431" s="158"/>
      <c r="AD431" s="158"/>
      <c r="AE431" s="158"/>
      <c r="AF431" s="158"/>
      <c r="AG431" s="158"/>
      <c r="AH431" s="158"/>
      <c r="AI431" s="158"/>
      <c r="AJ431" s="158"/>
      <c r="AK431" s="158"/>
      <c r="AL431" s="158"/>
      <c r="AM431" s="158"/>
      <c r="AN431" s="158"/>
      <c r="AO431" s="158"/>
      <c r="AP431" s="158"/>
      <c r="AQ431" s="158"/>
      <c r="AR431" s="158"/>
      <c r="AS431" s="2"/>
      <c r="AT431" s="58"/>
      <c r="AU431" s="102"/>
      <c r="AV431" s="158">
        <v>40</v>
      </c>
      <c r="AW431" s="158"/>
      <c r="AX431" s="158"/>
      <c r="AY431" s="158"/>
      <c r="AZ431" s="158"/>
      <c r="BA431" s="158"/>
      <c r="BB431" s="69"/>
      <c r="BC431" s="69"/>
      <c r="BD431" s="271">
        <v>2016</v>
      </c>
      <c r="BE431" s="271"/>
      <c r="BF431" s="271"/>
    </row>
    <row r="432" spans="1:58" s="204" customFormat="1" ht="15" hidden="1" customHeight="1">
      <c r="A432" s="160" t="s">
        <v>510</v>
      </c>
      <c r="B432" s="58" t="s">
        <v>205</v>
      </c>
      <c r="C432" s="148" t="s">
        <v>844</v>
      </c>
      <c r="D432" s="33" t="s">
        <v>191</v>
      </c>
      <c r="E432" s="33"/>
      <c r="F432" s="33"/>
      <c r="G432" s="33"/>
      <c r="H432" s="115" t="s">
        <v>673</v>
      </c>
      <c r="I432" s="30"/>
      <c r="J432" s="212"/>
      <c r="K432" s="158"/>
      <c r="L432" s="158"/>
      <c r="M432" s="158"/>
      <c r="N432" s="158"/>
      <c r="O432" s="158"/>
      <c r="P432" s="158"/>
      <c r="Q432" s="158"/>
      <c r="R432" s="158"/>
      <c r="S432" s="158"/>
      <c r="T432" s="586"/>
      <c r="U432" s="158"/>
      <c r="V432" s="311"/>
      <c r="W432" s="311"/>
      <c r="X432" s="311"/>
      <c r="Y432" s="94"/>
      <c r="Z432" s="158"/>
      <c r="AA432" s="158"/>
      <c r="AB432" s="158"/>
      <c r="AC432" s="158"/>
      <c r="AD432" s="158"/>
      <c r="AE432" s="158"/>
      <c r="AF432" s="158"/>
      <c r="AG432" s="158"/>
      <c r="AH432" s="158"/>
      <c r="AI432" s="158"/>
      <c r="AJ432" s="158"/>
      <c r="AK432" s="158"/>
      <c r="AL432" s="158"/>
      <c r="AM432" s="158"/>
      <c r="AN432" s="158"/>
      <c r="AO432" s="158"/>
      <c r="AP432" s="158"/>
      <c r="AQ432" s="158"/>
      <c r="AR432" s="158"/>
      <c r="AS432" s="2">
        <v>1</v>
      </c>
      <c r="AT432" s="58" t="s">
        <v>646</v>
      </c>
      <c r="AU432" s="105"/>
      <c r="AV432" s="158"/>
      <c r="AW432" s="158">
        <v>23</v>
      </c>
      <c r="AX432" s="158"/>
      <c r="AY432" s="158"/>
      <c r="AZ432" s="158"/>
      <c r="BA432" s="158"/>
      <c r="BB432" s="69"/>
      <c r="BC432" s="69"/>
      <c r="BD432" s="271">
        <v>2017</v>
      </c>
      <c r="BE432" s="271"/>
      <c r="BF432" s="271"/>
    </row>
    <row r="433" spans="1:58" s="204" customFormat="1" ht="15" hidden="1" customHeight="1">
      <c r="A433" s="160" t="s">
        <v>510</v>
      </c>
      <c r="B433" s="58" t="s">
        <v>188</v>
      </c>
      <c r="C433" s="148" t="s">
        <v>187</v>
      </c>
      <c r="D433" s="33" t="s">
        <v>61</v>
      </c>
      <c r="E433" s="33"/>
      <c r="F433" s="33"/>
      <c r="G433" s="33"/>
      <c r="H433" s="30"/>
      <c r="I433" s="58"/>
      <c r="J433" s="212"/>
      <c r="K433" s="158"/>
      <c r="L433" s="158"/>
      <c r="M433" s="158"/>
      <c r="N433" s="158"/>
      <c r="O433" s="158"/>
      <c r="P433" s="158"/>
      <c r="Q433" s="158"/>
      <c r="R433" s="158"/>
      <c r="S433" s="158"/>
      <c r="T433" s="586"/>
      <c r="U433" s="158"/>
      <c r="V433" s="311"/>
      <c r="W433" s="311"/>
      <c r="X433" s="311"/>
      <c r="Y433" s="94"/>
      <c r="Z433" s="158"/>
      <c r="AA433" s="158"/>
      <c r="AB433" s="158"/>
      <c r="AC433" s="158"/>
      <c r="AD433" s="158"/>
      <c r="AE433" s="158"/>
      <c r="AF433" s="158"/>
      <c r="AG433" s="158"/>
      <c r="AH433" s="158"/>
      <c r="AI433" s="158"/>
      <c r="AJ433" s="158"/>
      <c r="AK433" s="158"/>
      <c r="AL433" s="158"/>
      <c r="AM433" s="158"/>
      <c r="AN433" s="158"/>
      <c r="AO433" s="158"/>
      <c r="AP433" s="158"/>
      <c r="AQ433" s="158"/>
      <c r="AR433" s="158"/>
      <c r="AS433" s="2"/>
      <c r="AT433" s="58"/>
      <c r="AU433" s="105"/>
      <c r="AV433" s="158">
        <v>25</v>
      </c>
      <c r="AW433" s="158"/>
      <c r="AX433" s="158"/>
      <c r="AY433" s="158"/>
      <c r="AZ433" s="158"/>
      <c r="BA433" s="158"/>
      <c r="BB433" s="69"/>
      <c r="BC433" s="69"/>
      <c r="BD433" s="271">
        <v>2016</v>
      </c>
      <c r="BE433" s="271"/>
      <c r="BF433" s="271"/>
    </row>
    <row r="434" spans="1:58" s="204" customFormat="1" ht="15" hidden="1" customHeight="1">
      <c r="A434" s="160" t="s">
        <v>510</v>
      </c>
      <c r="B434" s="58" t="s">
        <v>262</v>
      </c>
      <c r="C434" s="148" t="s">
        <v>554</v>
      </c>
      <c r="D434" s="33" t="s">
        <v>555</v>
      </c>
      <c r="E434" s="33"/>
      <c r="F434" s="33"/>
      <c r="G434" s="33"/>
      <c r="H434" s="30" t="s">
        <v>647</v>
      </c>
      <c r="I434" s="30"/>
      <c r="J434" s="212"/>
      <c r="K434" s="158"/>
      <c r="L434" s="158"/>
      <c r="M434" s="158"/>
      <c r="N434" s="158"/>
      <c r="O434" s="158"/>
      <c r="P434" s="158"/>
      <c r="Q434" s="158"/>
      <c r="R434" s="158"/>
      <c r="S434" s="158"/>
      <c r="T434" s="586"/>
      <c r="U434" s="158"/>
      <c r="V434" s="311"/>
      <c r="W434" s="311"/>
      <c r="X434" s="311"/>
      <c r="Y434" s="94"/>
      <c r="Z434" s="158"/>
      <c r="AA434" s="158"/>
      <c r="AB434" s="158"/>
      <c r="AC434" s="158"/>
      <c r="AD434" s="158"/>
      <c r="AE434" s="158"/>
      <c r="AF434" s="158"/>
      <c r="AG434" s="158"/>
      <c r="AH434" s="158"/>
      <c r="AI434" s="158"/>
      <c r="AJ434" s="158"/>
      <c r="AK434" s="158"/>
      <c r="AL434" s="158"/>
      <c r="AM434" s="158"/>
      <c r="AN434" s="158"/>
      <c r="AO434" s="158"/>
      <c r="AP434" s="158"/>
      <c r="AQ434" s="158"/>
      <c r="AR434" s="158"/>
      <c r="AS434" s="2">
        <v>1</v>
      </c>
      <c r="AT434" s="58" t="s">
        <v>646</v>
      </c>
      <c r="AU434" s="105"/>
      <c r="AV434" s="158"/>
      <c r="AW434" s="158">
        <v>37</v>
      </c>
      <c r="AX434" s="158"/>
      <c r="AY434" s="158"/>
      <c r="AZ434" s="158"/>
      <c r="BA434" s="158"/>
      <c r="BB434" s="69"/>
      <c r="BC434" s="69"/>
      <c r="BD434" s="271">
        <v>2017</v>
      </c>
      <c r="BE434" s="271"/>
      <c r="BF434" s="271"/>
    </row>
    <row r="435" spans="1:58" s="204" customFormat="1" ht="15" hidden="1" customHeight="1">
      <c r="A435" s="160" t="s">
        <v>510</v>
      </c>
      <c r="B435" s="58" t="s">
        <v>188</v>
      </c>
      <c r="C435" s="148" t="s">
        <v>189</v>
      </c>
      <c r="D435" s="33" t="s">
        <v>190</v>
      </c>
      <c r="E435" s="33"/>
      <c r="F435" s="33"/>
      <c r="G435" s="33"/>
      <c r="H435" s="30"/>
      <c r="I435" s="58"/>
      <c r="J435" s="212"/>
      <c r="K435" s="158"/>
      <c r="L435" s="158"/>
      <c r="M435" s="158"/>
      <c r="N435" s="158"/>
      <c r="O435" s="158"/>
      <c r="P435" s="158"/>
      <c r="Q435" s="158"/>
      <c r="R435" s="158"/>
      <c r="S435" s="158"/>
      <c r="T435" s="586"/>
      <c r="U435" s="158"/>
      <c r="V435" s="311"/>
      <c r="W435" s="311"/>
      <c r="X435" s="311"/>
      <c r="Y435" s="94"/>
      <c r="Z435" s="158"/>
      <c r="AA435" s="158"/>
      <c r="AB435" s="158"/>
      <c r="AC435" s="158"/>
      <c r="AD435" s="158"/>
      <c r="AE435" s="158"/>
      <c r="AF435" s="158"/>
      <c r="AG435" s="158"/>
      <c r="AH435" s="158"/>
      <c r="AI435" s="158"/>
      <c r="AJ435" s="158"/>
      <c r="AK435" s="158"/>
      <c r="AL435" s="158"/>
      <c r="AM435" s="158"/>
      <c r="AN435" s="158"/>
      <c r="AO435" s="158"/>
      <c r="AP435" s="158"/>
      <c r="AQ435" s="158"/>
      <c r="AR435" s="158"/>
      <c r="AS435" s="2"/>
      <c r="AT435" s="58"/>
      <c r="AU435" s="105"/>
      <c r="AV435" s="158">
        <v>26</v>
      </c>
      <c r="AW435" s="158"/>
      <c r="AX435" s="158"/>
      <c r="AY435" s="158"/>
      <c r="AZ435" s="158"/>
      <c r="BA435" s="158"/>
      <c r="BB435" s="69"/>
      <c r="BC435" s="69"/>
      <c r="BD435" s="271">
        <v>2016</v>
      </c>
      <c r="BE435" s="271"/>
      <c r="BF435" s="271"/>
    </row>
    <row r="436" spans="1:58" s="204" customFormat="1" ht="15" hidden="1" customHeight="1">
      <c r="A436" s="160" t="s">
        <v>510</v>
      </c>
      <c r="B436" s="58" t="s">
        <v>192</v>
      </c>
      <c r="C436" s="148" t="s">
        <v>692</v>
      </c>
      <c r="D436" s="33" t="s">
        <v>191</v>
      </c>
      <c r="E436" s="33"/>
      <c r="F436" s="33"/>
      <c r="G436" s="33"/>
      <c r="H436" s="30" t="s">
        <v>647</v>
      </c>
      <c r="I436" s="30"/>
      <c r="J436" s="212"/>
      <c r="K436" s="158"/>
      <c r="L436" s="158"/>
      <c r="M436" s="158"/>
      <c r="N436" s="158"/>
      <c r="O436" s="158"/>
      <c r="P436" s="158"/>
      <c r="Q436" s="158"/>
      <c r="R436" s="158"/>
      <c r="S436" s="158"/>
      <c r="T436" s="586"/>
      <c r="U436" s="158"/>
      <c r="V436" s="311"/>
      <c r="W436" s="311"/>
      <c r="X436" s="311"/>
      <c r="Y436" s="94"/>
      <c r="Z436" s="158"/>
      <c r="AA436" s="158"/>
      <c r="AB436" s="158"/>
      <c r="AC436" s="158"/>
      <c r="AD436" s="158"/>
      <c r="AE436" s="158"/>
      <c r="AF436" s="158"/>
      <c r="AG436" s="158"/>
      <c r="AH436" s="158"/>
      <c r="AI436" s="158"/>
      <c r="AJ436" s="158"/>
      <c r="AK436" s="158"/>
      <c r="AL436" s="158"/>
      <c r="AM436" s="158"/>
      <c r="AN436" s="158"/>
      <c r="AO436" s="158"/>
      <c r="AP436" s="158"/>
      <c r="AQ436" s="158"/>
      <c r="AR436" s="158"/>
      <c r="AS436" s="2">
        <v>1</v>
      </c>
      <c r="AT436" s="58" t="s">
        <v>646</v>
      </c>
      <c r="AU436" s="105"/>
      <c r="AV436" s="158" t="s">
        <v>0</v>
      </c>
      <c r="AW436" s="158">
        <v>10</v>
      </c>
      <c r="AX436" s="158"/>
      <c r="AY436" s="158"/>
      <c r="AZ436" s="158"/>
      <c r="BA436" s="158"/>
      <c r="BB436" s="69"/>
      <c r="BC436" s="69"/>
      <c r="BD436" s="271">
        <v>2017</v>
      </c>
      <c r="BE436" s="271"/>
      <c r="BF436" s="271"/>
    </row>
    <row r="437" spans="1:58" s="204" customFormat="1" ht="18" hidden="1" customHeight="1">
      <c r="A437" s="160" t="s">
        <v>510</v>
      </c>
      <c r="B437" s="58" t="s">
        <v>546</v>
      </c>
      <c r="C437" s="148" t="s">
        <v>193</v>
      </c>
      <c r="D437" s="33" t="s">
        <v>7</v>
      </c>
      <c r="E437" s="33"/>
      <c r="F437" s="33"/>
      <c r="G437" s="33"/>
      <c r="H437" s="30" t="s">
        <v>647</v>
      </c>
      <c r="I437" s="115" t="s">
        <v>1456</v>
      </c>
      <c r="J437" s="215" t="s">
        <v>1457</v>
      </c>
      <c r="K437" s="158"/>
      <c r="L437" s="158">
        <v>38</v>
      </c>
      <c r="M437" s="158"/>
      <c r="N437" s="158"/>
      <c r="O437" s="158"/>
      <c r="P437" s="158"/>
      <c r="Q437" s="158"/>
      <c r="R437" s="158"/>
      <c r="S437" s="158"/>
      <c r="T437" s="586"/>
      <c r="U437" s="158"/>
      <c r="V437" s="311"/>
      <c r="W437" s="311"/>
      <c r="X437" s="311"/>
      <c r="Y437" s="94"/>
      <c r="Z437" s="158"/>
      <c r="AA437" s="158"/>
      <c r="AB437" s="158"/>
      <c r="AC437" s="158"/>
      <c r="AD437" s="158"/>
      <c r="AE437" s="158">
        <f>P437-T437-Y437</f>
        <v>0</v>
      </c>
      <c r="AF437" s="158"/>
      <c r="AG437" s="94">
        <v>0</v>
      </c>
      <c r="AH437" s="94"/>
      <c r="AI437" s="94"/>
      <c r="AJ437" s="158">
        <f t="shared" ref="AJ437:AJ438" si="80">AE437+AG437</f>
        <v>0</v>
      </c>
      <c r="AK437" s="158"/>
      <c r="AL437" s="158"/>
      <c r="AM437" s="158"/>
      <c r="AN437" s="158"/>
      <c r="AO437" s="158"/>
      <c r="AP437" s="158"/>
      <c r="AQ437" s="158"/>
      <c r="AR437" s="158"/>
      <c r="AS437" s="2">
        <v>1</v>
      </c>
      <c r="AT437" s="58" t="s">
        <v>646</v>
      </c>
      <c r="AU437" s="386"/>
      <c r="AV437" s="158" t="s">
        <v>0</v>
      </c>
      <c r="AW437" s="158"/>
      <c r="AX437" s="158"/>
      <c r="AY437" s="158">
        <v>38</v>
      </c>
      <c r="AZ437" s="158"/>
      <c r="BA437" s="158"/>
      <c r="BB437" s="69">
        <f>+AY437</f>
        <v>38</v>
      </c>
      <c r="BC437" s="69"/>
      <c r="BD437" s="271">
        <v>2019</v>
      </c>
      <c r="BE437" s="271">
        <v>2019</v>
      </c>
      <c r="BF437" s="271"/>
    </row>
    <row r="438" spans="1:58" s="204" customFormat="1" ht="18" hidden="1" customHeight="1">
      <c r="A438" s="160" t="s">
        <v>510</v>
      </c>
      <c r="B438" s="58" t="s">
        <v>546</v>
      </c>
      <c r="C438" s="148" t="s">
        <v>193</v>
      </c>
      <c r="D438" s="33" t="s">
        <v>7</v>
      </c>
      <c r="E438" s="33"/>
      <c r="F438" s="33"/>
      <c r="G438" s="33"/>
      <c r="H438" s="30" t="s">
        <v>647</v>
      </c>
      <c r="I438" s="115" t="s">
        <v>1456</v>
      </c>
      <c r="J438" s="215" t="s">
        <v>1457</v>
      </c>
      <c r="K438" s="158"/>
      <c r="L438" s="158">
        <v>6</v>
      </c>
      <c r="M438" s="158"/>
      <c r="N438" s="158"/>
      <c r="O438" s="158"/>
      <c r="P438" s="158">
        <v>329484075</v>
      </c>
      <c r="Q438" s="158"/>
      <c r="R438" s="158"/>
      <c r="S438" s="158"/>
      <c r="T438" s="586">
        <v>152385047</v>
      </c>
      <c r="U438" s="158"/>
      <c r="V438" s="311"/>
      <c r="W438" s="311"/>
      <c r="X438" s="311"/>
      <c r="Y438" s="94">
        <v>177099028</v>
      </c>
      <c r="Z438" s="158">
        <v>10</v>
      </c>
      <c r="AA438" s="311">
        <v>43497</v>
      </c>
      <c r="AB438" s="311"/>
      <c r="AC438" s="158"/>
      <c r="AD438" s="158"/>
      <c r="AE438" s="158">
        <f>P438-T438-Y438</f>
        <v>0</v>
      </c>
      <c r="AF438" s="158"/>
      <c r="AG438" s="94">
        <v>0</v>
      </c>
      <c r="AH438" s="94"/>
      <c r="AI438" s="94"/>
      <c r="AJ438" s="158">
        <f t="shared" si="80"/>
        <v>0</v>
      </c>
      <c r="AK438" s="158">
        <v>877</v>
      </c>
      <c r="AL438" s="158">
        <v>10</v>
      </c>
      <c r="AM438" s="158"/>
      <c r="AN438" s="158"/>
      <c r="AO438" s="158"/>
      <c r="AP438" s="158"/>
      <c r="AQ438" s="158"/>
      <c r="AR438" s="158"/>
      <c r="AS438" s="2">
        <v>1</v>
      </c>
      <c r="AT438" s="58" t="s">
        <v>646</v>
      </c>
      <c r="AU438" s="7" t="s">
        <v>1343</v>
      </c>
      <c r="AV438" s="158"/>
      <c r="AW438" s="158"/>
      <c r="AX438" s="158"/>
      <c r="AY438" s="158">
        <v>6</v>
      </c>
      <c r="AZ438" s="158"/>
      <c r="BA438" s="158"/>
      <c r="BB438" s="69">
        <v>6</v>
      </c>
      <c r="BC438" s="69"/>
      <c r="BD438" s="271">
        <v>2019</v>
      </c>
      <c r="BE438" s="271">
        <v>2019</v>
      </c>
      <c r="BF438" s="271"/>
    </row>
    <row r="439" spans="1:58" s="204" customFormat="1" ht="15" hidden="1" customHeight="1">
      <c r="A439" s="160" t="s">
        <v>510</v>
      </c>
      <c r="B439" s="58" t="s">
        <v>207</v>
      </c>
      <c r="C439" s="148" t="s">
        <v>1104</v>
      </c>
      <c r="D439" s="33" t="s">
        <v>170</v>
      </c>
      <c r="E439" s="33"/>
      <c r="F439" s="33"/>
      <c r="G439" s="33"/>
      <c r="H439" s="30" t="s">
        <v>657</v>
      </c>
      <c r="I439" s="30"/>
      <c r="J439" s="212"/>
      <c r="K439" s="158"/>
      <c r="L439" s="158"/>
      <c r="M439" s="158"/>
      <c r="N439" s="158"/>
      <c r="O439" s="158"/>
      <c r="P439" s="158"/>
      <c r="Q439" s="158"/>
      <c r="R439" s="158"/>
      <c r="S439" s="158"/>
      <c r="T439" s="586"/>
      <c r="U439" s="158"/>
      <c r="V439" s="311"/>
      <c r="W439" s="311"/>
      <c r="X439" s="311"/>
      <c r="Y439" s="94"/>
      <c r="Z439" s="158"/>
      <c r="AA439" s="158"/>
      <c r="AB439" s="158"/>
      <c r="AC439" s="158"/>
      <c r="AD439" s="158"/>
      <c r="AE439" s="158"/>
      <c r="AF439" s="158"/>
      <c r="AG439" s="158"/>
      <c r="AH439" s="158"/>
      <c r="AI439" s="158"/>
      <c r="AJ439" s="158"/>
      <c r="AK439" s="158"/>
      <c r="AL439" s="158"/>
      <c r="AM439" s="158"/>
      <c r="AN439" s="158"/>
      <c r="AO439" s="158"/>
      <c r="AP439" s="158"/>
      <c r="AQ439" s="158"/>
      <c r="AR439" s="158"/>
      <c r="AS439" s="2">
        <v>1</v>
      </c>
      <c r="AT439" s="58" t="s">
        <v>646</v>
      </c>
      <c r="AU439" s="105"/>
      <c r="AV439" s="158"/>
      <c r="AW439" s="158"/>
      <c r="AX439" s="158">
        <v>40</v>
      </c>
      <c r="AY439" s="158"/>
      <c r="AZ439" s="158"/>
      <c r="BA439" s="158">
        <v>40</v>
      </c>
      <c r="BB439" s="69"/>
      <c r="BC439" s="69"/>
      <c r="BD439" s="271">
        <v>2018</v>
      </c>
      <c r="BE439" s="271"/>
      <c r="BF439" s="271"/>
    </row>
    <row r="440" spans="1:58" s="204" customFormat="1" ht="18" hidden="1" customHeight="1">
      <c r="A440" s="160" t="s">
        <v>510</v>
      </c>
      <c r="B440" s="58" t="s">
        <v>207</v>
      </c>
      <c r="C440" s="148" t="s">
        <v>1104</v>
      </c>
      <c r="D440" s="33" t="s">
        <v>170</v>
      </c>
      <c r="E440" s="33"/>
      <c r="F440" s="33"/>
      <c r="G440" s="33"/>
      <c r="H440" s="30" t="s">
        <v>657</v>
      </c>
      <c r="I440" s="30">
        <v>1855</v>
      </c>
      <c r="J440" s="212">
        <v>42978</v>
      </c>
      <c r="K440" s="158"/>
      <c r="L440" s="158"/>
      <c r="M440" s="158">
        <v>2</v>
      </c>
      <c r="N440" s="158"/>
      <c r="O440" s="158"/>
      <c r="P440" s="158"/>
      <c r="Q440" s="158"/>
      <c r="R440" s="158"/>
      <c r="S440" s="158"/>
      <c r="T440" s="586"/>
      <c r="U440" s="158"/>
      <c r="V440" s="311"/>
      <c r="W440" s="311"/>
      <c r="X440" s="311"/>
      <c r="Y440" s="94"/>
      <c r="Z440" s="158"/>
      <c r="AA440" s="5"/>
      <c r="AB440" s="5"/>
      <c r="AC440" s="5"/>
      <c r="AD440" s="158"/>
      <c r="AE440" s="158">
        <f>P440-T440-Y440</f>
        <v>0</v>
      </c>
      <c r="AF440" s="158"/>
      <c r="AG440" s="94">
        <v>0</v>
      </c>
      <c r="AH440" s="94"/>
      <c r="AI440" s="94"/>
      <c r="AJ440" s="158">
        <f t="shared" ref="AJ440" si="81">AE440+AG440</f>
        <v>0</v>
      </c>
      <c r="AK440" s="158"/>
      <c r="AL440" s="158"/>
      <c r="AM440" s="158"/>
      <c r="AN440" s="158"/>
      <c r="AO440" s="158"/>
      <c r="AP440" s="158"/>
      <c r="AQ440" s="158"/>
      <c r="AR440" s="158"/>
      <c r="AS440" s="2">
        <v>0</v>
      </c>
      <c r="AT440" s="58" t="s">
        <v>687</v>
      </c>
      <c r="AU440" s="387" t="s">
        <v>1363</v>
      </c>
      <c r="AV440" s="158"/>
      <c r="AW440" s="158"/>
      <c r="AX440" s="158"/>
      <c r="AY440" s="158"/>
      <c r="AZ440" s="158"/>
      <c r="BA440" s="158"/>
      <c r="BB440" s="69"/>
      <c r="BC440" s="69">
        <v>2</v>
      </c>
      <c r="BD440" s="271" t="s">
        <v>1706</v>
      </c>
      <c r="BE440" s="271">
        <v>2019</v>
      </c>
      <c r="BF440" s="271"/>
    </row>
    <row r="441" spans="1:58" s="204" customFormat="1" ht="37.5" hidden="1" customHeight="1">
      <c r="A441" s="160" t="s">
        <v>510</v>
      </c>
      <c r="B441" s="58" t="s">
        <v>194</v>
      </c>
      <c r="C441" s="148" t="s">
        <v>847</v>
      </c>
      <c r="D441" s="33" t="s">
        <v>191</v>
      </c>
      <c r="E441" s="33"/>
      <c r="F441" s="33"/>
      <c r="G441" s="33"/>
      <c r="H441" s="30" t="s">
        <v>647</v>
      </c>
      <c r="I441" s="272" t="s">
        <v>1675</v>
      </c>
      <c r="J441" s="215" t="s">
        <v>1676</v>
      </c>
      <c r="K441" s="158"/>
      <c r="L441" s="158"/>
      <c r="M441" s="158"/>
      <c r="N441" s="158"/>
      <c r="O441" s="158"/>
      <c r="P441" s="158">
        <f>397823873-3590247</f>
        <v>394233626</v>
      </c>
      <c r="Q441" s="158"/>
      <c r="R441" s="158"/>
      <c r="S441" s="158"/>
      <c r="T441" s="586">
        <v>178527450</v>
      </c>
      <c r="U441" s="158"/>
      <c r="V441" s="311"/>
      <c r="W441" s="311"/>
      <c r="X441" s="311"/>
      <c r="Y441" s="94">
        <v>215706176</v>
      </c>
      <c r="Z441" s="69"/>
      <c r="AA441" s="69"/>
      <c r="AB441" s="69"/>
      <c r="AC441" s="69"/>
      <c r="AD441" s="158"/>
      <c r="AE441" s="158">
        <f>P441-T441-Y441</f>
        <v>0</v>
      </c>
      <c r="AF441" s="158"/>
      <c r="AG441" s="158"/>
      <c r="AH441" s="158"/>
      <c r="AI441" s="158"/>
      <c r="AJ441" s="158"/>
      <c r="AK441" s="158">
        <v>877</v>
      </c>
      <c r="AL441" s="158">
        <v>10</v>
      </c>
      <c r="AM441" s="158"/>
      <c r="AN441" s="158"/>
      <c r="AO441" s="158"/>
      <c r="AP441" s="158"/>
      <c r="AQ441" s="158"/>
      <c r="AR441" s="158"/>
      <c r="AS441" s="2"/>
      <c r="AT441" s="58"/>
      <c r="AU441" s="105" t="s">
        <v>1677</v>
      </c>
      <c r="AV441" s="158">
        <v>7</v>
      </c>
      <c r="AW441" s="158"/>
      <c r="AX441" s="158"/>
      <c r="AY441" s="158"/>
      <c r="AZ441" s="158"/>
      <c r="BA441" s="158"/>
      <c r="BB441" s="69"/>
      <c r="BC441" s="69"/>
      <c r="BD441" s="271">
        <v>2016</v>
      </c>
      <c r="BE441" s="271"/>
      <c r="BF441" s="271"/>
    </row>
    <row r="442" spans="1:58" s="204" customFormat="1" ht="18" customHeight="1">
      <c r="A442" s="248" t="s">
        <v>510</v>
      </c>
      <c r="B442" s="58" t="s">
        <v>280</v>
      </c>
      <c r="C442" s="148" t="s">
        <v>845</v>
      </c>
      <c r="D442" s="33" t="s">
        <v>27</v>
      </c>
      <c r="E442" s="33"/>
      <c r="F442" s="33"/>
      <c r="G442" s="33"/>
      <c r="H442" s="30" t="s">
        <v>647</v>
      </c>
      <c r="I442" s="30">
        <v>748</v>
      </c>
      <c r="J442" s="212">
        <v>41782</v>
      </c>
      <c r="K442" s="158"/>
      <c r="L442" s="158"/>
      <c r="M442" s="158">
        <v>21</v>
      </c>
      <c r="N442" s="158"/>
      <c r="O442" s="158">
        <v>21</v>
      </c>
      <c r="P442" s="158"/>
      <c r="Q442" s="158"/>
      <c r="R442" s="158"/>
      <c r="S442" s="158"/>
      <c r="T442" s="586"/>
      <c r="U442" s="158"/>
      <c r="V442" s="311"/>
      <c r="W442" s="311"/>
      <c r="X442" s="311"/>
      <c r="Y442" s="94"/>
      <c r="Z442" s="158"/>
      <c r="AA442" s="92"/>
      <c r="AB442" s="92"/>
      <c r="AC442" s="92"/>
      <c r="AD442" s="158"/>
      <c r="AE442" s="158">
        <f>P442-T442-Y442</f>
        <v>0</v>
      </c>
      <c r="AF442" s="158"/>
      <c r="AG442" s="94">
        <v>0</v>
      </c>
      <c r="AH442" s="94"/>
      <c r="AI442" s="94"/>
      <c r="AJ442" s="158">
        <f t="shared" ref="AJ442:AJ443" si="82">AE442+AG442</f>
        <v>0</v>
      </c>
      <c r="AK442" s="158"/>
      <c r="AL442" s="158"/>
      <c r="AM442" s="158">
        <v>21</v>
      </c>
      <c r="AN442" s="158"/>
      <c r="AO442" s="158"/>
      <c r="AP442" s="158"/>
      <c r="AQ442" s="158"/>
      <c r="AR442" s="158"/>
      <c r="AS442" s="2">
        <v>0</v>
      </c>
      <c r="AT442" s="58" t="s">
        <v>521</v>
      </c>
      <c r="AU442" s="453" t="s">
        <v>1304</v>
      </c>
      <c r="AV442" s="158" t="s">
        <v>0</v>
      </c>
      <c r="AW442" s="158"/>
      <c r="AX442" s="158"/>
      <c r="AY442" s="158"/>
      <c r="AZ442" s="158"/>
      <c r="BA442" s="158"/>
      <c r="BB442" s="69"/>
      <c r="BC442" s="69"/>
      <c r="BD442" s="271"/>
      <c r="BE442" s="271">
        <v>2019</v>
      </c>
      <c r="BF442" s="271">
        <v>2020</v>
      </c>
    </row>
    <row r="443" spans="1:58" s="204" customFormat="1" ht="18" customHeight="1">
      <c r="A443" s="160" t="s">
        <v>510</v>
      </c>
      <c r="B443" s="58" t="s">
        <v>280</v>
      </c>
      <c r="C443" s="148" t="s">
        <v>846</v>
      </c>
      <c r="D443" s="33" t="s">
        <v>27</v>
      </c>
      <c r="E443" s="33"/>
      <c r="F443" s="33"/>
      <c r="G443" s="33"/>
      <c r="H443" s="30" t="s">
        <v>647</v>
      </c>
      <c r="I443" s="30">
        <v>748</v>
      </c>
      <c r="J443" s="212">
        <v>41782</v>
      </c>
      <c r="K443" s="158"/>
      <c r="L443" s="158"/>
      <c r="M443" s="158">
        <v>21</v>
      </c>
      <c r="N443" s="158"/>
      <c r="O443" s="158">
        <v>21</v>
      </c>
      <c r="P443" s="158"/>
      <c r="Q443" s="158"/>
      <c r="R443" s="158"/>
      <c r="S443" s="158"/>
      <c r="T443" s="586"/>
      <c r="U443" s="158"/>
      <c r="V443" s="311"/>
      <c r="W443" s="311"/>
      <c r="X443" s="311"/>
      <c r="Y443" s="94"/>
      <c r="Z443" s="158"/>
      <c r="AA443" s="158"/>
      <c r="AB443" s="158"/>
      <c r="AC443" s="158"/>
      <c r="AD443" s="158"/>
      <c r="AE443" s="158">
        <f>P443-T443-Y443</f>
        <v>0</v>
      </c>
      <c r="AF443" s="158"/>
      <c r="AG443" s="94">
        <v>0</v>
      </c>
      <c r="AH443" s="94"/>
      <c r="AI443" s="94"/>
      <c r="AJ443" s="158">
        <f t="shared" si="82"/>
        <v>0</v>
      </c>
      <c r="AK443" s="158"/>
      <c r="AL443" s="158"/>
      <c r="AM443" s="158">
        <v>21</v>
      </c>
      <c r="AN443" s="158"/>
      <c r="AO443" s="158"/>
      <c r="AP443" s="158"/>
      <c r="AQ443" s="158"/>
      <c r="AR443" s="158"/>
      <c r="AS443" s="2">
        <v>0</v>
      </c>
      <c r="AT443" s="58" t="s">
        <v>521</v>
      </c>
      <c r="AU443" s="453" t="s">
        <v>1304</v>
      </c>
      <c r="AV443" s="158" t="s">
        <v>0</v>
      </c>
      <c r="AW443" s="158"/>
      <c r="AX443" s="158"/>
      <c r="AY443" s="158"/>
      <c r="AZ443" s="158"/>
      <c r="BA443" s="158"/>
      <c r="BB443" s="69"/>
      <c r="BC443" s="69"/>
      <c r="BD443" s="271"/>
      <c r="BE443" s="271">
        <v>2019</v>
      </c>
      <c r="BF443" s="271">
        <v>2020</v>
      </c>
    </row>
    <row r="444" spans="1:58" s="204" customFormat="1" ht="15" hidden="1" customHeight="1">
      <c r="A444" s="160" t="s">
        <v>510</v>
      </c>
      <c r="B444" s="58" t="s">
        <v>262</v>
      </c>
      <c r="C444" s="148" t="s">
        <v>195</v>
      </c>
      <c r="D444" s="33" t="s">
        <v>196</v>
      </c>
      <c r="E444" s="33"/>
      <c r="F444" s="33"/>
      <c r="G444" s="33"/>
      <c r="H444" s="30" t="s">
        <v>647</v>
      </c>
      <c r="I444" s="30"/>
      <c r="J444" s="212"/>
      <c r="K444" s="158"/>
      <c r="L444" s="158"/>
      <c r="M444" s="158"/>
      <c r="N444" s="158"/>
      <c r="O444" s="158"/>
      <c r="P444" s="158"/>
      <c r="Q444" s="158"/>
      <c r="R444" s="158"/>
      <c r="S444" s="158"/>
      <c r="T444" s="586"/>
      <c r="U444" s="158"/>
      <c r="V444" s="311"/>
      <c r="W444" s="311"/>
      <c r="X444" s="311"/>
      <c r="Y444" s="94"/>
      <c r="Z444" s="158"/>
      <c r="AA444" s="158"/>
      <c r="AB444" s="158"/>
      <c r="AC444" s="158"/>
      <c r="AD444" s="158"/>
      <c r="AE444" s="158"/>
      <c r="AF444" s="158"/>
      <c r="AG444" s="158"/>
      <c r="AH444" s="158"/>
      <c r="AI444" s="158"/>
      <c r="AJ444" s="158"/>
      <c r="AK444" s="158"/>
      <c r="AL444" s="158"/>
      <c r="AM444" s="158"/>
      <c r="AN444" s="158"/>
      <c r="AO444" s="158"/>
      <c r="AP444" s="158"/>
      <c r="AQ444" s="158"/>
      <c r="AR444" s="158"/>
      <c r="AS444" s="2">
        <v>1</v>
      </c>
      <c r="AT444" s="58" t="s">
        <v>646</v>
      </c>
      <c r="AU444" s="105"/>
      <c r="AV444" s="158" t="s">
        <v>0</v>
      </c>
      <c r="AW444" s="158">
        <v>43</v>
      </c>
      <c r="AX444" s="158"/>
      <c r="AY444" s="158"/>
      <c r="AZ444" s="158"/>
      <c r="BA444" s="158"/>
      <c r="BB444" s="69"/>
      <c r="BC444" s="69"/>
      <c r="BD444" s="271">
        <v>2017</v>
      </c>
      <c r="BE444" s="271"/>
      <c r="BF444" s="271"/>
    </row>
    <row r="445" spans="1:58" s="204" customFormat="1" ht="15" hidden="1" customHeight="1">
      <c r="A445" s="160" t="s">
        <v>510</v>
      </c>
      <c r="B445" s="58" t="s">
        <v>262</v>
      </c>
      <c r="C445" s="148" t="s">
        <v>195</v>
      </c>
      <c r="D445" s="33" t="s">
        <v>196</v>
      </c>
      <c r="E445" s="33"/>
      <c r="F445" s="33"/>
      <c r="G445" s="33"/>
      <c r="H445" s="30" t="s">
        <v>647</v>
      </c>
      <c r="I445" s="30"/>
      <c r="J445" s="212"/>
      <c r="K445" s="158"/>
      <c r="L445" s="158"/>
      <c r="M445" s="158"/>
      <c r="N445" s="158"/>
      <c r="O445" s="158"/>
      <c r="P445" s="158"/>
      <c r="Q445" s="158"/>
      <c r="R445" s="158"/>
      <c r="S445" s="158"/>
      <c r="T445" s="586"/>
      <c r="U445" s="158"/>
      <c r="V445" s="311"/>
      <c r="W445" s="311"/>
      <c r="X445" s="311"/>
      <c r="Y445" s="94"/>
      <c r="Z445" s="158"/>
      <c r="AA445" s="158"/>
      <c r="AB445" s="158"/>
      <c r="AC445" s="158"/>
      <c r="AD445" s="158"/>
      <c r="AE445" s="158"/>
      <c r="AF445" s="158"/>
      <c r="AG445" s="158"/>
      <c r="AH445" s="158"/>
      <c r="AI445" s="158"/>
      <c r="AJ445" s="158"/>
      <c r="AK445" s="158"/>
      <c r="AL445" s="158"/>
      <c r="AM445" s="158"/>
      <c r="AN445" s="158"/>
      <c r="AO445" s="158"/>
      <c r="AP445" s="158"/>
      <c r="AQ445" s="158"/>
      <c r="AR445" s="158"/>
      <c r="AS445" s="2">
        <v>1</v>
      </c>
      <c r="AT445" s="58" t="s">
        <v>646</v>
      </c>
      <c r="AU445" s="105"/>
      <c r="AV445" s="158" t="s">
        <v>0</v>
      </c>
      <c r="AW445" s="158">
        <v>2</v>
      </c>
      <c r="AX445" s="158"/>
      <c r="AY445" s="158"/>
      <c r="AZ445" s="158"/>
      <c r="BA445" s="158"/>
      <c r="BB445" s="69"/>
      <c r="BC445" s="69"/>
      <c r="BD445" s="271">
        <v>2017</v>
      </c>
      <c r="BE445" s="271"/>
      <c r="BF445" s="271"/>
    </row>
    <row r="446" spans="1:58" s="204" customFormat="1" ht="15" hidden="1" customHeight="1">
      <c r="A446" s="160" t="s">
        <v>510</v>
      </c>
      <c r="B446" s="58" t="s">
        <v>211</v>
      </c>
      <c r="C446" s="148" t="s">
        <v>209</v>
      </c>
      <c r="D446" s="33" t="s">
        <v>210</v>
      </c>
      <c r="E446" s="33"/>
      <c r="F446" s="33"/>
      <c r="G446" s="33"/>
      <c r="H446" s="30"/>
      <c r="I446" s="58"/>
      <c r="J446" s="212"/>
      <c r="K446" s="158"/>
      <c r="L446" s="158"/>
      <c r="M446" s="158"/>
      <c r="N446" s="158"/>
      <c r="O446" s="158"/>
      <c r="P446" s="158"/>
      <c r="Q446" s="158"/>
      <c r="R446" s="158"/>
      <c r="S446" s="158"/>
      <c r="T446" s="586"/>
      <c r="U446" s="158"/>
      <c r="V446" s="311"/>
      <c r="W446" s="311"/>
      <c r="X446" s="311"/>
      <c r="Y446" s="94"/>
      <c r="Z446" s="158"/>
      <c r="AA446" s="158"/>
      <c r="AB446" s="158"/>
      <c r="AC446" s="158"/>
      <c r="AD446" s="158"/>
      <c r="AE446" s="158"/>
      <c r="AF446" s="158"/>
      <c r="AG446" s="158"/>
      <c r="AH446" s="158"/>
      <c r="AI446" s="158"/>
      <c r="AJ446" s="158"/>
      <c r="AK446" s="158"/>
      <c r="AL446" s="158"/>
      <c r="AM446" s="158"/>
      <c r="AN446" s="158"/>
      <c r="AO446" s="158"/>
      <c r="AP446" s="158"/>
      <c r="AQ446" s="158"/>
      <c r="AR446" s="158"/>
      <c r="AS446" s="2"/>
      <c r="AT446" s="58"/>
      <c r="AU446" s="105"/>
      <c r="AV446" s="158">
        <v>28</v>
      </c>
      <c r="AW446" s="158"/>
      <c r="AX446" s="158"/>
      <c r="AY446" s="158"/>
      <c r="AZ446" s="158"/>
      <c r="BA446" s="158"/>
      <c r="BB446" s="69"/>
      <c r="BC446" s="69"/>
      <c r="BD446" s="271">
        <v>2016</v>
      </c>
      <c r="BE446" s="271"/>
      <c r="BF446" s="271"/>
    </row>
    <row r="447" spans="1:58" s="204" customFormat="1" ht="15" hidden="1" customHeight="1">
      <c r="A447" s="160" t="s">
        <v>510</v>
      </c>
      <c r="B447" s="58" t="s">
        <v>280</v>
      </c>
      <c r="C447" s="148" t="s">
        <v>212</v>
      </c>
      <c r="D447" s="33" t="s">
        <v>149</v>
      </c>
      <c r="E447" s="33"/>
      <c r="F447" s="33"/>
      <c r="G447" s="33"/>
      <c r="H447" s="30" t="s">
        <v>691</v>
      </c>
      <c r="I447" s="30"/>
      <c r="J447" s="212"/>
      <c r="K447" s="158"/>
      <c r="L447" s="158"/>
      <c r="M447" s="158"/>
      <c r="N447" s="158"/>
      <c r="O447" s="158"/>
      <c r="P447" s="158"/>
      <c r="Q447" s="158"/>
      <c r="R447" s="158"/>
      <c r="S447" s="158"/>
      <c r="T447" s="586"/>
      <c r="U447" s="158"/>
      <c r="V447" s="311"/>
      <c r="W447" s="311"/>
      <c r="X447" s="311"/>
      <c r="Y447" s="94"/>
      <c r="Z447" s="158"/>
      <c r="AA447" s="158"/>
      <c r="AB447" s="158"/>
      <c r="AC447" s="158"/>
      <c r="AD447" s="158"/>
      <c r="AE447" s="158"/>
      <c r="AF447" s="158"/>
      <c r="AG447" s="158"/>
      <c r="AH447" s="158"/>
      <c r="AI447" s="158"/>
      <c r="AJ447" s="158"/>
      <c r="AK447" s="158"/>
      <c r="AL447" s="158"/>
      <c r="AM447" s="158"/>
      <c r="AN447" s="158"/>
      <c r="AO447" s="158"/>
      <c r="AP447" s="158"/>
      <c r="AQ447" s="158"/>
      <c r="AR447" s="158"/>
      <c r="AS447" s="2">
        <v>1</v>
      </c>
      <c r="AT447" s="58" t="s">
        <v>646</v>
      </c>
      <c r="AU447" s="105"/>
      <c r="AV447" s="158" t="s">
        <v>0</v>
      </c>
      <c r="AW447" s="158">
        <v>2</v>
      </c>
      <c r="AX447" s="158"/>
      <c r="AY447" s="158"/>
      <c r="AZ447" s="158"/>
      <c r="BA447" s="158"/>
      <c r="BB447" s="69"/>
      <c r="BC447" s="69"/>
      <c r="BD447" s="271">
        <v>2017</v>
      </c>
      <c r="BE447" s="271"/>
      <c r="BF447" s="271"/>
    </row>
    <row r="448" spans="1:58" s="204" customFormat="1" ht="15" hidden="1" customHeight="1">
      <c r="A448" s="160" t="s">
        <v>510</v>
      </c>
      <c r="B448" s="58" t="s">
        <v>188</v>
      </c>
      <c r="C448" s="148" t="s">
        <v>848</v>
      </c>
      <c r="D448" s="33" t="s">
        <v>27</v>
      </c>
      <c r="E448" s="33"/>
      <c r="F448" s="33"/>
      <c r="G448" s="33"/>
      <c r="H448" s="30"/>
      <c r="I448" s="58"/>
      <c r="J448" s="212"/>
      <c r="K448" s="158"/>
      <c r="L448" s="158"/>
      <c r="M448" s="158"/>
      <c r="N448" s="158"/>
      <c r="O448" s="158"/>
      <c r="P448" s="158"/>
      <c r="Q448" s="158"/>
      <c r="R448" s="158"/>
      <c r="S448" s="158"/>
      <c r="T448" s="586"/>
      <c r="U448" s="158"/>
      <c r="V448" s="311"/>
      <c r="W448" s="311"/>
      <c r="X448" s="311"/>
      <c r="Y448" s="94"/>
      <c r="Z448" s="158"/>
      <c r="AA448" s="158"/>
      <c r="AB448" s="158"/>
      <c r="AC448" s="158"/>
      <c r="AD448" s="158"/>
      <c r="AE448" s="158"/>
      <c r="AF448" s="158"/>
      <c r="AG448" s="158"/>
      <c r="AH448" s="158"/>
      <c r="AI448" s="158"/>
      <c r="AJ448" s="158"/>
      <c r="AK448" s="158"/>
      <c r="AL448" s="158"/>
      <c r="AM448" s="158"/>
      <c r="AN448" s="158"/>
      <c r="AO448" s="158"/>
      <c r="AP448" s="158"/>
      <c r="AQ448" s="158"/>
      <c r="AR448" s="158"/>
      <c r="AS448" s="2">
        <v>1</v>
      </c>
      <c r="AT448" s="58" t="s">
        <v>646</v>
      </c>
      <c r="AU448" s="105"/>
      <c r="AV448" s="158">
        <v>39</v>
      </c>
      <c r="AW448" s="158"/>
      <c r="AX448" s="158"/>
      <c r="AY448" s="158"/>
      <c r="AZ448" s="158"/>
      <c r="BA448" s="158"/>
      <c r="BB448" s="69"/>
      <c r="BC448" s="69"/>
      <c r="BD448" s="271">
        <v>2016</v>
      </c>
      <c r="BE448" s="271"/>
      <c r="BF448" s="271"/>
    </row>
    <row r="449" spans="1:58" s="204" customFormat="1" ht="15" hidden="1" customHeight="1">
      <c r="A449" s="160" t="s">
        <v>510</v>
      </c>
      <c r="B449" s="58" t="s">
        <v>262</v>
      </c>
      <c r="C449" s="148" t="s">
        <v>213</v>
      </c>
      <c r="D449" s="33" t="s">
        <v>214</v>
      </c>
      <c r="E449" s="33"/>
      <c r="F449" s="33"/>
      <c r="G449" s="33"/>
      <c r="H449" s="30"/>
      <c r="I449" s="58"/>
      <c r="J449" s="212"/>
      <c r="K449" s="158"/>
      <c r="L449" s="158"/>
      <c r="M449" s="158"/>
      <c r="N449" s="158"/>
      <c r="O449" s="158"/>
      <c r="P449" s="158"/>
      <c r="Q449" s="158"/>
      <c r="R449" s="158"/>
      <c r="S449" s="158"/>
      <c r="T449" s="586"/>
      <c r="U449" s="158"/>
      <c r="V449" s="311"/>
      <c r="W449" s="311"/>
      <c r="X449" s="311"/>
      <c r="Y449" s="94"/>
      <c r="Z449" s="158"/>
      <c r="AA449" s="158"/>
      <c r="AB449" s="158"/>
      <c r="AC449" s="158"/>
      <c r="AD449" s="158"/>
      <c r="AE449" s="158"/>
      <c r="AF449" s="158"/>
      <c r="AG449" s="158"/>
      <c r="AH449" s="158"/>
      <c r="AI449" s="158"/>
      <c r="AJ449" s="158"/>
      <c r="AK449" s="158"/>
      <c r="AL449" s="158"/>
      <c r="AM449" s="158"/>
      <c r="AN449" s="158"/>
      <c r="AO449" s="158"/>
      <c r="AP449" s="158"/>
      <c r="AQ449" s="158"/>
      <c r="AR449" s="158"/>
      <c r="AS449" s="2"/>
      <c r="AT449" s="58"/>
      <c r="AU449" s="105"/>
      <c r="AV449" s="158">
        <v>31</v>
      </c>
      <c r="AW449" s="158"/>
      <c r="AX449" s="158"/>
      <c r="AY449" s="158"/>
      <c r="AZ449" s="158"/>
      <c r="BA449" s="158"/>
      <c r="BB449" s="69"/>
      <c r="BC449" s="69"/>
      <c r="BD449" s="271">
        <v>2016</v>
      </c>
      <c r="BE449" s="271"/>
      <c r="BF449" s="271"/>
    </row>
    <row r="450" spans="1:58" s="204" customFormat="1" ht="15" hidden="1" customHeight="1">
      <c r="A450" s="160" t="s">
        <v>510</v>
      </c>
      <c r="B450" s="58" t="s">
        <v>547</v>
      </c>
      <c r="C450" s="148" t="s">
        <v>217</v>
      </c>
      <c r="D450" s="33" t="s">
        <v>91</v>
      </c>
      <c r="E450" s="33"/>
      <c r="F450" s="33"/>
      <c r="G450" s="33"/>
      <c r="H450" s="30"/>
      <c r="I450" s="58"/>
      <c r="J450" s="212"/>
      <c r="K450" s="158"/>
      <c r="L450" s="158"/>
      <c r="M450" s="158"/>
      <c r="N450" s="158"/>
      <c r="O450" s="158"/>
      <c r="P450" s="158"/>
      <c r="Q450" s="158"/>
      <c r="R450" s="158"/>
      <c r="S450" s="158"/>
      <c r="T450" s="586"/>
      <c r="U450" s="158"/>
      <c r="V450" s="311"/>
      <c r="W450" s="311"/>
      <c r="X450" s="311"/>
      <c r="Y450" s="94"/>
      <c r="Z450" s="158"/>
      <c r="AA450" s="158"/>
      <c r="AB450" s="158"/>
      <c r="AC450" s="158"/>
      <c r="AD450" s="158"/>
      <c r="AE450" s="158"/>
      <c r="AF450" s="158"/>
      <c r="AG450" s="158"/>
      <c r="AH450" s="158"/>
      <c r="AI450" s="158"/>
      <c r="AJ450" s="158"/>
      <c r="AK450" s="158"/>
      <c r="AL450" s="158"/>
      <c r="AM450" s="158"/>
      <c r="AN450" s="158"/>
      <c r="AO450" s="158"/>
      <c r="AP450" s="158"/>
      <c r="AQ450" s="158"/>
      <c r="AR450" s="158"/>
      <c r="AS450" s="2">
        <v>1</v>
      </c>
      <c r="AT450" s="58" t="s">
        <v>646</v>
      </c>
      <c r="AU450" s="106"/>
      <c r="AV450" s="158">
        <v>34</v>
      </c>
      <c r="AW450" s="158"/>
      <c r="AX450" s="158"/>
      <c r="AY450" s="158"/>
      <c r="AZ450" s="158"/>
      <c r="BA450" s="158"/>
      <c r="BB450" s="69"/>
      <c r="BC450" s="69"/>
      <c r="BD450" s="271">
        <v>2016</v>
      </c>
      <c r="BE450" s="271"/>
      <c r="BF450" s="271"/>
    </row>
    <row r="451" spans="1:58" s="204" customFormat="1" ht="15" hidden="1" customHeight="1">
      <c r="A451" s="160" t="s">
        <v>510</v>
      </c>
      <c r="B451" s="58" t="s">
        <v>547</v>
      </c>
      <c r="C451" s="148" t="s">
        <v>218</v>
      </c>
      <c r="D451" s="33" t="s">
        <v>7</v>
      </c>
      <c r="E451" s="33"/>
      <c r="F451" s="33"/>
      <c r="G451" s="33"/>
      <c r="H451" s="30" t="s">
        <v>693</v>
      </c>
      <c r="I451" s="30"/>
      <c r="J451" s="212"/>
      <c r="K451" s="1"/>
      <c r="L451" s="1"/>
      <c r="M451" s="1"/>
      <c r="N451" s="1"/>
      <c r="O451" s="1"/>
      <c r="P451" s="1"/>
      <c r="Q451" s="1"/>
      <c r="R451" s="158"/>
      <c r="S451" s="1"/>
      <c r="T451" s="586"/>
      <c r="U451" s="1"/>
      <c r="V451" s="311"/>
      <c r="W451" s="311"/>
      <c r="X451" s="311"/>
      <c r="Y451" s="94"/>
      <c r="Z451" s="1"/>
      <c r="AA451" s="1"/>
      <c r="AB451" s="1"/>
      <c r="AC451" s="1"/>
      <c r="AD451" s="158"/>
      <c r="AE451" s="158"/>
      <c r="AF451" s="158"/>
      <c r="AG451" s="158"/>
      <c r="AH451" s="158"/>
      <c r="AI451" s="158"/>
      <c r="AJ451" s="158"/>
      <c r="AK451" s="158"/>
      <c r="AL451" s="158"/>
      <c r="AM451" s="158"/>
      <c r="AN451" s="158"/>
      <c r="AO451" s="1"/>
      <c r="AP451" s="1"/>
      <c r="AQ451" s="1"/>
      <c r="AR451" s="1"/>
      <c r="AS451" s="2">
        <v>1</v>
      </c>
      <c r="AT451" s="58" t="s">
        <v>646</v>
      </c>
      <c r="AU451" s="106"/>
      <c r="AV451" s="158">
        <v>15</v>
      </c>
      <c r="AW451" s="1"/>
      <c r="AX451" s="1"/>
      <c r="AY451" s="1"/>
      <c r="AZ451" s="1"/>
      <c r="BA451" s="1"/>
      <c r="BB451" s="287"/>
      <c r="BC451" s="287"/>
      <c r="BD451" s="271">
        <v>2016</v>
      </c>
      <c r="BE451" s="271"/>
      <c r="BF451" s="271"/>
    </row>
    <row r="452" spans="1:58" s="204" customFormat="1" ht="15" hidden="1" customHeight="1">
      <c r="A452" s="160" t="s">
        <v>510</v>
      </c>
      <c r="B452" s="58" t="s">
        <v>547</v>
      </c>
      <c r="C452" s="148" t="s">
        <v>218</v>
      </c>
      <c r="D452" s="33" t="s">
        <v>7</v>
      </c>
      <c r="E452" s="33"/>
      <c r="F452" s="33"/>
      <c r="G452" s="33"/>
      <c r="H452" s="30" t="s">
        <v>693</v>
      </c>
      <c r="I452" s="30"/>
      <c r="J452" s="212"/>
      <c r="K452" s="158"/>
      <c r="L452" s="158"/>
      <c r="M452" s="158"/>
      <c r="N452" s="158"/>
      <c r="O452" s="158"/>
      <c r="P452" s="158"/>
      <c r="Q452" s="158"/>
      <c r="R452" s="158"/>
      <c r="S452" s="158"/>
      <c r="T452" s="586"/>
      <c r="U452" s="158"/>
      <c r="V452" s="311"/>
      <c r="W452" s="311"/>
      <c r="X452" s="311"/>
      <c r="Y452" s="94"/>
      <c r="Z452" s="158"/>
      <c r="AA452" s="158"/>
      <c r="AB452" s="158"/>
      <c r="AC452" s="158"/>
      <c r="AD452" s="158"/>
      <c r="AE452" s="158"/>
      <c r="AF452" s="158"/>
      <c r="AG452" s="158"/>
      <c r="AH452" s="158"/>
      <c r="AI452" s="158"/>
      <c r="AJ452" s="158"/>
      <c r="AK452" s="158"/>
      <c r="AL452" s="158"/>
      <c r="AM452" s="158">
        <f>1-1</f>
        <v>0</v>
      </c>
      <c r="AN452" s="158"/>
      <c r="AO452" s="158"/>
      <c r="AP452" s="158"/>
      <c r="AQ452" s="158"/>
      <c r="AR452" s="158"/>
      <c r="AS452" s="2">
        <v>0</v>
      </c>
      <c r="AT452" s="58" t="s">
        <v>687</v>
      </c>
      <c r="AU452" s="162" t="s">
        <v>1371</v>
      </c>
      <c r="AV452" s="1"/>
      <c r="AW452" s="158"/>
      <c r="AX452" s="158"/>
      <c r="AY452" s="158"/>
      <c r="AZ452" s="158"/>
      <c r="BA452" s="158"/>
      <c r="BB452" s="69"/>
      <c r="BC452" s="69">
        <v>1</v>
      </c>
      <c r="BD452" s="271" t="s">
        <v>1703</v>
      </c>
      <c r="BE452" s="271"/>
      <c r="BF452" s="271"/>
    </row>
    <row r="453" spans="1:58" s="204" customFormat="1" ht="15" hidden="1" customHeight="1">
      <c r="A453" s="160" t="s">
        <v>510</v>
      </c>
      <c r="B453" s="58" t="s">
        <v>216</v>
      </c>
      <c r="C453" s="148" t="s">
        <v>219</v>
      </c>
      <c r="D453" s="33" t="s">
        <v>220</v>
      </c>
      <c r="E453" s="33"/>
      <c r="F453" s="33"/>
      <c r="G453" s="33"/>
      <c r="H453" s="30"/>
      <c r="I453" s="58"/>
      <c r="J453" s="212"/>
      <c r="K453" s="158"/>
      <c r="L453" s="158"/>
      <c r="M453" s="158"/>
      <c r="N453" s="158"/>
      <c r="O453" s="158"/>
      <c r="P453" s="158"/>
      <c r="Q453" s="158"/>
      <c r="R453" s="158"/>
      <c r="S453" s="158"/>
      <c r="T453" s="586"/>
      <c r="U453" s="158"/>
      <c r="V453" s="311"/>
      <c r="W453" s="311"/>
      <c r="X453" s="311"/>
      <c r="Y453" s="94"/>
      <c r="Z453" s="158"/>
      <c r="AA453" s="158"/>
      <c r="AB453" s="158"/>
      <c r="AC453" s="158"/>
      <c r="AD453" s="158"/>
      <c r="AE453" s="158"/>
      <c r="AF453" s="158"/>
      <c r="AG453" s="158"/>
      <c r="AH453" s="158"/>
      <c r="AI453" s="158"/>
      <c r="AJ453" s="158"/>
      <c r="AK453" s="158"/>
      <c r="AL453" s="158"/>
      <c r="AM453" s="158"/>
      <c r="AN453" s="158"/>
      <c r="AO453" s="158"/>
      <c r="AP453" s="158"/>
      <c r="AQ453" s="158"/>
      <c r="AR453" s="158"/>
      <c r="AS453" s="2">
        <v>1</v>
      </c>
      <c r="AT453" s="58" t="s">
        <v>646</v>
      </c>
      <c r="AU453" s="105"/>
      <c r="AV453" s="158">
        <v>19</v>
      </c>
      <c r="AW453" s="158"/>
      <c r="AX453" s="158"/>
      <c r="AY453" s="158"/>
      <c r="AZ453" s="158"/>
      <c r="BA453" s="158"/>
      <c r="BB453" s="69"/>
      <c r="BC453" s="69"/>
      <c r="BD453" s="271">
        <v>2016</v>
      </c>
      <c r="BE453" s="271"/>
      <c r="BF453" s="271"/>
    </row>
    <row r="454" spans="1:58" s="204" customFormat="1" ht="15" hidden="1" customHeight="1">
      <c r="A454" s="160" t="s">
        <v>510</v>
      </c>
      <c r="B454" s="58" t="s">
        <v>223</v>
      </c>
      <c r="C454" s="148" t="s">
        <v>221</v>
      </c>
      <c r="D454" s="33" t="s">
        <v>222</v>
      </c>
      <c r="E454" s="33"/>
      <c r="F454" s="33"/>
      <c r="G454" s="33"/>
      <c r="H454" s="30" t="s">
        <v>674</v>
      </c>
      <c r="I454" s="30"/>
      <c r="J454" s="212"/>
      <c r="K454" s="1"/>
      <c r="L454" s="1"/>
      <c r="M454" s="1"/>
      <c r="N454" s="1"/>
      <c r="O454" s="1"/>
      <c r="P454" s="158">
        <f>5115379833-1591451503</f>
        <v>3523928330</v>
      </c>
      <c r="Q454" s="1"/>
      <c r="R454" s="158"/>
      <c r="S454" s="1"/>
      <c r="T454" s="586">
        <v>1578666123</v>
      </c>
      <c r="U454" s="1"/>
      <c r="V454" s="311"/>
      <c r="W454" s="311"/>
      <c r="X454" s="311"/>
      <c r="Y454" s="94">
        <v>1945262207</v>
      </c>
      <c r="Z454" s="1"/>
      <c r="AA454" s="1"/>
      <c r="AB454" s="1"/>
      <c r="AC454" s="1"/>
      <c r="AD454" s="158"/>
      <c r="AE454" s="158">
        <f t="shared" ref="AE454:AE455" si="83">P454-T454-Y454</f>
        <v>0</v>
      </c>
      <c r="AF454" s="158"/>
      <c r="AG454" s="158"/>
      <c r="AH454" s="158"/>
      <c r="AI454" s="158"/>
      <c r="AJ454" s="158"/>
      <c r="AK454" s="158">
        <v>877</v>
      </c>
      <c r="AL454" s="158">
        <v>10</v>
      </c>
      <c r="AM454" s="158"/>
      <c r="AN454" s="158"/>
      <c r="AO454" s="1"/>
      <c r="AP454" s="1"/>
      <c r="AQ454" s="1"/>
      <c r="AR454" s="1"/>
      <c r="AS454" s="2"/>
      <c r="AT454" s="58"/>
      <c r="AU454" s="105"/>
      <c r="AV454" s="158">
        <f>62</f>
        <v>62</v>
      </c>
      <c r="AW454" s="1"/>
      <c r="AX454" s="1"/>
      <c r="AY454" s="1"/>
      <c r="AZ454" s="1"/>
      <c r="BA454" s="1"/>
      <c r="BB454" s="287"/>
      <c r="BC454" s="287"/>
      <c r="BD454" s="271">
        <v>2016</v>
      </c>
      <c r="BE454" s="271"/>
      <c r="BF454" s="271"/>
    </row>
    <row r="455" spans="1:58" s="204" customFormat="1" ht="15" hidden="1" customHeight="1">
      <c r="A455" s="230" t="s">
        <v>510</v>
      </c>
      <c r="B455" s="58" t="s">
        <v>223</v>
      </c>
      <c r="C455" s="148" t="s">
        <v>221</v>
      </c>
      <c r="D455" s="33" t="s">
        <v>222</v>
      </c>
      <c r="E455" s="33"/>
      <c r="F455" s="33"/>
      <c r="G455" s="33"/>
      <c r="H455" s="30" t="s">
        <v>674</v>
      </c>
      <c r="I455" s="30"/>
      <c r="J455" s="212"/>
      <c r="K455" s="158"/>
      <c r="L455" s="158"/>
      <c r="M455" s="158"/>
      <c r="N455" s="158"/>
      <c r="O455" s="158"/>
      <c r="P455" s="158">
        <f>1591451503-738888197</f>
        <v>852563306</v>
      </c>
      <c r="Q455" s="158"/>
      <c r="R455" s="158"/>
      <c r="S455" s="158"/>
      <c r="T455" s="586">
        <v>382061159</v>
      </c>
      <c r="U455" s="158">
        <v>10</v>
      </c>
      <c r="V455" s="311"/>
      <c r="W455" s="311"/>
      <c r="X455" s="311"/>
      <c r="Y455" s="94">
        <v>470502147</v>
      </c>
      <c r="Z455" s="158">
        <v>20</v>
      </c>
      <c r="AA455" s="5"/>
      <c r="AB455" s="5"/>
      <c r="AC455" s="5"/>
      <c r="AD455" s="158"/>
      <c r="AE455" s="158">
        <f t="shared" si="83"/>
        <v>0</v>
      </c>
      <c r="AF455" s="158"/>
      <c r="AG455" s="158"/>
      <c r="AH455" s="158"/>
      <c r="AI455" s="158"/>
      <c r="AJ455" s="158"/>
      <c r="AK455" s="158"/>
      <c r="AL455" s="158"/>
      <c r="AM455" s="158"/>
      <c r="AN455" s="158"/>
      <c r="AO455" s="158"/>
      <c r="AP455" s="158"/>
      <c r="AQ455" s="158"/>
      <c r="AR455" s="158"/>
      <c r="AS455" s="2">
        <v>1</v>
      </c>
      <c r="AT455" s="58" t="s">
        <v>646</v>
      </c>
      <c r="AU455" s="206" t="s">
        <v>1103</v>
      </c>
      <c r="AV455" s="1"/>
      <c r="AW455" s="158"/>
      <c r="AX455" s="158">
        <f>28-13</f>
        <v>15</v>
      </c>
      <c r="AY455" s="11"/>
      <c r="AZ455" s="11"/>
      <c r="BA455" s="158"/>
      <c r="BB455" s="69">
        <f>28-13</f>
        <v>15</v>
      </c>
      <c r="BC455" s="69"/>
      <c r="BD455" s="271">
        <v>2018</v>
      </c>
      <c r="BE455" s="271"/>
      <c r="BF455" s="271"/>
    </row>
    <row r="456" spans="1:58" s="204" customFormat="1" ht="18" customHeight="1">
      <c r="A456" s="160" t="s">
        <v>510</v>
      </c>
      <c r="B456" s="58" t="s">
        <v>223</v>
      </c>
      <c r="C456" s="148" t="s">
        <v>221</v>
      </c>
      <c r="D456" s="33" t="s">
        <v>222</v>
      </c>
      <c r="E456" s="33"/>
      <c r="F456" s="33"/>
      <c r="G456" s="33"/>
      <c r="H456" s="30" t="s">
        <v>674</v>
      </c>
      <c r="I456" s="115" t="s">
        <v>1459</v>
      </c>
      <c r="J456" s="215" t="s">
        <v>1458</v>
      </c>
      <c r="K456" s="158"/>
      <c r="L456" s="158">
        <v>13</v>
      </c>
      <c r="M456" s="158"/>
      <c r="N456" s="158">
        <v>0</v>
      </c>
      <c r="O456" s="158"/>
      <c r="P456" s="158">
        <f>738888197</f>
        <v>738888197</v>
      </c>
      <c r="Q456" s="158"/>
      <c r="R456" s="158"/>
      <c r="S456" s="158"/>
      <c r="T456" s="586">
        <v>326455263</v>
      </c>
      <c r="U456" s="158"/>
      <c r="V456" s="311"/>
      <c r="W456" s="311"/>
      <c r="X456" s="311"/>
      <c r="Y456" s="94">
        <v>409128326</v>
      </c>
      <c r="Z456" s="69">
        <v>10</v>
      </c>
      <c r="AA456" s="311">
        <v>43525</v>
      </c>
      <c r="AB456" s="577"/>
      <c r="AC456" s="69"/>
      <c r="AD456" s="158"/>
      <c r="AE456" s="158">
        <f>P456-T456-Y456</f>
        <v>3304608</v>
      </c>
      <c r="AF456" s="158"/>
      <c r="AG456" s="94">
        <v>0</v>
      </c>
      <c r="AH456" s="94"/>
      <c r="AI456" s="94"/>
      <c r="AJ456" s="158">
        <f>AE456+AG456</f>
        <v>3304608</v>
      </c>
      <c r="AK456" s="158">
        <v>877</v>
      </c>
      <c r="AL456" s="158">
        <v>10</v>
      </c>
      <c r="AM456" s="158"/>
      <c r="AN456" s="158"/>
      <c r="AO456" s="158"/>
      <c r="AP456" s="158"/>
      <c r="AQ456" s="158"/>
      <c r="AR456" s="158"/>
      <c r="AS456" s="2">
        <v>1</v>
      </c>
      <c r="AT456" s="58" t="s">
        <v>646</v>
      </c>
      <c r="AU456" s="348" t="s">
        <v>1103</v>
      </c>
      <c r="AV456" s="1"/>
      <c r="AW456" s="158"/>
      <c r="AX456" s="158"/>
      <c r="AY456" s="158">
        <v>13</v>
      </c>
      <c r="AZ456" s="158"/>
      <c r="BA456" s="158"/>
      <c r="BB456" s="69">
        <v>13</v>
      </c>
      <c r="BC456" s="69"/>
      <c r="BD456" s="271">
        <v>2019</v>
      </c>
      <c r="BE456" s="271">
        <v>2019</v>
      </c>
      <c r="BF456" s="271" t="s">
        <v>2194</v>
      </c>
    </row>
    <row r="457" spans="1:58" s="204" customFormat="1" ht="15" hidden="1" customHeight="1">
      <c r="A457" s="248" t="s">
        <v>510</v>
      </c>
      <c r="B457" s="58" t="s">
        <v>546</v>
      </c>
      <c r="C457" s="148" t="s">
        <v>224</v>
      </c>
      <c r="D457" s="33" t="s">
        <v>3</v>
      </c>
      <c r="E457" s="33"/>
      <c r="F457" s="33"/>
      <c r="G457" s="33"/>
      <c r="H457" s="30"/>
      <c r="I457" s="58"/>
      <c r="J457" s="212"/>
      <c r="K457" s="158"/>
      <c r="L457" s="158"/>
      <c r="M457" s="158"/>
      <c r="N457" s="158"/>
      <c r="O457" s="158"/>
      <c r="P457" s="158"/>
      <c r="Q457" s="158"/>
      <c r="R457" s="158"/>
      <c r="S457" s="158"/>
      <c r="T457" s="586"/>
      <c r="U457" s="158"/>
      <c r="V457" s="311"/>
      <c r="W457" s="311"/>
      <c r="X457" s="311"/>
      <c r="Y457" s="94"/>
      <c r="Z457" s="158"/>
      <c r="AA457" s="92"/>
      <c r="AB457" s="92"/>
      <c r="AC457" s="92"/>
      <c r="AD457" s="158"/>
      <c r="AE457" s="158"/>
      <c r="AF457" s="158"/>
      <c r="AG457" s="158"/>
      <c r="AH457" s="158"/>
      <c r="AI457" s="158"/>
      <c r="AJ457" s="158"/>
      <c r="AK457" s="158"/>
      <c r="AL457" s="158"/>
      <c r="AM457" s="158"/>
      <c r="AN457" s="158"/>
      <c r="AO457" s="158"/>
      <c r="AP457" s="158"/>
      <c r="AQ457" s="158"/>
      <c r="AR457" s="158"/>
      <c r="AS457" s="2">
        <v>1</v>
      </c>
      <c r="AT457" s="58" t="s">
        <v>646</v>
      </c>
      <c r="AU457" s="105"/>
      <c r="AV457" s="158">
        <v>10</v>
      </c>
      <c r="AW457" s="158"/>
      <c r="AX457" s="158"/>
      <c r="AY457" s="158"/>
      <c r="AZ457" s="158"/>
      <c r="BA457" s="158"/>
      <c r="BB457" s="69"/>
      <c r="BC457" s="69"/>
      <c r="BD457" s="271">
        <v>2016</v>
      </c>
      <c r="BE457" s="271"/>
      <c r="BF457" s="271"/>
    </row>
    <row r="458" spans="1:58" s="204" customFormat="1" ht="15" hidden="1" customHeight="1">
      <c r="A458" s="160" t="s">
        <v>510</v>
      </c>
      <c r="B458" s="58" t="s">
        <v>226</v>
      </c>
      <c r="C458" s="148" t="s">
        <v>225</v>
      </c>
      <c r="D458" s="33" t="s">
        <v>7</v>
      </c>
      <c r="E458" s="33"/>
      <c r="F458" s="33"/>
      <c r="G458" s="33"/>
      <c r="H458" s="30"/>
      <c r="I458" s="58"/>
      <c r="J458" s="212"/>
      <c r="K458" s="158"/>
      <c r="L458" s="158"/>
      <c r="M458" s="158"/>
      <c r="N458" s="158"/>
      <c r="O458" s="158"/>
      <c r="P458" s="158"/>
      <c r="Q458" s="158"/>
      <c r="R458" s="158"/>
      <c r="S458" s="158"/>
      <c r="T458" s="586"/>
      <c r="U458" s="158"/>
      <c r="V458" s="311"/>
      <c r="W458" s="311"/>
      <c r="X458" s="311"/>
      <c r="Y458" s="94"/>
      <c r="Z458" s="158"/>
      <c r="AA458" s="158"/>
      <c r="AB458" s="158"/>
      <c r="AC458" s="158"/>
      <c r="AD458" s="158"/>
      <c r="AE458" s="158"/>
      <c r="AF458" s="158"/>
      <c r="AG458" s="158"/>
      <c r="AH458" s="158"/>
      <c r="AI458" s="158"/>
      <c r="AJ458" s="158"/>
      <c r="AK458" s="158"/>
      <c r="AL458" s="158"/>
      <c r="AM458" s="158"/>
      <c r="AN458" s="158"/>
      <c r="AO458" s="158"/>
      <c r="AP458" s="158"/>
      <c r="AQ458" s="158"/>
      <c r="AR458" s="158"/>
      <c r="AS458" s="2">
        <v>1</v>
      </c>
      <c r="AT458" s="58" t="s">
        <v>646</v>
      </c>
      <c r="AU458" s="105"/>
      <c r="AV458" s="158">
        <v>17</v>
      </c>
      <c r="AW458" s="158"/>
      <c r="AX458" s="158"/>
      <c r="AY458" s="158"/>
      <c r="AZ458" s="158"/>
      <c r="BA458" s="158"/>
      <c r="BB458" s="69"/>
      <c r="BC458" s="69"/>
      <c r="BD458" s="271">
        <v>2016</v>
      </c>
      <c r="BE458" s="271"/>
      <c r="BF458" s="271"/>
    </row>
    <row r="459" spans="1:58" s="204" customFormat="1" ht="15" hidden="1" customHeight="1">
      <c r="A459" s="160" t="s">
        <v>510</v>
      </c>
      <c r="B459" s="58" t="s">
        <v>216</v>
      </c>
      <c r="C459" s="148" t="s">
        <v>227</v>
      </c>
      <c r="D459" s="33" t="s">
        <v>30</v>
      </c>
      <c r="E459" s="33"/>
      <c r="F459" s="33"/>
      <c r="G459" s="33"/>
      <c r="H459" s="30"/>
      <c r="I459" s="58"/>
      <c r="J459" s="212"/>
      <c r="K459" s="158"/>
      <c r="L459" s="158"/>
      <c r="M459" s="158"/>
      <c r="N459" s="158"/>
      <c r="O459" s="158"/>
      <c r="P459" s="158"/>
      <c r="Q459" s="158"/>
      <c r="R459" s="158"/>
      <c r="S459" s="158"/>
      <c r="T459" s="586"/>
      <c r="U459" s="158"/>
      <c r="V459" s="311"/>
      <c r="W459" s="311"/>
      <c r="X459" s="311"/>
      <c r="Y459" s="94"/>
      <c r="Z459" s="158"/>
      <c r="AA459" s="158"/>
      <c r="AB459" s="158"/>
      <c r="AC459" s="158"/>
      <c r="AD459" s="158"/>
      <c r="AE459" s="158"/>
      <c r="AF459" s="158"/>
      <c r="AG459" s="158"/>
      <c r="AH459" s="158"/>
      <c r="AI459" s="158"/>
      <c r="AJ459" s="158"/>
      <c r="AK459" s="158"/>
      <c r="AL459" s="158"/>
      <c r="AM459" s="158"/>
      <c r="AN459" s="158"/>
      <c r="AO459" s="158"/>
      <c r="AP459" s="158"/>
      <c r="AQ459" s="158"/>
      <c r="AR459" s="158"/>
      <c r="AS459" s="2">
        <v>1</v>
      </c>
      <c r="AT459" s="58" t="s">
        <v>646</v>
      </c>
      <c r="AU459" s="105"/>
      <c r="AV459" s="158">
        <v>24</v>
      </c>
      <c r="AW459" s="158"/>
      <c r="AX459" s="158"/>
      <c r="AY459" s="158"/>
      <c r="AZ459" s="158"/>
      <c r="BA459" s="158"/>
      <c r="BB459" s="69"/>
      <c r="BC459" s="69"/>
      <c r="BD459" s="271">
        <v>2016</v>
      </c>
      <c r="BE459" s="271"/>
      <c r="BF459" s="271"/>
    </row>
    <row r="460" spans="1:58" s="204" customFormat="1" ht="15" hidden="1" customHeight="1">
      <c r="A460" s="160" t="s">
        <v>510</v>
      </c>
      <c r="B460" s="58" t="s">
        <v>216</v>
      </c>
      <c r="C460" s="148" t="s">
        <v>228</v>
      </c>
      <c r="D460" s="33" t="s">
        <v>229</v>
      </c>
      <c r="E460" s="33"/>
      <c r="F460" s="33"/>
      <c r="G460" s="33"/>
      <c r="H460" s="30"/>
      <c r="I460" s="58"/>
      <c r="J460" s="212"/>
      <c r="K460" s="158"/>
      <c r="L460" s="158"/>
      <c r="M460" s="158"/>
      <c r="N460" s="158"/>
      <c r="O460" s="158"/>
      <c r="P460" s="158"/>
      <c r="Q460" s="158"/>
      <c r="R460" s="158"/>
      <c r="S460" s="158"/>
      <c r="T460" s="586"/>
      <c r="U460" s="158"/>
      <c r="V460" s="311"/>
      <c r="W460" s="311"/>
      <c r="X460" s="311"/>
      <c r="Y460" s="94"/>
      <c r="Z460" s="158"/>
      <c r="AA460" s="158"/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2">
        <v>1</v>
      </c>
      <c r="AT460" s="58" t="s">
        <v>646</v>
      </c>
      <c r="AU460" s="105"/>
      <c r="AV460" s="158">
        <v>22</v>
      </c>
      <c r="AW460" s="158" t="s">
        <v>0</v>
      </c>
      <c r="AX460" s="158"/>
      <c r="AY460" s="158"/>
      <c r="AZ460" s="158"/>
      <c r="BA460" s="158"/>
      <c r="BB460" s="69"/>
      <c r="BC460" s="69"/>
      <c r="BD460" s="271">
        <v>2016</v>
      </c>
      <c r="BE460" s="271"/>
      <c r="BF460" s="271"/>
    </row>
    <row r="461" spans="1:58" s="204" customFormat="1" ht="15" hidden="1" customHeight="1">
      <c r="A461" s="160" t="s">
        <v>510</v>
      </c>
      <c r="B461" s="58" t="s">
        <v>216</v>
      </c>
      <c r="C461" s="148" t="s">
        <v>230</v>
      </c>
      <c r="D461" s="33" t="s">
        <v>61</v>
      </c>
      <c r="E461" s="33"/>
      <c r="F461" s="33"/>
      <c r="G461" s="33"/>
      <c r="H461" s="30"/>
      <c r="I461" s="58"/>
      <c r="J461" s="212"/>
      <c r="K461" s="158"/>
      <c r="L461" s="158"/>
      <c r="M461" s="158"/>
      <c r="N461" s="158"/>
      <c r="O461" s="158"/>
      <c r="P461" s="158"/>
      <c r="Q461" s="158"/>
      <c r="R461" s="158"/>
      <c r="S461" s="158"/>
      <c r="T461" s="586"/>
      <c r="U461" s="158"/>
      <c r="V461" s="311"/>
      <c r="W461" s="311"/>
      <c r="X461" s="311"/>
      <c r="Y461" s="94"/>
      <c r="Z461" s="158"/>
      <c r="AA461" s="158"/>
      <c r="AB461" s="158"/>
      <c r="AC461" s="158"/>
      <c r="AD461" s="158"/>
      <c r="AE461" s="158"/>
      <c r="AF461" s="158"/>
      <c r="AG461" s="158"/>
      <c r="AH461" s="158"/>
      <c r="AI461" s="158"/>
      <c r="AJ461" s="158"/>
      <c r="AK461" s="158"/>
      <c r="AL461" s="158"/>
      <c r="AM461" s="158"/>
      <c r="AN461" s="158"/>
      <c r="AO461" s="158"/>
      <c r="AP461" s="158"/>
      <c r="AQ461" s="158"/>
      <c r="AR461" s="158"/>
      <c r="AS461" s="2">
        <v>1</v>
      </c>
      <c r="AT461" s="58" t="s">
        <v>646</v>
      </c>
      <c r="AU461" s="105"/>
      <c r="AV461" s="158">
        <v>13</v>
      </c>
      <c r="AW461" s="158"/>
      <c r="AX461" s="158"/>
      <c r="AY461" s="158"/>
      <c r="AZ461" s="158"/>
      <c r="BA461" s="158"/>
      <c r="BB461" s="69"/>
      <c r="BC461" s="69"/>
      <c r="BD461" s="271">
        <v>2016</v>
      </c>
      <c r="BE461" s="271"/>
      <c r="BF461" s="271"/>
    </row>
    <row r="462" spans="1:58" s="204" customFormat="1" ht="15" hidden="1" customHeight="1">
      <c r="A462" s="160" t="s">
        <v>510</v>
      </c>
      <c r="B462" s="58" t="s">
        <v>262</v>
      </c>
      <c r="C462" s="148" t="s">
        <v>231</v>
      </c>
      <c r="D462" s="33" t="s">
        <v>91</v>
      </c>
      <c r="E462" s="33"/>
      <c r="F462" s="33"/>
      <c r="G462" s="33"/>
      <c r="H462" s="30"/>
      <c r="I462" s="58"/>
      <c r="J462" s="212"/>
      <c r="K462" s="158"/>
      <c r="L462" s="158"/>
      <c r="M462" s="158"/>
      <c r="N462" s="158"/>
      <c r="O462" s="158"/>
      <c r="P462" s="158"/>
      <c r="Q462" s="158"/>
      <c r="R462" s="158"/>
      <c r="S462" s="158"/>
      <c r="T462" s="586"/>
      <c r="U462" s="158"/>
      <c r="V462" s="311"/>
      <c r="W462" s="311"/>
      <c r="X462" s="311"/>
      <c r="Y462" s="94"/>
      <c r="Z462" s="158"/>
      <c r="AA462" s="158"/>
      <c r="AB462" s="158"/>
      <c r="AC462" s="158"/>
      <c r="AD462" s="158"/>
      <c r="AE462" s="158"/>
      <c r="AF462" s="158"/>
      <c r="AG462" s="158"/>
      <c r="AH462" s="158"/>
      <c r="AI462" s="158"/>
      <c r="AJ462" s="158"/>
      <c r="AK462" s="158"/>
      <c r="AL462" s="158"/>
      <c r="AM462" s="158"/>
      <c r="AN462" s="158"/>
      <c r="AO462" s="158"/>
      <c r="AP462" s="158"/>
      <c r="AQ462" s="158"/>
      <c r="AR462" s="158"/>
      <c r="AS462" s="2">
        <v>1</v>
      </c>
      <c r="AT462" s="58" t="s">
        <v>646</v>
      </c>
      <c r="AU462" s="105"/>
      <c r="AV462" s="158">
        <v>48</v>
      </c>
      <c r="AW462" s="158"/>
      <c r="AX462" s="158"/>
      <c r="AY462" s="158"/>
      <c r="AZ462" s="158"/>
      <c r="BA462" s="158"/>
      <c r="BB462" s="69"/>
      <c r="BC462" s="69"/>
      <c r="BD462" s="271">
        <v>2016</v>
      </c>
      <c r="BE462" s="271"/>
      <c r="BF462" s="271"/>
    </row>
    <row r="463" spans="1:58" s="204" customFormat="1" ht="15" hidden="1" customHeight="1">
      <c r="A463" s="160" t="s">
        <v>510</v>
      </c>
      <c r="B463" s="58" t="s">
        <v>280</v>
      </c>
      <c r="C463" s="148" t="s">
        <v>232</v>
      </c>
      <c r="D463" s="33" t="s">
        <v>30</v>
      </c>
      <c r="E463" s="33"/>
      <c r="F463" s="33"/>
      <c r="G463" s="33"/>
      <c r="H463" s="30"/>
      <c r="I463" s="58"/>
      <c r="J463" s="212"/>
      <c r="K463" s="158"/>
      <c r="L463" s="158"/>
      <c r="M463" s="158"/>
      <c r="N463" s="158"/>
      <c r="O463" s="158"/>
      <c r="P463" s="158"/>
      <c r="Q463" s="158"/>
      <c r="R463" s="158"/>
      <c r="S463" s="158"/>
      <c r="T463" s="586"/>
      <c r="U463" s="158"/>
      <c r="V463" s="311"/>
      <c r="W463" s="311"/>
      <c r="X463" s="311"/>
      <c r="Y463" s="94"/>
      <c r="Z463" s="158"/>
      <c r="AA463" s="158"/>
      <c r="AB463" s="158"/>
      <c r="AC463" s="158"/>
      <c r="AD463" s="158"/>
      <c r="AE463" s="158"/>
      <c r="AF463" s="158"/>
      <c r="AG463" s="158"/>
      <c r="AH463" s="158"/>
      <c r="AI463" s="158"/>
      <c r="AJ463" s="158"/>
      <c r="AK463" s="158"/>
      <c r="AL463" s="158"/>
      <c r="AM463" s="158"/>
      <c r="AN463" s="158"/>
      <c r="AO463" s="158"/>
      <c r="AP463" s="158"/>
      <c r="AQ463" s="158"/>
      <c r="AR463" s="158"/>
      <c r="AS463" s="2">
        <v>1</v>
      </c>
      <c r="AT463" s="58" t="s">
        <v>646</v>
      </c>
      <c r="AU463" s="105"/>
      <c r="AV463" s="158">
        <v>54</v>
      </c>
      <c r="AW463" s="158"/>
      <c r="AX463" s="158"/>
      <c r="AY463" s="158"/>
      <c r="AZ463" s="158"/>
      <c r="BA463" s="158"/>
      <c r="BB463" s="69"/>
      <c r="BC463" s="69"/>
      <c r="BD463" s="271">
        <v>2016</v>
      </c>
      <c r="BE463" s="271"/>
      <c r="BF463" s="271"/>
    </row>
    <row r="464" spans="1:58" s="204" customFormat="1" ht="15" hidden="1" customHeight="1">
      <c r="A464" s="160" t="s">
        <v>510</v>
      </c>
      <c r="B464" s="58" t="s">
        <v>186</v>
      </c>
      <c r="C464" s="148" t="s">
        <v>694</v>
      </c>
      <c r="D464" s="33" t="s">
        <v>46</v>
      </c>
      <c r="E464" s="33"/>
      <c r="F464" s="33"/>
      <c r="G464" s="33"/>
      <c r="H464" s="30"/>
      <c r="I464" s="58"/>
      <c r="J464" s="212"/>
      <c r="K464" s="158"/>
      <c r="L464" s="158"/>
      <c r="M464" s="158"/>
      <c r="N464" s="158"/>
      <c r="O464" s="158"/>
      <c r="P464" s="158"/>
      <c r="Q464" s="158"/>
      <c r="R464" s="158"/>
      <c r="S464" s="158"/>
      <c r="T464" s="586"/>
      <c r="U464" s="158"/>
      <c r="V464" s="311"/>
      <c r="W464" s="311"/>
      <c r="X464" s="311"/>
      <c r="Y464" s="94"/>
      <c r="Z464" s="158"/>
      <c r="AA464" s="158"/>
      <c r="AB464" s="158"/>
      <c r="AC464" s="158"/>
      <c r="AD464" s="158"/>
      <c r="AE464" s="158"/>
      <c r="AF464" s="158"/>
      <c r="AG464" s="158"/>
      <c r="AH464" s="158"/>
      <c r="AI464" s="158"/>
      <c r="AJ464" s="158"/>
      <c r="AK464" s="158"/>
      <c r="AL464" s="158"/>
      <c r="AM464" s="158"/>
      <c r="AN464" s="158"/>
      <c r="AO464" s="158"/>
      <c r="AP464" s="158"/>
      <c r="AQ464" s="158"/>
      <c r="AR464" s="158"/>
      <c r="AS464" s="2">
        <v>1</v>
      </c>
      <c r="AT464" s="58" t="s">
        <v>646</v>
      </c>
      <c r="AU464" s="105"/>
      <c r="AV464" s="158">
        <v>28</v>
      </c>
      <c r="AW464" s="158"/>
      <c r="AX464" s="158"/>
      <c r="AY464" s="158"/>
      <c r="AZ464" s="158"/>
      <c r="BA464" s="158"/>
      <c r="BB464" s="69"/>
      <c r="BC464" s="69"/>
      <c r="BD464" s="271">
        <v>2016</v>
      </c>
      <c r="BE464" s="271"/>
      <c r="BF464" s="271"/>
    </row>
    <row r="465" spans="1:58" s="204" customFormat="1" ht="15" hidden="1" customHeight="1">
      <c r="A465" s="160" t="s">
        <v>510</v>
      </c>
      <c r="B465" s="58" t="s">
        <v>186</v>
      </c>
      <c r="C465" s="148" t="s">
        <v>694</v>
      </c>
      <c r="D465" s="33" t="s">
        <v>46</v>
      </c>
      <c r="E465" s="33"/>
      <c r="F465" s="33"/>
      <c r="G465" s="33"/>
      <c r="H465" s="30" t="s">
        <v>658</v>
      </c>
      <c r="I465" s="30"/>
      <c r="J465" s="212"/>
      <c r="K465" s="158"/>
      <c r="L465" s="158"/>
      <c r="M465" s="158"/>
      <c r="N465" s="158"/>
      <c r="O465" s="158"/>
      <c r="P465" s="158"/>
      <c r="Q465" s="158"/>
      <c r="R465" s="158"/>
      <c r="S465" s="158"/>
      <c r="T465" s="586"/>
      <c r="U465" s="158"/>
      <c r="V465" s="311"/>
      <c r="W465" s="311"/>
      <c r="X465" s="311"/>
      <c r="Y465" s="94"/>
      <c r="Z465" s="158"/>
      <c r="AA465" s="158"/>
      <c r="AB465" s="158"/>
      <c r="AC465" s="158"/>
      <c r="AD465" s="158"/>
      <c r="AE465" s="158"/>
      <c r="AF465" s="158"/>
      <c r="AG465" s="158"/>
      <c r="AH465" s="158"/>
      <c r="AI465" s="158"/>
      <c r="AJ465" s="158"/>
      <c r="AK465" s="158"/>
      <c r="AL465" s="158"/>
      <c r="AM465" s="158">
        <f>1-1</f>
        <v>0</v>
      </c>
      <c r="AN465" s="158"/>
      <c r="AO465" s="158"/>
      <c r="AP465" s="158"/>
      <c r="AQ465" s="158"/>
      <c r="AR465" s="158"/>
      <c r="AS465" s="2">
        <v>0</v>
      </c>
      <c r="AT465" s="58" t="s">
        <v>687</v>
      </c>
      <c r="AU465" s="162" t="s">
        <v>1371</v>
      </c>
      <c r="AV465" s="158"/>
      <c r="AW465" s="158"/>
      <c r="AX465" s="158"/>
      <c r="AY465" s="158"/>
      <c r="AZ465" s="158"/>
      <c r="BA465" s="158"/>
      <c r="BB465" s="69"/>
      <c r="BC465" s="69">
        <v>1</v>
      </c>
      <c r="BD465" s="271" t="s">
        <v>1703</v>
      </c>
      <c r="BE465" s="271"/>
      <c r="BF465" s="271"/>
    </row>
    <row r="466" spans="1:58" s="204" customFormat="1" ht="15" hidden="1" customHeight="1">
      <c r="A466" s="160" t="s">
        <v>510</v>
      </c>
      <c r="B466" s="58" t="s">
        <v>546</v>
      </c>
      <c r="C466" s="148" t="s">
        <v>233</v>
      </c>
      <c r="D466" s="33" t="s">
        <v>234</v>
      </c>
      <c r="E466" s="33"/>
      <c r="F466" s="33"/>
      <c r="G466" s="33"/>
      <c r="H466" s="30"/>
      <c r="I466" s="30"/>
      <c r="J466" s="212"/>
      <c r="K466" s="158"/>
      <c r="L466" s="158"/>
      <c r="M466" s="158"/>
      <c r="N466" s="158"/>
      <c r="O466" s="158"/>
      <c r="P466" s="158"/>
      <c r="Q466" s="158"/>
      <c r="R466" s="158"/>
      <c r="S466" s="158"/>
      <c r="T466" s="586"/>
      <c r="U466" s="158"/>
      <c r="V466" s="311"/>
      <c r="W466" s="311"/>
      <c r="X466" s="311"/>
      <c r="Y466" s="94"/>
      <c r="Z466" s="158"/>
      <c r="AA466" s="158"/>
      <c r="AB466" s="158"/>
      <c r="AC466" s="158"/>
      <c r="AD466" s="158"/>
      <c r="AE466" s="158"/>
      <c r="AF466" s="158"/>
      <c r="AG466" s="158"/>
      <c r="AH466" s="158"/>
      <c r="AI466" s="158"/>
      <c r="AJ466" s="158"/>
      <c r="AK466" s="158"/>
      <c r="AL466" s="158"/>
      <c r="AM466" s="158"/>
      <c r="AN466" s="158"/>
      <c r="AO466" s="158"/>
      <c r="AP466" s="158"/>
      <c r="AQ466" s="158"/>
      <c r="AR466" s="158"/>
      <c r="AS466" s="2"/>
      <c r="AT466" s="58"/>
      <c r="AU466" s="105"/>
      <c r="AV466" s="158">
        <v>35</v>
      </c>
      <c r="AW466" s="158"/>
      <c r="AX466" s="158"/>
      <c r="AY466" s="158"/>
      <c r="AZ466" s="158"/>
      <c r="BA466" s="158"/>
      <c r="BB466" s="69"/>
      <c r="BC466" s="69"/>
      <c r="BD466" s="271">
        <v>2016</v>
      </c>
      <c r="BE466" s="271"/>
      <c r="BF466" s="271"/>
    </row>
    <row r="467" spans="1:58" s="204" customFormat="1" ht="15" hidden="1" customHeight="1">
      <c r="A467" s="160" t="s">
        <v>510</v>
      </c>
      <c r="B467" s="58" t="s">
        <v>197</v>
      </c>
      <c r="C467" s="148" t="s">
        <v>235</v>
      </c>
      <c r="D467" s="33" t="s">
        <v>524</v>
      </c>
      <c r="E467" s="33"/>
      <c r="F467" s="33"/>
      <c r="G467" s="33"/>
      <c r="H467" s="30" t="s">
        <v>653</v>
      </c>
      <c r="I467" s="30">
        <v>2904</v>
      </c>
      <c r="J467" s="212">
        <v>42359</v>
      </c>
      <c r="K467" s="158"/>
      <c r="L467" s="158"/>
      <c r="M467" s="158"/>
      <c r="N467" s="158"/>
      <c r="O467" s="158"/>
      <c r="P467" s="158"/>
      <c r="Q467" s="158"/>
      <c r="R467" s="158"/>
      <c r="S467" s="158"/>
      <c r="T467" s="586"/>
      <c r="U467" s="158"/>
      <c r="V467" s="311"/>
      <c r="W467" s="311"/>
      <c r="X467" s="311"/>
      <c r="Y467" s="94"/>
      <c r="Z467" s="158"/>
      <c r="AA467" s="158"/>
      <c r="AB467" s="158"/>
      <c r="AC467" s="158"/>
      <c r="AD467" s="158"/>
      <c r="AE467" s="158"/>
      <c r="AF467" s="158"/>
      <c r="AG467" s="158"/>
      <c r="AH467" s="158"/>
      <c r="AI467" s="158"/>
      <c r="AJ467" s="158"/>
      <c r="AK467" s="158"/>
      <c r="AL467" s="158"/>
      <c r="AM467" s="158"/>
      <c r="AN467" s="158"/>
      <c r="AO467" s="158"/>
      <c r="AP467" s="158"/>
      <c r="AQ467" s="158"/>
      <c r="AR467" s="158"/>
      <c r="AS467" s="2">
        <v>1</v>
      </c>
      <c r="AT467" s="58" t="s">
        <v>646</v>
      </c>
      <c r="AU467" s="105"/>
      <c r="AV467" s="158" t="s">
        <v>0</v>
      </c>
      <c r="AW467" s="158">
        <v>50</v>
      </c>
      <c r="AX467" s="158"/>
      <c r="AY467" s="158"/>
      <c r="AZ467" s="158"/>
      <c r="BA467" s="158"/>
      <c r="BB467" s="69"/>
      <c r="BC467" s="69"/>
      <c r="BD467" s="271">
        <v>2017</v>
      </c>
      <c r="BE467" s="271"/>
      <c r="BF467" s="271"/>
    </row>
    <row r="468" spans="1:58" s="204" customFormat="1" ht="15" hidden="1" customHeight="1">
      <c r="A468" s="160" t="s">
        <v>510</v>
      </c>
      <c r="B468" s="58" t="s">
        <v>197</v>
      </c>
      <c r="C468" s="148" t="s">
        <v>235</v>
      </c>
      <c r="D468" s="33" t="s">
        <v>524</v>
      </c>
      <c r="E468" s="33"/>
      <c r="F468" s="33"/>
      <c r="G468" s="33"/>
      <c r="H468" s="30" t="s">
        <v>653</v>
      </c>
      <c r="I468" s="30">
        <v>2904</v>
      </c>
      <c r="J468" s="212">
        <v>42359</v>
      </c>
      <c r="K468" s="158"/>
      <c r="L468" s="158"/>
      <c r="M468" s="158"/>
      <c r="N468" s="158"/>
      <c r="O468" s="158"/>
      <c r="P468" s="158"/>
      <c r="Q468" s="158"/>
      <c r="R468" s="158"/>
      <c r="S468" s="158"/>
      <c r="T468" s="586"/>
      <c r="U468" s="158"/>
      <c r="V468" s="311"/>
      <c r="W468" s="311"/>
      <c r="X468" s="311"/>
      <c r="Y468" s="94"/>
      <c r="Z468" s="158"/>
      <c r="AA468" s="158"/>
      <c r="AB468" s="158"/>
      <c r="AC468" s="158"/>
      <c r="AD468" s="158"/>
      <c r="AE468" s="158"/>
      <c r="AF468" s="158"/>
      <c r="AG468" s="158"/>
      <c r="AH468" s="158"/>
      <c r="AI468" s="158"/>
      <c r="AJ468" s="158"/>
      <c r="AK468" s="158"/>
      <c r="AL468" s="158"/>
      <c r="AM468" s="158"/>
      <c r="AN468" s="158"/>
      <c r="AO468" s="12"/>
      <c r="AP468" s="12"/>
      <c r="AQ468" s="12"/>
      <c r="AR468" s="12"/>
      <c r="AS468" s="2">
        <v>1</v>
      </c>
      <c r="AT468" s="58" t="s">
        <v>646</v>
      </c>
      <c r="AU468" s="206" t="s">
        <v>1103</v>
      </c>
      <c r="AV468" s="158"/>
      <c r="AW468" s="11"/>
      <c r="AX468" s="12">
        <v>60</v>
      </c>
      <c r="AY468" s="12"/>
      <c r="AZ468" s="12"/>
      <c r="BA468" s="12">
        <v>60</v>
      </c>
      <c r="BB468" s="285"/>
      <c r="BC468" s="285"/>
      <c r="BD468" s="271">
        <v>2018</v>
      </c>
      <c r="BE468" s="271"/>
      <c r="BF468" s="271"/>
    </row>
    <row r="469" spans="1:58" s="204" customFormat="1" ht="15" hidden="1" customHeight="1">
      <c r="A469" s="160" t="s">
        <v>510</v>
      </c>
      <c r="B469" s="58" t="s">
        <v>197</v>
      </c>
      <c r="C469" s="148" t="s">
        <v>235</v>
      </c>
      <c r="D469" s="33" t="s">
        <v>524</v>
      </c>
      <c r="E469" s="33"/>
      <c r="F469" s="33"/>
      <c r="G469" s="33"/>
      <c r="H469" s="30" t="s">
        <v>653</v>
      </c>
      <c r="I469" s="30">
        <v>2904</v>
      </c>
      <c r="J469" s="212">
        <v>42359</v>
      </c>
      <c r="K469" s="158"/>
      <c r="L469" s="158"/>
      <c r="M469" s="158"/>
      <c r="N469" s="158"/>
      <c r="O469" s="158"/>
      <c r="P469" s="158"/>
      <c r="Q469" s="158"/>
      <c r="R469" s="158"/>
      <c r="S469" s="158"/>
      <c r="T469" s="586"/>
      <c r="U469" s="158"/>
      <c r="V469" s="311"/>
      <c r="W469" s="311"/>
      <c r="X469" s="311"/>
      <c r="Y469" s="94"/>
      <c r="Z469" s="158"/>
      <c r="AA469" s="158"/>
      <c r="AB469" s="158"/>
      <c r="AC469" s="158"/>
      <c r="AD469" s="158"/>
      <c r="AE469" s="158"/>
      <c r="AF469" s="158"/>
      <c r="AG469" s="158"/>
      <c r="AH469" s="158"/>
      <c r="AI469" s="158"/>
      <c r="AJ469" s="158"/>
      <c r="AK469" s="158"/>
      <c r="AL469" s="158"/>
      <c r="AM469" s="158"/>
      <c r="AN469" s="158"/>
      <c r="AO469" s="12"/>
      <c r="AP469" s="12"/>
      <c r="AQ469" s="12"/>
      <c r="AR469" s="12"/>
      <c r="AS469" s="2">
        <v>1</v>
      </c>
      <c r="AT469" s="58" t="s">
        <v>646</v>
      </c>
      <c r="AU469" s="206" t="s">
        <v>1103</v>
      </c>
      <c r="AV469" s="158"/>
      <c r="AW469" s="11"/>
      <c r="AX469" s="12">
        <v>50</v>
      </c>
      <c r="AY469" s="12"/>
      <c r="AZ469" s="12"/>
      <c r="BA469" s="12">
        <v>50</v>
      </c>
      <c r="BB469" s="285"/>
      <c r="BC469" s="285"/>
      <c r="BD469" s="271">
        <v>2018</v>
      </c>
      <c r="BE469" s="271"/>
      <c r="BF469" s="271"/>
    </row>
    <row r="470" spans="1:58" s="204" customFormat="1" ht="18" customHeight="1">
      <c r="A470" s="160" t="s">
        <v>510</v>
      </c>
      <c r="B470" s="58" t="s">
        <v>197</v>
      </c>
      <c r="C470" s="148" t="s">
        <v>235</v>
      </c>
      <c r="D470" s="33" t="s">
        <v>524</v>
      </c>
      <c r="E470" s="33"/>
      <c r="F470" s="33"/>
      <c r="G470" s="33"/>
      <c r="H470" s="30" t="s">
        <v>653</v>
      </c>
      <c r="I470" s="30">
        <v>2904</v>
      </c>
      <c r="J470" s="212">
        <v>42359</v>
      </c>
      <c r="K470" s="158"/>
      <c r="L470" s="158"/>
      <c r="M470" s="158">
        <f>30-4</f>
        <v>26</v>
      </c>
      <c r="N470" s="158">
        <v>26</v>
      </c>
      <c r="O470" s="158"/>
      <c r="P470" s="158">
        <f>2052017822-273858641</f>
        <v>1778159181</v>
      </c>
      <c r="Q470" s="158">
        <v>317255657</v>
      </c>
      <c r="R470" s="158"/>
      <c r="S470" s="158"/>
      <c r="T470" s="586"/>
      <c r="U470" s="158"/>
      <c r="V470" s="311"/>
      <c r="W470" s="311"/>
      <c r="X470" s="311"/>
      <c r="Y470" s="94"/>
      <c r="Z470" s="158"/>
      <c r="AA470" s="158"/>
      <c r="AB470" s="158"/>
      <c r="AC470" s="158"/>
      <c r="AD470" s="158"/>
      <c r="AE470" s="158">
        <f>P470-Q470-T470-Y470-1460903524</f>
        <v>0</v>
      </c>
      <c r="AF470" s="158"/>
      <c r="AG470" s="158">
        <v>1460903524</v>
      </c>
      <c r="AH470" s="158"/>
      <c r="AI470" s="158"/>
      <c r="AJ470" s="158">
        <f>AE470+AG470</f>
        <v>1460903524</v>
      </c>
      <c r="AK470" s="158">
        <v>877</v>
      </c>
      <c r="AL470" s="158">
        <v>10</v>
      </c>
      <c r="AM470" s="158">
        <v>26</v>
      </c>
      <c r="AN470" s="158"/>
      <c r="AO470" s="158"/>
      <c r="AP470" s="158"/>
      <c r="AQ470" s="158"/>
      <c r="AR470" s="158"/>
      <c r="AS470" s="2">
        <v>0</v>
      </c>
      <c r="AT470" s="58" t="s">
        <v>521</v>
      </c>
      <c r="AU470" s="348"/>
      <c r="AV470" s="158"/>
      <c r="AW470" s="11"/>
      <c r="AX470" s="12"/>
      <c r="AY470" s="12"/>
      <c r="AZ470" s="12"/>
      <c r="BA470" s="12"/>
      <c r="BB470" s="285"/>
      <c r="BC470" s="285"/>
      <c r="BD470" s="271"/>
      <c r="BE470" s="271">
        <v>2019</v>
      </c>
      <c r="BF470" s="271">
        <v>2020</v>
      </c>
    </row>
    <row r="471" spans="1:58" s="204" customFormat="1" ht="15" hidden="1" customHeight="1">
      <c r="A471" s="160" t="s">
        <v>510</v>
      </c>
      <c r="B471" s="58" t="s">
        <v>197</v>
      </c>
      <c r="C471" s="148" t="s">
        <v>235</v>
      </c>
      <c r="D471" s="33" t="s">
        <v>524</v>
      </c>
      <c r="E471" s="33"/>
      <c r="F471" s="33"/>
      <c r="G471" s="33"/>
      <c r="H471" s="30" t="s">
        <v>653</v>
      </c>
      <c r="I471" s="30">
        <v>2904</v>
      </c>
      <c r="J471" s="212">
        <v>42359</v>
      </c>
      <c r="K471" s="158"/>
      <c r="L471" s="158"/>
      <c r="M471" s="158"/>
      <c r="N471" s="158"/>
      <c r="O471" s="158"/>
      <c r="P471" s="158">
        <v>273858641</v>
      </c>
      <c r="Q471" s="158">
        <v>48808563</v>
      </c>
      <c r="R471" s="158"/>
      <c r="S471" s="158"/>
      <c r="T471" s="586">
        <v>225050078</v>
      </c>
      <c r="U471" s="158">
        <v>10</v>
      </c>
      <c r="V471" s="311"/>
      <c r="W471" s="311"/>
      <c r="X471" s="311"/>
      <c r="Y471" s="94"/>
      <c r="Z471" s="158"/>
      <c r="AA471" s="158"/>
      <c r="AB471" s="158"/>
      <c r="AC471" s="158"/>
      <c r="AD471" s="158"/>
      <c r="AE471" s="158">
        <f>P471-Q471-T471-Y471</f>
        <v>0</v>
      </c>
      <c r="AF471" s="158"/>
      <c r="AG471" s="158"/>
      <c r="AH471" s="158"/>
      <c r="AI471" s="158"/>
      <c r="AJ471" s="158"/>
      <c r="AK471" s="158">
        <v>877</v>
      </c>
      <c r="AL471" s="158">
        <v>10</v>
      </c>
      <c r="AM471" s="158"/>
      <c r="AN471" s="158"/>
      <c r="AO471" s="12"/>
      <c r="AP471" s="12"/>
      <c r="AQ471" s="12"/>
      <c r="AR471" s="12"/>
      <c r="AS471" s="2">
        <v>1</v>
      </c>
      <c r="AT471" s="58" t="s">
        <v>646</v>
      </c>
      <c r="AU471" s="206" t="s">
        <v>1103</v>
      </c>
      <c r="AV471" s="158"/>
      <c r="AW471" s="11"/>
      <c r="AX471" s="12">
        <v>4</v>
      </c>
      <c r="AY471" s="12"/>
      <c r="AZ471" s="12"/>
      <c r="BA471" s="12">
        <v>4</v>
      </c>
      <c r="BB471" s="285"/>
      <c r="BC471" s="285"/>
      <c r="BD471" s="271">
        <v>2018</v>
      </c>
      <c r="BE471" s="271"/>
      <c r="BF471" s="271"/>
    </row>
    <row r="472" spans="1:58" s="204" customFormat="1" ht="39" hidden="1" customHeight="1">
      <c r="A472" s="230" t="s">
        <v>510</v>
      </c>
      <c r="B472" s="58" t="s">
        <v>546</v>
      </c>
      <c r="C472" s="148" t="s">
        <v>236</v>
      </c>
      <c r="D472" s="33" t="s">
        <v>237</v>
      </c>
      <c r="E472" s="33"/>
      <c r="F472" s="33"/>
      <c r="G472" s="33"/>
      <c r="H472" s="30" t="s">
        <v>653</v>
      </c>
      <c r="I472" s="272" t="s">
        <v>1680</v>
      </c>
      <c r="J472" s="215" t="s">
        <v>1679</v>
      </c>
      <c r="K472" s="158"/>
      <c r="L472" s="158"/>
      <c r="M472" s="158"/>
      <c r="N472" s="158"/>
      <c r="O472" s="158"/>
      <c r="P472" s="158">
        <f>1133412736-56670633</f>
        <v>1076742103</v>
      </c>
      <c r="Q472" s="158"/>
      <c r="R472" s="158"/>
      <c r="S472" s="158"/>
      <c r="T472" s="586">
        <v>355098220</v>
      </c>
      <c r="U472" s="158"/>
      <c r="V472" s="311"/>
      <c r="W472" s="311"/>
      <c r="X472" s="311"/>
      <c r="Y472" s="94">
        <v>721643883</v>
      </c>
      <c r="Z472" s="158"/>
      <c r="AA472" s="5"/>
      <c r="AB472" s="5"/>
      <c r="AC472" s="5"/>
      <c r="AD472" s="158"/>
      <c r="AE472" s="158">
        <f>P472-T472-Y472-AC472</f>
        <v>0</v>
      </c>
      <c r="AF472" s="158"/>
      <c r="AG472" s="158"/>
      <c r="AH472" s="158"/>
      <c r="AI472" s="158"/>
      <c r="AJ472" s="158"/>
      <c r="AK472" s="158"/>
      <c r="AL472" s="158"/>
      <c r="AM472" s="158"/>
      <c r="AN472" s="158"/>
      <c r="AO472" s="158"/>
      <c r="AP472" s="158"/>
      <c r="AQ472" s="158"/>
      <c r="AR472" s="158"/>
      <c r="AS472" s="2">
        <v>1</v>
      </c>
      <c r="AT472" s="58" t="s">
        <v>646</v>
      </c>
      <c r="AU472" s="105"/>
      <c r="AV472" s="158">
        <v>19</v>
      </c>
      <c r="AW472" s="158"/>
      <c r="AX472" s="158"/>
      <c r="AY472" s="158"/>
      <c r="AZ472" s="158"/>
      <c r="BA472" s="158"/>
      <c r="BB472" s="69"/>
      <c r="BC472" s="69"/>
      <c r="BD472" s="271">
        <v>2016</v>
      </c>
      <c r="BE472" s="271"/>
      <c r="BF472" s="271"/>
    </row>
    <row r="473" spans="1:58" s="204" customFormat="1" ht="39" hidden="1" customHeight="1">
      <c r="A473" s="160" t="s">
        <v>510</v>
      </c>
      <c r="B473" s="58" t="s">
        <v>546</v>
      </c>
      <c r="C473" s="148" t="s">
        <v>236</v>
      </c>
      <c r="D473" s="33" t="s">
        <v>237</v>
      </c>
      <c r="E473" s="33"/>
      <c r="F473" s="33"/>
      <c r="G473" s="33"/>
      <c r="H473" s="30" t="s">
        <v>653</v>
      </c>
      <c r="I473" s="272" t="s">
        <v>1680</v>
      </c>
      <c r="J473" s="215" t="s">
        <v>1679</v>
      </c>
      <c r="K473" s="158"/>
      <c r="L473" s="158"/>
      <c r="M473" s="158"/>
      <c r="N473" s="158"/>
      <c r="O473" s="158"/>
      <c r="P473" s="158">
        <v>56670633</v>
      </c>
      <c r="Q473" s="158"/>
      <c r="R473" s="158"/>
      <c r="S473" s="158"/>
      <c r="T473" s="586"/>
      <c r="U473" s="158"/>
      <c r="V473" s="311"/>
      <c r="W473" s="311"/>
      <c r="X473" s="311"/>
      <c r="Y473" s="94"/>
      <c r="Z473" s="69"/>
      <c r="AA473" s="69"/>
      <c r="AB473" s="69"/>
      <c r="AC473" s="69">
        <v>56670633</v>
      </c>
      <c r="AD473" s="158"/>
      <c r="AE473" s="158">
        <f>P473-T473-Y473-AC473</f>
        <v>0</v>
      </c>
      <c r="AF473" s="158"/>
      <c r="AG473" s="158"/>
      <c r="AH473" s="158"/>
      <c r="AI473" s="158"/>
      <c r="AJ473" s="158"/>
      <c r="AK473" s="158">
        <v>877</v>
      </c>
      <c r="AL473" s="158">
        <v>10</v>
      </c>
      <c r="AM473" s="158">
        <f>1-1</f>
        <v>0</v>
      </c>
      <c r="AN473" s="158"/>
      <c r="AO473" s="158"/>
      <c r="AP473" s="158"/>
      <c r="AQ473" s="158"/>
      <c r="AR473" s="96"/>
      <c r="AS473" s="2">
        <v>0</v>
      </c>
      <c r="AT473" s="58" t="s">
        <v>687</v>
      </c>
      <c r="AU473" s="346" t="s">
        <v>1678</v>
      </c>
      <c r="AV473" s="158"/>
      <c r="AW473" s="158"/>
      <c r="AX473" s="158"/>
      <c r="AY473" s="158"/>
      <c r="AZ473" s="158"/>
      <c r="BA473" s="158"/>
      <c r="BB473" s="69"/>
      <c r="BC473" s="69">
        <v>1</v>
      </c>
      <c r="BD473" s="271" t="s">
        <v>1704</v>
      </c>
      <c r="BE473" s="271"/>
      <c r="BF473" s="271"/>
    </row>
    <row r="474" spans="1:58" s="204" customFormat="1" ht="15" hidden="1" customHeight="1">
      <c r="A474" s="248" t="s">
        <v>510</v>
      </c>
      <c r="B474" s="58" t="s">
        <v>197</v>
      </c>
      <c r="C474" s="148" t="s">
        <v>238</v>
      </c>
      <c r="D474" s="33" t="s">
        <v>215</v>
      </c>
      <c r="E474" s="33"/>
      <c r="F474" s="33"/>
      <c r="G474" s="33"/>
      <c r="H474" s="30"/>
      <c r="I474" s="58"/>
      <c r="J474" s="212"/>
      <c r="K474" s="158"/>
      <c r="L474" s="158"/>
      <c r="M474" s="158"/>
      <c r="N474" s="158"/>
      <c r="O474" s="158"/>
      <c r="P474" s="158"/>
      <c r="Q474" s="158"/>
      <c r="R474" s="158"/>
      <c r="S474" s="158"/>
      <c r="T474" s="586"/>
      <c r="U474" s="158"/>
      <c r="V474" s="311"/>
      <c r="W474" s="311"/>
      <c r="X474" s="311"/>
      <c r="Y474" s="94"/>
      <c r="Z474" s="158"/>
      <c r="AA474" s="92"/>
      <c r="AB474" s="92"/>
      <c r="AC474" s="92"/>
      <c r="AD474" s="158"/>
      <c r="AE474" s="158"/>
      <c r="AF474" s="158"/>
      <c r="AG474" s="158"/>
      <c r="AH474" s="158"/>
      <c r="AI474" s="158"/>
      <c r="AJ474" s="158"/>
      <c r="AK474" s="158"/>
      <c r="AL474" s="158"/>
      <c r="AM474" s="158"/>
      <c r="AN474" s="158"/>
      <c r="AO474" s="158"/>
      <c r="AP474" s="158"/>
      <c r="AQ474" s="158"/>
      <c r="AR474" s="158"/>
      <c r="AS474" s="2">
        <v>1</v>
      </c>
      <c r="AT474" s="58" t="s">
        <v>646</v>
      </c>
      <c r="AU474" s="105"/>
      <c r="AV474" s="158">
        <v>48</v>
      </c>
      <c r="AW474" s="158"/>
      <c r="AX474" s="158"/>
      <c r="AY474" s="158"/>
      <c r="AZ474" s="158"/>
      <c r="BA474" s="158"/>
      <c r="BB474" s="69"/>
      <c r="BC474" s="69"/>
      <c r="BD474" s="351">
        <v>2016</v>
      </c>
      <c r="BE474" s="351"/>
      <c r="BF474" s="271"/>
    </row>
    <row r="475" spans="1:58" s="204" customFormat="1" ht="15" hidden="1" customHeight="1">
      <c r="A475" s="160" t="s">
        <v>510</v>
      </c>
      <c r="B475" s="58" t="s">
        <v>208</v>
      </c>
      <c r="C475" s="148" t="s">
        <v>206</v>
      </c>
      <c r="D475" s="33" t="s">
        <v>170</v>
      </c>
      <c r="E475" s="33"/>
      <c r="F475" s="33"/>
      <c r="G475" s="33"/>
      <c r="H475" s="30"/>
      <c r="I475" s="58"/>
      <c r="J475" s="212"/>
      <c r="K475" s="158"/>
      <c r="L475" s="158"/>
      <c r="M475" s="158"/>
      <c r="N475" s="158"/>
      <c r="O475" s="158"/>
      <c r="P475" s="158"/>
      <c r="Q475" s="158"/>
      <c r="R475" s="158"/>
      <c r="S475" s="158"/>
      <c r="T475" s="586"/>
      <c r="U475" s="158"/>
      <c r="V475" s="311"/>
      <c r="W475" s="311"/>
      <c r="X475" s="311"/>
      <c r="Y475" s="94"/>
      <c r="Z475" s="158"/>
      <c r="AA475" s="158"/>
      <c r="AB475" s="158"/>
      <c r="AC475" s="158"/>
      <c r="AD475" s="158"/>
      <c r="AE475" s="158"/>
      <c r="AF475" s="158"/>
      <c r="AG475" s="158"/>
      <c r="AH475" s="158"/>
      <c r="AI475" s="158"/>
      <c r="AJ475" s="158"/>
      <c r="AK475" s="158"/>
      <c r="AL475" s="158"/>
      <c r="AM475" s="158"/>
      <c r="AN475" s="158"/>
      <c r="AO475" s="158"/>
      <c r="AP475" s="158"/>
      <c r="AQ475" s="158"/>
      <c r="AR475" s="158"/>
      <c r="AS475" s="2">
        <v>1</v>
      </c>
      <c r="AT475" s="58" t="s">
        <v>646</v>
      </c>
      <c r="AU475" s="105"/>
      <c r="AV475" s="158">
        <v>12</v>
      </c>
      <c r="AW475" s="158"/>
      <c r="AX475" s="158"/>
      <c r="AY475" s="158"/>
      <c r="AZ475" s="158"/>
      <c r="BA475" s="158"/>
      <c r="BB475" s="69"/>
      <c r="BC475" s="69"/>
      <c r="BD475" s="351">
        <v>2016</v>
      </c>
      <c r="BE475" s="351"/>
      <c r="BF475" s="271"/>
    </row>
    <row r="476" spans="1:58" s="204" customFormat="1" ht="15" hidden="1" customHeight="1">
      <c r="A476" s="160" t="s">
        <v>510</v>
      </c>
      <c r="B476" s="58" t="s">
        <v>280</v>
      </c>
      <c r="C476" s="148" t="s">
        <v>239</v>
      </c>
      <c r="D476" s="33" t="s">
        <v>30</v>
      </c>
      <c r="E476" s="33"/>
      <c r="F476" s="33"/>
      <c r="G476" s="33"/>
      <c r="H476" s="30"/>
      <c r="I476" s="58"/>
      <c r="J476" s="212"/>
      <c r="K476" s="158"/>
      <c r="L476" s="158"/>
      <c r="M476" s="158"/>
      <c r="N476" s="158"/>
      <c r="O476" s="158"/>
      <c r="P476" s="158"/>
      <c r="Q476" s="158"/>
      <c r="R476" s="158"/>
      <c r="S476" s="158"/>
      <c r="T476" s="586"/>
      <c r="U476" s="158"/>
      <c r="V476" s="311"/>
      <c r="W476" s="311"/>
      <c r="X476" s="311"/>
      <c r="Y476" s="94"/>
      <c r="Z476" s="158"/>
      <c r="AA476" s="158"/>
      <c r="AB476" s="158"/>
      <c r="AC476" s="158"/>
      <c r="AD476" s="158"/>
      <c r="AE476" s="158"/>
      <c r="AF476" s="158"/>
      <c r="AG476" s="158"/>
      <c r="AH476" s="158"/>
      <c r="AI476" s="158"/>
      <c r="AJ476" s="158"/>
      <c r="AK476" s="158"/>
      <c r="AL476" s="158"/>
      <c r="AM476" s="158"/>
      <c r="AN476" s="158"/>
      <c r="AO476" s="158"/>
      <c r="AP476" s="158"/>
      <c r="AQ476" s="158"/>
      <c r="AR476" s="158"/>
      <c r="AS476" s="2">
        <v>1</v>
      </c>
      <c r="AT476" s="58" t="s">
        <v>646</v>
      </c>
      <c r="AU476" s="105"/>
      <c r="AV476" s="158">
        <v>19</v>
      </c>
      <c r="AW476" s="158"/>
      <c r="AX476" s="158"/>
      <c r="AY476" s="158"/>
      <c r="AZ476" s="158"/>
      <c r="BA476" s="158"/>
      <c r="BB476" s="69"/>
      <c r="BC476" s="69"/>
      <c r="BD476" s="351">
        <v>2016</v>
      </c>
      <c r="BE476" s="351"/>
      <c r="BF476" s="271"/>
    </row>
    <row r="477" spans="1:58" s="204" customFormat="1" ht="15" hidden="1" customHeight="1">
      <c r="A477" s="160" t="s">
        <v>510</v>
      </c>
      <c r="B477" s="58" t="s">
        <v>546</v>
      </c>
      <c r="C477" s="148" t="s">
        <v>240</v>
      </c>
      <c r="D477" s="33" t="s">
        <v>40</v>
      </c>
      <c r="E477" s="33"/>
      <c r="F477" s="33"/>
      <c r="G477" s="33"/>
      <c r="H477" s="30" t="s">
        <v>664</v>
      </c>
      <c r="I477" s="30"/>
      <c r="J477" s="212"/>
      <c r="K477" s="158"/>
      <c r="L477" s="158"/>
      <c r="M477" s="158"/>
      <c r="N477" s="158"/>
      <c r="O477" s="158"/>
      <c r="P477" s="158"/>
      <c r="Q477" s="158"/>
      <c r="R477" s="158"/>
      <c r="S477" s="158"/>
      <c r="T477" s="586"/>
      <c r="U477" s="158"/>
      <c r="V477" s="311"/>
      <c r="W477" s="311"/>
      <c r="X477" s="311"/>
      <c r="Y477" s="94"/>
      <c r="Z477" s="158"/>
      <c r="AA477" s="158"/>
      <c r="AB477" s="158"/>
      <c r="AC477" s="158"/>
      <c r="AD477" s="158"/>
      <c r="AE477" s="158"/>
      <c r="AF477" s="158"/>
      <c r="AG477" s="158"/>
      <c r="AH477" s="158"/>
      <c r="AI477" s="158"/>
      <c r="AJ477" s="158"/>
      <c r="AK477" s="158"/>
      <c r="AL477" s="158"/>
      <c r="AM477" s="158"/>
      <c r="AN477" s="158"/>
      <c r="AO477" s="158"/>
      <c r="AP477" s="158"/>
      <c r="AQ477" s="158"/>
      <c r="AR477" s="158"/>
      <c r="AS477" s="2">
        <v>1</v>
      </c>
      <c r="AT477" s="58" t="s">
        <v>646</v>
      </c>
      <c r="AU477" s="105"/>
      <c r="AV477" s="158" t="s">
        <v>0</v>
      </c>
      <c r="AW477" s="158">
        <v>80</v>
      </c>
      <c r="AX477" s="158"/>
      <c r="AY477" s="158"/>
      <c r="AZ477" s="158"/>
      <c r="BA477" s="158"/>
      <c r="BB477" s="69"/>
      <c r="BC477" s="69"/>
      <c r="BD477" s="351">
        <v>2017</v>
      </c>
      <c r="BE477" s="351"/>
      <c r="BF477" s="271"/>
    </row>
    <row r="478" spans="1:58" s="204" customFormat="1" ht="15" hidden="1" customHeight="1">
      <c r="A478" s="160" t="s">
        <v>510</v>
      </c>
      <c r="B478" s="58" t="s">
        <v>199</v>
      </c>
      <c r="C478" s="148" t="s">
        <v>241</v>
      </c>
      <c r="D478" s="33" t="s">
        <v>30</v>
      </c>
      <c r="E478" s="33"/>
      <c r="F478" s="33"/>
      <c r="G478" s="33"/>
      <c r="H478" s="30"/>
      <c r="I478" s="58"/>
      <c r="J478" s="212"/>
      <c r="K478" s="158"/>
      <c r="L478" s="158"/>
      <c r="M478" s="158"/>
      <c r="N478" s="158"/>
      <c r="O478" s="158"/>
      <c r="P478" s="158"/>
      <c r="Q478" s="158"/>
      <c r="R478" s="158"/>
      <c r="S478" s="158"/>
      <c r="T478" s="586"/>
      <c r="U478" s="158"/>
      <c r="V478" s="311"/>
      <c r="W478" s="311"/>
      <c r="X478" s="311"/>
      <c r="Y478" s="94"/>
      <c r="Z478" s="158"/>
      <c r="AA478" s="158"/>
      <c r="AB478" s="158"/>
      <c r="AC478" s="158"/>
      <c r="AD478" s="158"/>
      <c r="AE478" s="158"/>
      <c r="AF478" s="158"/>
      <c r="AG478" s="158"/>
      <c r="AH478" s="158"/>
      <c r="AI478" s="158"/>
      <c r="AJ478" s="158"/>
      <c r="AK478" s="158"/>
      <c r="AL478" s="158"/>
      <c r="AM478" s="158"/>
      <c r="AN478" s="158"/>
      <c r="AO478" s="158"/>
      <c r="AP478" s="158"/>
      <c r="AQ478" s="158"/>
      <c r="AR478" s="158"/>
      <c r="AS478" s="2">
        <v>1</v>
      </c>
      <c r="AT478" s="58" t="s">
        <v>646</v>
      </c>
      <c r="AU478" s="105"/>
      <c r="AV478" s="158">
        <v>14</v>
      </c>
      <c r="AW478" s="158"/>
      <c r="AX478" s="158"/>
      <c r="AY478" s="158"/>
      <c r="AZ478" s="158"/>
      <c r="BA478" s="158"/>
      <c r="BB478" s="69"/>
      <c r="BC478" s="69"/>
      <c r="BD478" s="351">
        <v>2016</v>
      </c>
      <c r="BE478" s="351"/>
      <c r="BF478" s="271"/>
    </row>
    <row r="479" spans="1:58" s="204" customFormat="1" ht="15" hidden="1" customHeight="1">
      <c r="A479" s="160" t="s">
        <v>510</v>
      </c>
      <c r="B479" s="58" t="s">
        <v>207</v>
      </c>
      <c r="C479" s="148" t="s">
        <v>242</v>
      </c>
      <c r="D479" s="33" t="s">
        <v>7</v>
      </c>
      <c r="E479" s="33"/>
      <c r="F479" s="33"/>
      <c r="G479" s="33"/>
      <c r="H479" s="30"/>
      <c r="I479" s="58"/>
      <c r="J479" s="212"/>
      <c r="K479" s="158"/>
      <c r="L479" s="158"/>
      <c r="M479" s="158"/>
      <c r="N479" s="158"/>
      <c r="O479" s="158"/>
      <c r="P479" s="158"/>
      <c r="Q479" s="158"/>
      <c r="R479" s="158"/>
      <c r="S479" s="158"/>
      <c r="T479" s="586"/>
      <c r="U479" s="158"/>
      <c r="V479" s="311"/>
      <c r="W479" s="311"/>
      <c r="X479" s="311"/>
      <c r="Y479" s="94"/>
      <c r="Z479" s="158"/>
      <c r="AA479" s="158"/>
      <c r="AB479" s="158"/>
      <c r="AC479" s="158"/>
      <c r="AD479" s="158"/>
      <c r="AE479" s="158"/>
      <c r="AF479" s="158"/>
      <c r="AG479" s="158"/>
      <c r="AH479" s="158"/>
      <c r="AI479" s="158"/>
      <c r="AJ479" s="158"/>
      <c r="AK479" s="158"/>
      <c r="AL479" s="158"/>
      <c r="AM479" s="158"/>
      <c r="AN479" s="158"/>
      <c r="AO479" s="158"/>
      <c r="AP479" s="158"/>
      <c r="AQ479" s="158"/>
      <c r="AR479" s="158"/>
      <c r="AS479" s="2">
        <v>1</v>
      </c>
      <c r="AT479" s="58" t="s">
        <v>646</v>
      </c>
      <c r="AU479" s="105"/>
      <c r="AV479" s="158">
        <v>37</v>
      </c>
      <c r="AW479" s="158"/>
      <c r="AX479" s="158"/>
      <c r="AY479" s="158"/>
      <c r="AZ479" s="158"/>
      <c r="BA479" s="158"/>
      <c r="BB479" s="69"/>
      <c r="BC479" s="69"/>
      <c r="BD479" s="351">
        <v>2016</v>
      </c>
      <c r="BE479" s="351"/>
      <c r="BF479" s="271"/>
    </row>
    <row r="480" spans="1:58" s="204" customFormat="1" ht="15" hidden="1" customHeight="1">
      <c r="A480" s="160" t="s">
        <v>510</v>
      </c>
      <c r="B480" s="58" t="s">
        <v>197</v>
      </c>
      <c r="C480" s="148" t="s">
        <v>243</v>
      </c>
      <c r="D480" s="33" t="s">
        <v>170</v>
      </c>
      <c r="E480" s="33"/>
      <c r="F480" s="33"/>
      <c r="G480" s="33"/>
      <c r="H480" s="30"/>
      <c r="I480" s="58"/>
      <c r="J480" s="212"/>
      <c r="K480" s="158"/>
      <c r="L480" s="158"/>
      <c r="M480" s="158"/>
      <c r="N480" s="158"/>
      <c r="O480" s="158"/>
      <c r="P480" s="158"/>
      <c r="Q480" s="158"/>
      <c r="R480" s="158"/>
      <c r="S480" s="158"/>
      <c r="T480" s="586"/>
      <c r="U480" s="158"/>
      <c r="V480" s="311"/>
      <c r="W480" s="311"/>
      <c r="X480" s="311"/>
      <c r="Y480" s="94"/>
      <c r="Z480" s="158"/>
      <c r="AA480" s="158"/>
      <c r="AB480" s="158"/>
      <c r="AC480" s="158"/>
      <c r="AD480" s="158"/>
      <c r="AE480" s="158"/>
      <c r="AF480" s="158"/>
      <c r="AG480" s="158"/>
      <c r="AH480" s="158"/>
      <c r="AI480" s="158"/>
      <c r="AJ480" s="158"/>
      <c r="AK480" s="158"/>
      <c r="AL480" s="158"/>
      <c r="AM480" s="158"/>
      <c r="AN480" s="158"/>
      <c r="AO480" s="158"/>
      <c r="AP480" s="158"/>
      <c r="AQ480" s="158"/>
      <c r="AR480" s="158"/>
      <c r="AS480" s="2">
        <v>1</v>
      </c>
      <c r="AT480" s="58" t="s">
        <v>646</v>
      </c>
      <c r="AU480" s="105"/>
      <c r="AV480" s="158">
        <v>38</v>
      </c>
      <c r="AW480" s="158"/>
      <c r="AX480" s="158"/>
      <c r="AY480" s="158"/>
      <c r="AZ480" s="158"/>
      <c r="BA480" s="158"/>
      <c r="BB480" s="69"/>
      <c r="BC480" s="69"/>
      <c r="BD480" s="351">
        <v>2016</v>
      </c>
      <c r="BE480" s="351"/>
      <c r="BF480" s="271"/>
    </row>
    <row r="481" spans="1:58" s="204" customFormat="1" ht="26.25" hidden="1" customHeight="1">
      <c r="A481" s="160" t="s">
        <v>510</v>
      </c>
      <c r="B481" s="58" t="s">
        <v>264</v>
      </c>
      <c r="C481" s="55" t="s">
        <v>244</v>
      </c>
      <c r="D481" s="33" t="s">
        <v>198</v>
      </c>
      <c r="E481" s="33"/>
      <c r="F481" s="33"/>
      <c r="G481" s="33"/>
      <c r="H481" s="30" t="s">
        <v>664</v>
      </c>
      <c r="I481" s="30">
        <v>411</v>
      </c>
      <c r="J481" s="212">
        <v>42425</v>
      </c>
      <c r="K481" s="158"/>
      <c r="L481" s="158"/>
      <c r="M481" s="158">
        <f>30-12</f>
        <v>18</v>
      </c>
      <c r="N481" s="158"/>
      <c r="O481" s="158"/>
      <c r="P481" s="158">
        <f>1700075097-680156137</f>
        <v>1019918960</v>
      </c>
      <c r="Q481" s="158"/>
      <c r="R481" s="158"/>
      <c r="S481" s="158"/>
      <c r="T481" s="586">
        <v>652612938</v>
      </c>
      <c r="U481" s="158"/>
      <c r="V481" s="311"/>
      <c r="W481" s="311"/>
      <c r="X481" s="311"/>
      <c r="Y481" s="94">
        <v>367306022</v>
      </c>
      <c r="Z481" s="158"/>
      <c r="AA481" s="158"/>
      <c r="AB481" s="158"/>
      <c r="AC481" s="158"/>
      <c r="AD481" s="158"/>
      <c r="AE481" s="158">
        <f>P481-T481-Y481</f>
        <v>0</v>
      </c>
      <c r="AF481" s="158"/>
      <c r="AG481" s="94">
        <v>0</v>
      </c>
      <c r="AH481" s="94"/>
      <c r="AI481" s="94"/>
      <c r="AJ481" s="158">
        <f t="shared" ref="AJ481" si="84">AE481+AG481</f>
        <v>0</v>
      </c>
      <c r="AK481" s="158"/>
      <c r="AL481" s="158"/>
      <c r="AM481" s="158"/>
      <c r="AN481" s="158"/>
      <c r="AO481" s="158"/>
      <c r="AP481" s="158"/>
      <c r="AQ481" s="158"/>
      <c r="AR481" s="158"/>
      <c r="AS481" s="2">
        <v>1</v>
      </c>
      <c r="AT481" s="58" t="s">
        <v>646</v>
      </c>
      <c r="AU481" s="386" t="s">
        <v>1374</v>
      </c>
      <c r="AV481" s="158" t="s">
        <v>0</v>
      </c>
      <c r="AW481" s="158"/>
      <c r="AX481" s="158"/>
      <c r="AY481" s="158">
        <v>18</v>
      </c>
      <c r="AZ481" s="158"/>
      <c r="BA481" s="158"/>
      <c r="BB481" s="158">
        <v>18</v>
      </c>
      <c r="BC481" s="158"/>
      <c r="BD481" s="351">
        <v>2019</v>
      </c>
      <c r="BE481" s="351">
        <v>2019</v>
      </c>
      <c r="BF481" s="271"/>
    </row>
    <row r="482" spans="1:58" s="204" customFormat="1" ht="42" hidden="1" customHeight="1">
      <c r="A482" s="160" t="s">
        <v>510</v>
      </c>
      <c r="B482" s="58" t="s">
        <v>264</v>
      </c>
      <c r="C482" s="55" t="s">
        <v>244</v>
      </c>
      <c r="D482" s="33" t="s">
        <v>198</v>
      </c>
      <c r="E482" s="33"/>
      <c r="F482" s="33"/>
      <c r="G482" s="33"/>
      <c r="H482" s="30" t="s">
        <v>664</v>
      </c>
      <c r="I482" s="115" t="s">
        <v>2175</v>
      </c>
      <c r="J482" s="212"/>
      <c r="K482" s="158"/>
      <c r="L482" s="158"/>
      <c r="M482" s="158"/>
      <c r="N482" s="158"/>
      <c r="O482" s="158"/>
      <c r="P482" s="158">
        <v>680156137</v>
      </c>
      <c r="Q482" s="158"/>
      <c r="R482" s="158"/>
      <c r="S482" s="158"/>
      <c r="T482" s="586"/>
      <c r="U482" s="158"/>
      <c r="V482" s="311"/>
      <c r="W482" s="311"/>
      <c r="X482" s="311"/>
      <c r="Y482" s="94"/>
      <c r="Z482" s="158"/>
      <c r="AA482" s="158"/>
      <c r="AB482" s="158"/>
      <c r="AC482" s="158">
        <v>680156137</v>
      </c>
      <c r="AD482" s="158"/>
      <c r="AE482" s="158">
        <f>P482-T482-Y482-AC482</f>
        <v>0</v>
      </c>
      <c r="AF482" s="158"/>
      <c r="AG482" s="158"/>
      <c r="AH482" s="158"/>
      <c r="AI482" s="158"/>
      <c r="AJ482" s="158"/>
      <c r="AK482" s="158">
        <v>877</v>
      </c>
      <c r="AL482" s="158">
        <v>10</v>
      </c>
      <c r="AM482" s="158"/>
      <c r="AN482" s="158"/>
      <c r="AO482" s="158"/>
      <c r="AP482" s="158"/>
      <c r="AQ482" s="158"/>
      <c r="AR482" s="158"/>
      <c r="AS482" s="2">
        <v>0</v>
      </c>
      <c r="AT482" s="58" t="s">
        <v>687</v>
      </c>
      <c r="AU482" s="350" t="s">
        <v>1115</v>
      </c>
      <c r="AV482" s="158"/>
      <c r="AW482" s="158"/>
      <c r="AX482" s="158"/>
      <c r="AY482" s="158"/>
      <c r="AZ482" s="158"/>
      <c r="BA482" s="158"/>
      <c r="BB482" s="69"/>
      <c r="BC482" s="69">
        <v>12</v>
      </c>
      <c r="BD482" s="351" t="s">
        <v>1704</v>
      </c>
      <c r="BE482" s="351"/>
      <c r="BF482" s="271"/>
    </row>
    <row r="483" spans="1:58" s="204" customFormat="1" ht="15" hidden="1" customHeight="1">
      <c r="A483" s="160" t="s">
        <v>510</v>
      </c>
      <c r="B483" s="58" t="s">
        <v>205</v>
      </c>
      <c r="C483" s="148" t="s">
        <v>245</v>
      </c>
      <c r="D483" s="33" t="s">
        <v>16</v>
      </c>
      <c r="E483" s="33"/>
      <c r="F483" s="33"/>
      <c r="G483" s="33"/>
      <c r="H483" s="30"/>
      <c r="I483" s="58"/>
      <c r="J483" s="212"/>
      <c r="K483" s="158"/>
      <c r="L483" s="158"/>
      <c r="M483" s="158"/>
      <c r="N483" s="158"/>
      <c r="O483" s="158"/>
      <c r="P483" s="158"/>
      <c r="Q483" s="158"/>
      <c r="R483" s="158"/>
      <c r="S483" s="158"/>
      <c r="T483" s="586"/>
      <c r="U483" s="158"/>
      <c r="V483" s="311"/>
      <c r="W483" s="311"/>
      <c r="X483" s="311"/>
      <c r="Y483" s="94"/>
      <c r="Z483" s="158"/>
      <c r="AA483" s="158"/>
      <c r="AB483" s="158"/>
      <c r="AC483" s="158"/>
      <c r="AD483" s="158"/>
      <c r="AE483" s="158"/>
      <c r="AF483" s="158"/>
      <c r="AG483" s="158"/>
      <c r="AH483" s="158"/>
      <c r="AI483" s="158"/>
      <c r="AJ483" s="158"/>
      <c r="AK483" s="158"/>
      <c r="AL483" s="158"/>
      <c r="AM483" s="158"/>
      <c r="AN483" s="158"/>
      <c r="AO483" s="158"/>
      <c r="AP483" s="158"/>
      <c r="AQ483" s="158"/>
      <c r="AR483" s="158"/>
      <c r="AS483" s="2"/>
      <c r="AT483" s="58"/>
      <c r="AU483" s="105" t="s">
        <v>1004</v>
      </c>
      <c r="AV483" s="158">
        <v>45</v>
      </c>
      <c r="AW483" s="158"/>
      <c r="AX483" s="158"/>
      <c r="AY483" s="158"/>
      <c r="AZ483" s="158"/>
      <c r="BA483" s="158"/>
      <c r="BB483" s="69"/>
      <c r="BC483" s="69"/>
      <c r="BD483" s="351">
        <v>2016</v>
      </c>
      <c r="BE483" s="351"/>
      <c r="BF483" s="271"/>
    </row>
    <row r="484" spans="1:58" s="204" customFormat="1" ht="15" hidden="1" customHeight="1">
      <c r="A484" s="160" t="s">
        <v>510</v>
      </c>
      <c r="B484" s="58" t="s">
        <v>203</v>
      </c>
      <c r="C484" s="148" t="s">
        <v>246</v>
      </c>
      <c r="D484" s="33" t="s">
        <v>30</v>
      </c>
      <c r="E484" s="33"/>
      <c r="F484" s="33"/>
      <c r="G484" s="33"/>
      <c r="H484" s="30" t="s">
        <v>664</v>
      </c>
      <c r="I484" s="30"/>
      <c r="J484" s="212"/>
      <c r="K484" s="158"/>
      <c r="L484" s="158"/>
      <c r="M484" s="158"/>
      <c r="N484" s="158"/>
      <c r="O484" s="158"/>
      <c r="P484" s="158"/>
      <c r="Q484" s="158"/>
      <c r="R484" s="158"/>
      <c r="S484" s="158"/>
      <c r="T484" s="586"/>
      <c r="U484" s="158"/>
      <c r="V484" s="311"/>
      <c r="W484" s="311"/>
      <c r="X484" s="311"/>
      <c r="Y484" s="94"/>
      <c r="Z484" s="158"/>
      <c r="AA484" s="158"/>
      <c r="AB484" s="158"/>
      <c r="AC484" s="158"/>
      <c r="AD484" s="158"/>
      <c r="AE484" s="158"/>
      <c r="AF484" s="158"/>
      <c r="AG484" s="158"/>
      <c r="AH484" s="158"/>
      <c r="AI484" s="158"/>
      <c r="AJ484" s="158"/>
      <c r="AK484" s="158"/>
      <c r="AL484" s="158"/>
      <c r="AM484" s="158"/>
      <c r="AN484" s="158"/>
      <c r="AO484" s="158"/>
      <c r="AP484" s="158"/>
      <c r="AQ484" s="158"/>
      <c r="AR484" s="158"/>
      <c r="AS484" s="2">
        <v>1</v>
      </c>
      <c r="AT484" s="58" t="s">
        <v>646</v>
      </c>
      <c r="AU484" s="105"/>
      <c r="AV484" s="158">
        <v>38</v>
      </c>
      <c r="AW484" s="158"/>
      <c r="AX484" s="158"/>
      <c r="AY484" s="158"/>
      <c r="AZ484" s="158"/>
      <c r="BA484" s="158"/>
      <c r="BB484" s="69"/>
      <c r="BC484" s="69"/>
      <c r="BD484" s="351">
        <v>2016</v>
      </c>
      <c r="BE484" s="351"/>
      <c r="BF484" s="271"/>
    </row>
    <row r="485" spans="1:58" s="204" customFormat="1" ht="15" hidden="1" customHeight="1">
      <c r="A485" s="160" t="s">
        <v>510</v>
      </c>
      <c r="B485" s="58" t="s">
        <v>203</v>
      </c>
      <c r="C485" s="148" t="s">
        <v>246</v>
      </c>
      <c r="D485" s="33" t="s">
        <v>30</v>
      </c>
      <c r="E485" s="33"/>
      <c r="F485" s="33"/>
      <c r="G485" s="33"/>
      <c r="H485" s="30" t="s">
        <v>664</v>
      </c>
      <c r="I485" s="30"/>
      <c r="J485" s="212"/>
      <c r="K485" s="158"/>
      <c r="L485" s="158"/>
      <c r="M485" s="158"/>
      <c r="N485" s="158"/>
      <c r="O485" s="158"/>
      <c r="P485" s="158"/>
      <c r="Q485" s="158"/>
      <c r="R485" s="158"/>
      <c r="S485" s="158"/>
      <c r="T485" s="586"/>
      <c r="U485" s="158"/>
      <c r="V485" s="311"/>
      <c r="W485" s="311"/>
      <c r="X485" s="311"/>
      <c r="Y485" s="94"/>
      <c r="Z485" s="158"/>
      <c r="AA485" s="158"/>
      <c r="AB485" s="158"/>
      <c r="AC485" s="158"/>
      <c r="AD485" s="158"/>
      <c r="AE485" s="158"/>
      <c r="AF485" s="158"/>
      <c r="AG485" s="158"/>
      <c r="AH485" s="158"/>
      <c r="AI485" s="158"/>
      <c r="AJ485" s="158"/>
      <c r="AK485" s="158"/>
      <c r="AL485" s="158"/>
      <c r="AM485" s="158">
        <f>2-2</f>
        <v>0</v>
      </c>
      <c r="AN485" s="158"/>
      <c r="AO485" s="158"/>
      <c r="AP485" s="158"/>
      <c r="AQ485" s="158"/>
      <c r="AR485" s="158"/>
      <c r="AS485" s="2">
        <v>0</v>
      </c>
      <c r="AT485" s="58" t="s">
        <v>687</v>
      </c>
      <c r="AU485" s="162" t="s">
        <v>1371</v>
      </c>
      <c r="AV485" s="158"/>
      <c r="AW485" s="158"/>
      <c r="AX485" s="158"/>
      <c r="AY485" s="158"/>
      <c r="AZ485" s="158"/>
      <c r="BA485" s="158"/>
      <c r="BB485" s="69"/>
      <c r="BC485" s="69">
        <v>2</v>
      </c>
      <c r="BD485" s="351" t="s">
        <v>1703</v>
      </c>
      <c r="BE485" s="351"/>
      <c r="BF485" s="271"/>
    </row>
    <row r="486" spans="1:58" s="204" customFormat="1" ht="15" hidden="1" customHeight="1">
      <c r="A486" s="160" t="s">
        <v>510</v>
      </c>
      <c r="B486" s="58" t="s">
        <v>216</v>
      </c>
      <c r="C486" s="148" t="s">
        <v>247</v>
      </c>
      <c r="D486" s="33" t="s">
        <v>7</v>
      </c>
      <c r="E486" s="33"/>
      <c r="F486" s="33"/>
      <c r="G486" s="33"/>
      <c r="H486" s="30" t="s">
        <v>664</v>
      </c>
      <c r="I486" s="30"/>
      <c r="J486" s="212"/>
      <c r="K486" s="158"/>
      <c r="L486" s="158"/>
      <c r="M486" s="158"/>
      <c r="N486" s="158"/>
      <c r="O486" s="158"/>
      <c r="P486" s="158"/>
      <c r="Q486" s="158"/>
      <c r="R486" s="158"/>
      <c r="S486" s="158"/>
      <c r="T486" s="586"/>
      <c r="U486" s="158"/>
      <c r="V486" s="311"/>
      <c r="W486" s="311"/>
      <c r="X486" s="311"/>
      <c r="Y486" s="94"/>
      <c r="Z486" s="158"/>
      <c r="AA486" s="158"/>
      <c r="AB486" s="158"/>
      <c r="AC486" s="158"/>
      <c r="AD486" s="158"/>
      <c r="AE486" s="158"/>
      <c r="AF486" s="158"/>
      <c r="AG486" s="158"/>
      <c r="AH486" s="158"/>
      <c r="AI486" s="158"/>
      <c r="AJ486" s="158"/>
      <c r="AK486" s="158"/>
      <c r="AL486" s="158"/>
      <c r="AM486" s="158"/>
      <c r="AN486" s="158"/>
      <c r="AO486" s="158"/>
      <c r="AP486" s="158"/>
      <c r="AQ486" s="158"/>
      <c r="AR486" s="158"/>
      <c r="AS486" s="2">
        <v>1</v>
      </c>
      <c r="AT486" s="58" t="s">
        <v>646</v>
      </c>
      <c r="AU486" s="105"/>
      <c r="AV486" s="158" t="s">
        <v>0</v>
      </c>
      <c r="AW486" s="158">
        <v>42</v>
      </c>
      <c r="AX486" s="158"/>
      <c r="AY486" s="158"/>
      <c r="AZ486" s="158"/>
      <c r="BA486" s="158"/>
      <c r="BB486" s="69"/>
      <c r="BC486" s="69"/>
      <c r="BD486" s="351">
        <v>2017</v>
      </c>
      <c r="BE486" s="351"/>
      <c r="BF486" s="271"/>
    </row>
    <row r="487" spans="1:58" s="204" customFormat="1" ht="18" hidden="1" customHeight="1">
      <c r="A487" s="160" t="s">
        <v>510</v>
      </c>
      <c r="B487" s="58" t="s">
        <v>216</v>
      </c>
      <c r="C487" s="148" t="s">
        <v>247</v>
      </c>
      <c r="D487" s="33" t="s">
        <v>7</v>
      </c>
      <c r="E487" s="33"/>
      <c r="F487" s="33"/>
      <c r="G487" s="33"/>
      <c r="H487" s="30" t="s">
        <v>664</v>
      </c>
      <c r="I487" s="115" t="s">
        <v>1673</v>
      </c>
      <c r="J487" s="215" t="s">
        <v>1674</v>
      </c>
      <c r="K487" s="158"/>
      <c r="L487" s="158"/>
      <c r="M487" s="158">
        <v>4</v>
      </c>
      <c r="N487" s="158"/>
      <c r="O487" s="158"/>
      <c r="P487" s="158">
        <v>227317189</v>
      </c>
      <c r="Q487" s="158"/>
      <c r="R487" s="158"/>
      <c r="S487" s="158"/>
      <c r="T487" s="586"/>
      <c r="U487" s="158"/>
      <c r="V487" s="311"/>
      <c r="W487" s="311"/>
      <c r="X487" s="311"/>
      <c r="Y487" s="94"/>
      <c r="Z487" s="158"/>
      <c r="AA487" s="158"/>
      <c r="AB487" s="158"/>
      <c r="AC487" s="158">
        <v>227317189</v>
      </c>
      <c r="AD487" s="158"/>
      <c r="AE487" s="158">
        <f>P487-T487-Y487-AC487</f>
        <v>0</v>
      </c>
      <c r="AF487" s="158"/>
      <c r="AG487" s="94">
        <v>0</v>
      </c>
      <c r="AH487" s="94"/>
      <c r="AI487" s="94"/>
      <c r="AJ487" s="158">
        <f t="shared" ref="AJ487" si="85">AE487+AG487</f>
        <v>0</v>
      </c>
      <c r="AK487" s="158">
        <v>877</v>
      </c>
      <c r="AL487" s="158">
        <v>10</v>
      </c>
      <c r="AM487" s="158"/>
      <c r="AN487" s="158"/>
      <c r="AO487" s="158"/>
      <c r="AP487" s="158"/>
      <c r="AQ487" s="158"/>
      <c r="AR487" s="158"/>
      <c r="AS487" s="2">
        <v>0</v>
      </c>
      <c r="AT487" s="58" t="s">
        <v>687</v>
      </c>
      <c r="AU487" s="395" t="s">
        <v>1359</v>
      </c>
      <c r="AV487" s="158"/>
      <c r="AW487" s="158"/>
      <c r="AX487" s="158"/>
      <c r="AY487" s="158"/>
      <c r="AZ487" s="158"/>
      <c r="BA487" s="158"/>
      <c r="BB487" s="69"/>
      <c r="BC487" s="69">
        <v>4</v>
      </c>
      <c r="BD487" s="351" t="s">
        <v>1706</v>
      </c>
      <c r="BE487" s="351">
        <v>2019</v>
      </c>
      <c r="BF487" s="271"/>
    </row>
    <row r="488" spans="1:58" s="204" customFormat="1" ht="15" hidden="1" customHeight="1">
      <c r="A488" s="160" t="s">
        <v>510</v>
      </c>
      <c r="B488" s="58" t="s">
        <v>546</v>
      </c>
      <c r="C488" s="148" t="s">
        <v>248</v>
      </c>
      <c r="D488" s="33" t="s">
        <v>57</v>
      </c>
      <c r="E488" s="33"/>
      <c r="F488" s="33"/>
      <c r="G488" s="33"/>
      <c r="H488" s="30"/>
      <c r="I488" s="58"/>
      <c r="J488" s="212"/>
      <c r="K488" s="158"/>
      <c r="L488" s="158"/>
      <c r="M488" s="158"/>
      <c r="N488" s="158"/>
      <c r="O488" s="158"/>
      <c r="P488" s="158"/>
      <c r="Q488" s="158"/>
      <c r="R488" s="158"/>
      <c r="S488" s="158"/>
      <c r="T488" s="586"/>
      <c r="U488" s="158"/>
      <c r="V488" s="311"/>
      <c r="W488" s="311"/>
      <c r="X488" s="311"/>
      <c r="Y488" s="94"/>
      <c r="Z488" s="158"/>
      <c r="AA488" s="158"/>
      <c r="AB488" s="158"/>
      <c r="AC488" s="158"/>
      <c r="AD488" s="158"/>
      <c r="AE488" s="158"/>
      <c r="AF488" s="158"/>
      <c r="AG488" s="158"/>
      <c r="AH488" s="158"/>
      <c r="AI488" s="158"/>
      <c r="AJ488" s="158"/>
      <c r="AK488" s="158"/>
      <c r="AL488" s="158"/>
      <c r="AM488" s="158"/>
      <c r="AN488" s="158"/>
      <c r="AO488" s="158"/>
      <c r="AP488" s="158"/>
      <c r="AQ488" s="158"/>
      <c r="AR488" s="158"/>
      <c r="AS488" s="2"/>
      <c r="AT488" s="58"/>
      <c r="AU488" s="206"/>
      <c r="AV488" s="158">
        <v>56</v>
      </c>
      <c r="AW488" s="158"/>
      <c r="AX488" s="158"/>
      <c r="AY488" s="158"/>
      <c r="AZ488" s="158"/>
      <c r="BA488" s="158"/>
      <c r="BB488" s="69"/>
      <c r="BC488" s="69"/>
      <c r="BD488" s="271">
        <v>2016</v>
      </c>
      <c r="BE488" s="271"/>
      <c r="BF488" s="271"/>
    </row>
    <row r="489" spans="1:58" s="204" customFormat="1" ht="15" hidden="1" customHeight="1">
      <c r="A489" s="160" t="s">
        <v>510</v>
      </c>
      <c r="B489" s="58" t="s">
        <v>203</v>
      </c>
      <c r="C489" s="148" t="s">
        <v>204</v>
      </c>
      <c r="D489" s="33" t="s">
        <v>200</v>
      </c>
      <c r="E489" s="33"/>
      <c r="F489" s="33"/>
      <c r="G489" s="33"/>
      <c r="H489" s="30"/>
      <c r="I489" s="58"/>
      <c r="J489" s="212"/>
      <c r="K489" s="158"/>
      <c r="L489" s="158"/>
      <c r="M489" s="158"/>
      <c r="N489" s="158"/>
      <c r="O489" s="158"/>
      <c r="P489" s="158"/>
      <c r="Q489" s="158"/>
      <c r="R489" s="158"/>
      <c r="S489" s="158"/>
      <c r="T489" s="586"/>
      <c r="U489" s="158"/>
      <c r="V489" s="311"/>
      <c r="W489" s="311"/>
      <c r="X489" s="311"/>
      <c r="Y489" s="94"/>
      <c r="Z489" s="158"/>
      <c r="AA489" s="158"/>
      <c r="AB489" s="158"/>
      <c r="AC489" s="158"/>
      <c r="AD489" s="158"/>
      <c r="AE489" s="158"/>
      <c r="AF489" s="158"/>
      <c r="AG489" s="158"/>
      <c r="AH489" s="158"/>
      <c r="AI489" s="158"/>
      <c r="AJ489" s="158"/>
      <c r="AK489" s="158"/>
      <c r="AL489" s="158"/>
      <c r="AM489" s="158"/>
      <c r="AN489" s="158"/>
      <c r="AO489" s="158"/>
      <c r="AP489" s="158"/>
      <c r="AQ489" s="158"/>
      <c r="AR489" s="158"/>
      <c r="AS489" s="2"/>
      <c r="AT489" s="58"/>
      <c r="AU489" s="206"/>
      <c r="AV489" s="158">
        <v>41</v>
      </c>
      <c r="AW489" s="158"/>
      <c r="AX489" s="158"/>
      <c r="AY489" s="158"/>
      <c r="AZ489" s="158"/>
      <c r="BA489" s="158"/>
      <c r="BB489" s="69"/>
      <c r="BC489" s="69"/>
      <c r="BD489" s="271">
        <v>2016</v>
      </c>
      <c r="BE489" s="271"/>
      <c r="BF489" s="271"/>
    </row>
    <row r="490" spans="1:58" s="204" customFormat="1" ht="15" hidden="1" customHeight="1">
      <c r="A490" s="160" t="s">
        <v>510</v>
      </c>
      <c r="B490" s="58" t="s">
        <v>203</v>
      </c>
      <c r="C490" s="148" t="s">
        <v>249</v>
      </c>
      <c r="D490" s="33" t="s">
        <v>250</v>
      </c>
      <c r="E490" s="33"/>
      <c r="F490" s="33"/>
      <c r="G490" s="33"/>
      <c r="H490" s="30" t="s">
        <v>651</v>
      </c>
      <c r="I490" s="30"/>
      <c r="J490" s="212"/>
      <c r="K490" s="158"/>
      <c r="L490" s="158"/>
      <c r="M490" s="158"/>
      <c r="N490" s="158"/>
      <c r="O490" s="158"/>
      <c r="P490" s="158"/>
      <c r="Q490" s="158"/>
      <c r="R490" s="158"/>
      <c r="S490" s="158"/>
      <c r="T490" s="586"/>
      <c r="U490" s="158"/>
      <c r="V490" s="311"/>
      <c r="W490" s="311"/>
      <c r="X490" s="311"/>
      <c r="Y490" s="94"/>
      <c r="Z490" s="158"/>
      <c r="AA490" s="158"/>
      <c r="AB490" s="158"/>
      <c r="AC490" s="158"/>
      <c r="AD490" s="158"/>
      <c r="AE490" s="158"/>
      <c r="AF490" s="158"/>
      <c r="AG490" s="158"/>
      <c r="AH490" s="158"/>
      <c r="AI490" s="158"/>
      <c r="AJ490" s="158"/>
      <c r="AK490" s="158"/>
      <c r="AL490" s="158"/>
      <c r="AM490" s="158"/>
      <c r="AN490" s="158"/>
      <c r="AO490" s="158"/>
      <c r="AP490" s="158"/>
      <c r="AQ490" s="158"/>
      <c r="AR490" s="158"/>
      <c r="AS490" s="2">
        <v>1</v>
      </c>
      <c r="AT490" s="58" t="s">
        <v>646</v>
      </c>
      <c r="AU490" s="206"/>
      <c r="AV490" s="158" t="s">
        <v>0</v>
      </c>
      <c r="AW490" s="158">
        <v>24</v>
      </c>
      <c r="AX490" s="158"/>
      <c r="AY490" s="158"/>
      <c r="AZ490" s="158"/>
      <c r="BA490" s="158"/>
      <c r="BB490" s="69"/>
      <c r="BC490" s="69"/>
      <c r="BD490" s="271">
        <v>2017</v>
      </c>
      <c r="BE490" s="271"/>
      <c r="BF490" s="271"/>
    </row>
    <row r="491" spans="1:58" s="204" customFormat="1" ht="15" hidden="1" customHeight="1">
      <c r="A491" s="160" t="s">
        <v>510</v>
      </c>
      <c r="B491" s="58" t="s">
        <v>203</v>
      </c>
      <c r="C491" s="148" t="s">
        <v>249</v>
      </c>
      <c r="D491" s="33" t="s">
        <v>250</v>
      </c>
      <c r="E491" s="33"/>
      <c r="F491" s="33"/>
      <c r="G491" s="33"/>
      <c r="H491" s="30" t="s">
        <v>651</v>
      </c>
      <c r="I491" s="30"/>
      <c r="J491" s="212"/>
      <c r="K491" s="158"/>
      <c r="L491" s="158"/>
      <c r="M491" s="158"/>
      <c r="N491" s="158"/>
      <c r="O491" s="158"/>
      <c r="P491" s="158"/>
      <c r="Q491" s="158"/>
      <c r="R491" s="158"/>
      <c r="S491" s="158"/>
      <c r="T491" s="586"/>
      <c r="U491" s="158"/>
      <c r="V491" s="311"/>
      <c r="W491" s="311"/>
      <c r="X491" s="311"/>
      <c r="Y491" s="94"/>
      <c r="Z491" s="158"/>
      <c r="AA491" s="158"/>
      <c r="AB491" s="158"/>
      <c r="AC491" s="158"/>
      <c r="AD491" s="158"/>
      <c r="AE491" s="158"/>
      <c r="AF491" s="158"/>
      <c r="AG491" s="158"/>
      <c r="AH491" s="158"/>
      <c r="AI491" s="158"/>
      <c r="AJ491" s="158"/>
      <c r="AK491" s="158"/>
      <c r="AL491" s="158"/>
      <c r="AM491" s="158">
        <f>1-1</f>
        <v>0</v>
      </c>
      <c r="AN491" s="158"/>
      <c r="AO491" s="158"/>
      <c r="AP491" s="158"/>
      <c r="AQ491" s="158"/>
      <c r="AR491" s="158"/>
      <c r="AS491" s="2">
        <v>0</v>
      </c>
      <c r="AT491" s="58" t="s">
        <v>687</v>
      </c>
      <c r="AU491" s="162" t="s">
        <v>1371</v>
      </c>
      <c r="AV491" s="158"/>
      <c r="AW491" s="158"/>
      <c r="AX491" s="158"/>
      <c r="AY491" s="158"/>
      <c r="AZ491" s="158"/>
      <c r="BA491" s="158"/>
      <c r="BB491" s="69"/>
      <c r="BC491" s="69">
        <v>1</v>
      </c>
      <c r="BD491" s="271" t="s">
        <v>1703</v>
      </c>
      <c r="BE491" s="271"/>
      <c r="BF491" s="271"/>
    </row>
    <row r="492" spans="1:58" s="204" customFormat="1" ht="22.5" hidden="1" customHeight="1">
      <c r="A492" s="160" t="s">
        <v>510</v>
      </c>
      <c r="B492" s="58" t="s">
        <v>199</v>
      </c>
      <c r="C492" s="148" t="s">
        <v>251</v>
      </c>
      <c r="D492" s="33" t="s">
        <v>30</v>
      </c>
      <c r="E492" s="33"/>
      <c r="F492" s="33"/>
      <c r="G492" s="33"/>
      <c r="H492" s="30"/>
      <c r="I492" s="58"/>
      <c r="J492" s="212"/>
      <c r="K492" s="158"/>
      <c r="L492" s="158"/>
      <c r="M492" s="158"/>
      <c r="N492" s="158"/>
      <c r="O492" s="158"/>
      <c r="P492" s="158"/>
      <c r="Q492" s="158"/>
      <c r="R492" s="158"/>
      <c r="S492" s="158"/>
      <c r="T492" s="586"/>
      <c r="U492" s="158"/>
      <c r="V492" s="311"/>
      <c r="W492" s="311"/>
      <c r="X492" s="311"/>
      <c r="Y492" s="94"/>
      <c r="Z492" s="158"/>
      <c r="AA492" s="158"/>
      <c r="AB492" s="158"/>
      <c r="AC492" s="158"/>
      <c r="AD492" s="158"/>
      <c r="AE492" s="158"/>
      <c r="AF492" s="158"/>
      <c r="AG492" s="158"/>
      <c r="AH492" s="158"/>
      <c r="AI492" s="158"/>
      <c r="AJ492" s="158"/>
      <c r="AK492" s="158"/>
      <c r="AL492" s="158"/>
      <c r="AM492" s="158"/>
      <c r="AN492" s="158"/>
      <c r="AO492" s="158"/>
      <c r="AP492" s="158"/>
      <c r="AQ492" s="158"/>
      <c r="AR492" s="158"/>
      <c r="AS492" s="2"/>
      <c r="AT492" s="58"/>
      <c r="AU492" s="125" t="s">
        <v>1360</v>
      </c>
      <c r="AV492" s="158">
        <v>88</v>
      </c>
      <c r="AW492" s="158"/>
      <c r="AX492" s="158"/>
      <c r="AY492" s="158"/>
      <c r="AZ492" s="158"/>
      <c r="BA492" s="158"/>
      <c r="BB492" s="69"/>
      <c r="BC492" s="69"/>
      <c r="BD492" s="271">
        <v>2016</v>
      </c>
      <c r="BE492" s="271"/>
      <c r="BF492" s="271"/>
    </row>
    <row r="493" spans="1:58" s="204" customFormat="1" ht="15" hidden="1" customHeight="1">
      <c r="A493" s="160" t="s">
        <v>510</v>
      </c>
      <c r="B493" s="58" t="s">
        <v>280</v>
      </c>
      <c r="C493" s="148" t="s">
        <v>252</v>
      </c>
      <c r="D493" s="33" t="s">
        <v>30</v>
      </c>
      <c r="E493" s="33"/>
      <c r="F493" s="33"/>
      <c r="G493" s="33"/>
      <c r="H493" s="30" t="s">
        <v>651</v>
      </c>
      <c r="I493" s="30">
        <v>897</v>
      </c>
      <c r="J493" s="212">
        <v>42142</v>
      </c>
      <c r="K493" s="158"/>
      <c r="L493" s="158"/>
      <c r="M493" s="158"/>
      <c r="N493" s="158"/>
      <c r="O493" s="158"/>
      <c r="P493" s="158">
        <f>2326629398-113494118</f>
        <v>2213135280</v>
      </c>
      <c r="Q493" s="158"/>
      <c r="R493" s="158"/>
      <c r="S493" s="158"/>
      <c r="T493" s="586">
        <v>976683898</v>
      </c>
      <c r="U493" s="158"/>
      <c r="V493" s="311"/>
      <c r="W493" s="311"/>
      <c r="X493" s="311"/>
      <c r="Y493" s="94">
        <v>1236451382</v>
      </c>
      <c r="Z493" s="158"/>
      <c r="AA493" s="311"/>
      <c r="AB493" s="311"/>
      <c r="AC493" s="158"/>
      <c r="AD493" s="158"/>
      <c r="AE493" s="158">
        <f>P493-T493-Y493</f>
        <v>0</v>
      </c>
      <c r="AF493" s="158"/>
      <c r="AG493" s="158"/>
      <c r="AH493" s="158"/>
      <c r="AI493" s="158"/>
      <c r="AJ493" s="158"/>
      <c r="AK493" s="158"/>
      <c r="AL493" s="158"/>
      <c r="AM493" s="158"/>
      <c r="AN493" s="158"/>
      <c r="AO493" s="158"/>
      <c r="AP493" s="158"/>
      <c r="AQ493" s="158"/>
      <c r="AR493" s="158"/>
      <c r="AS493" s="2">
        <v>1</v>
      </c>
      <c r="AT493" s="58" t="s">
        <v>646</v>
      </c>
      <c r="AU493" s="206"/>
      <c r="AV493" s="158">
        <v>39</v>
      </c>
      <c r="AW493" s="158"/>
      <c r="AX493" s="158"/>
      <c r="AY493" s="158"/>
      <c r="AZ493" s="158"/>
      <c r="BA493" s="158"/>
      <c r="BB493" s="69"/>
      <c r="BC493" s="69"/>
      <c r="BD493" s="271">
        <v>2016</v>
      </c>
      <c r="BE493" s="271"/>
      <c r="BF493" s="271"/>
    </row>
    <row r="494" spans="1:58" s="204" customFormat="1" ht="18" hidden="1" customHeight="1">
      <c r="A494" s="160" t="s">
        <v>510</v>
      </c>
      <c r="B494" s="58" t="s">
        <v>280</v>
      </c>
      <c r="C494" s="148" t="s">
        <v>252</v>
      </c>
      <c r="D494" s="33" t="s">
        <v>30</v>
      </c>
      <c r="E494" s="33"/>
      <c r="F494" s="33"/>
      <c r="G494" s="33"/>
      <c r="H494" s="30" t="s">
        <v>651</v>
      </c>
      <c r="I494" s="115" t="s">
        <v>1812</v>
      </c>
      <c r="J494" s="215" t="s">
        <v>1813</v>
      </c>
      <c r="K494" s="158"/>
      <c r="L494" s="158"/>
      <c r="M494" s="158">
        <v>2</v>
      </c>
      <c r="N494" s="158"/>
      <c r="O494" s="158"/>
      <c r="P494" s="158">
        <v>113494118</v>
      </c>
      <c r="Q494" s="317"/>
      <c r="R494" s="158"/>
      <c r="S494" s="158"/>
      <c r="T494" s="586">
        <f>10153100+103341018</f>
        <v>113494118</v>
      </c>
      <c r="U494" s="158" t="s">
        <v>1814</v>
      </c>
      <c r="V494" s="311">
        <v>43739</v>
      </c>
      <c r="W494" s="311"/>
      <c r="X494" s="311"/>
      <c r="Y494" s="94"/>
      <c r="Z494" s="158"/>
      <c r="AA494" s="158"/>
      <c r="AB494" s="158"/>
      <c r="AC494" s="158"/>
      <c r="AD494" s="158"/>
      <c r="AE494" s="158">
        <f>P494-T494-Y494-AC494</f>
        <v>0</v>
      </c>
      <c r="AF494" s="158"/>
      <c r="AG494" s="94">
        <v>0</v>
      </c>
      <c r="AH494" s="94"/>
      <c r="AI494" s="94"/>
      <c r="AJ494" s="158">
        <f t="shared" ref="AJ494" si="86">AE494+AG494</f>
        <v>0</v>
      </c>
      <c r="AK494" s="158" t="s">
        <v>1815</v>
      </c>
      <c r="AL494" s="158" t="s">
        <v>1814</v>
      </c>
      <c r="AM494" s="158"/>
      <c r="AN494" s="158"/>
      <c r="AO494" s="158"/>
      <c r="AP494" s="158"/>
      <c r="AQ494" s="158"/>
      <c r="AR494" s="158"/>
      <c r="AS494" s="2">
        <v>1</v>
      </c>
      <c r="AT494" s="58" t="s">
        <v>646</v>
      </c>
      <c r="AU494" s="348" t="s">
        <v>1816</v>
      </c>
      <c r="AV494" s="158"/>
      <c r="AW494" s="158"/>
      <c r="AX494" s="158"/>
      <c r="AY494" s="158">
        <v>2</v>
      </c>
      <c r="AZ494" s="158"/>
      <c r="BA494" s="158"/>
      <c r="BB494" s="69">
        <v>2</v>
      </c>
      <c r="BC494" s="69"/>
      <c r="BD494" s="271">
        <v>2019</v>
      </c>
      <c r="BE494" s="271">
        <v>2019</v>
      </c>
      <c r="BF494" s="271"/>
    </row>
    <row r="495" spans="1:58" s="204" customFormat="1" ht="24.75" hidden="1" customHeight="1">
      <c r="A495" s="160" t="s">
        <v>510</v>
      </c>
      <c r="B495" s="58" t="s">
        <v>280</v>
      </c>
      <c r="C495" s="148" t="s">
        <v>253</v>
      </c>
      <c r="D495" s="33" t="s">
        <v>7</v>
      </c>
      <c r="E495" s="33"/>
      <c r="F495" s="33"/>
      <c r="G495" s="33"/>
      <c r="H495" s="30"/>
      <c r="I495" s="58"/>
      <c r="J495" s="212"/>
      <c r="K495" s="158"/>
      <c r="L495" s="158"/>
      <c r="M495" s="158"/>
      <c r="N495" s="158"/>
      <c r="O495" s="158"/>
      <c r="P495" s="158"/>
      <c r="Q495" s="318"/>
      <c r="R495" s="158"/>
      <c r="S495" s="158"/>
      <c r="T495" s="586"/>
      <c r="U495" s="158"/>
      <c r="V495" s="311"/>
      <c r="W495" s="311"/>
      <c r="X495" s="311"/>
      <c r="Y495" s="94"/>
      <c r="Z495" s="158"/>
      <c r="AA495" s="158"/>
      <c r="AB495" s="158"/>
      <c r="AC495" s="158"/>
      <c r="AD495" s="158"/>
      <c r="AE495" s="158"/>
      <c r="AF495" s="158"/>
      <c r="AG495" s="158"/>
      <c r="AH495" s="158"/>
      <c r="AI495" s="158"/>
      <c r="AJ495" s="158"/>
      <c r="AK495" s="158"/>
      <c r="AL495" s="158"/>
      <c r="AM495" s="158"/>
      <c r="AN495" s="158"/>
      <c r="AO495" s="158"/>
      <c r="AP495" s="158"/>
      <c r="AQ495" s="158"/>
      <c r="AR495" s="158"/>
      <c r="AS495" s="2">
        <v>1</v>
      </c>
      <c r="AT495" s="58" t="s">
        <v>646</v>
      </c>
      <c r="AU495" s="206"/>
      <c r="AV495" s="158">
        <v>31</v>
      </c>
      <c r="AW495" s="158"/>
      <c r="AX495" s="158"/>
      <c r="AY495" s="158"/>
      <c r="AZ495" s="158"/>
      <c r="BA495" s="158"/>
      <c r="BB495" s="69"/>
      <c r="BC495" s="69"/>
      <c r="BD495" s="271">
        <v>2016</v>
      </c>
      <c r="BE495" s="271"/>
      <c r="BF495" s="271"/>
    </row>
    <row r="496" spans="1:58" s="204" customFormat="1" ht="15" hidden="1" customHeight="1">
      <c r="A496" s="160" t="s">
        <v>510</v>
      </c>
      <c r="B496" s="58" t="s">
        <v>208</v>
      </c>
      <c r="C496" s="148" t="s">
        <v>254</v>
      </c>
      <c r="D496" s="33" t="s">
        <v>30</v>
      </c>
      <c r="E496" s="33"/>
      <c r="F496" s="33"/>
      <c r="G496" s="33"/>
      <c r="H496" s="30" t="s">
        <v>651</v>
      </c>
      <c r="I496" s="30"/>
      <c r="J496" s="212"/>
      <c r="K496" s="12"/>
      <c r="L496" s="12"/>
      <c r="M496" s="12"/>
      <c r="N496" s="12"/>
      <c r="O496" s="12"/>
      <c r="P496" s="12"/>
      <c r="Q496" s="319"/>
      <c r="R496" s="158"/>
      <c r="S496" s="12"/>
      <c r="T496" s="586"/>
      <c r="U496" s="12"/>
      <c r="V496" s="311"/>
      <c r="W496" s="311"/>
      <c r="X496" s="311"/>
      <c r="Y496" s="94"/>
      <c r="Z496" s="12"/>
      <c r="AA496" s="12"/>
      <c r="AB496" s="12"/>
      <c r="AC496" s="12"/>
      <c r="AD496" s="158"/>
      <c r="AE496" s="158"/>
      <c r="AF496" s="158"/>
      <c r="AG496" s="158"/>
      <c r="AH496" s="158"/>
      <c r="AI496" s="158"/>
      <c r="AJ496" s="158"/>
      <c r="AK496" s="158"/>
      <c r="AL496" s="158"/>
      <c r="AM496" s="158"/>
      <c r="AN496" s="158"/>
      <c r="AO496" s="12"/>
      <c r="AP496" s="12"/>
      <c r="AQ496" s="12"/>
      <c r="AR496" s="12"/>
      <c r="AS496" s="14">
        <v>1</v>
      </c>
      <c r="AT496" s="118" t="s">
        <v>646</v>
      </c>
      <c r="AU496" s="305"/>
      <c r="AV496" s="12" t="s">
        <v>0</v>
      </c>
      <c r="AW496" s="12">
        <v>4</v>
      </c>
      <c r="AX496" s="11"/>
      <c r="AY496" s="11"/>
      <c r="AZ496" s="11"/>
      <c r="BA496" s="11"/>
      <c r="BB496" s="70"/>
      <c r="BC496" s="70"/>
      <c r="BD496" s="271">
        <v>2017</v>
      </c>
      <c r="BE496" s="271"/>
      <c r="BF496" s="271"/>
    </row>
    <row r="497" spans="1:58" s="204" customFormat="1" ht="15" hidden="1" customHeight="1">
      <c r="A497" s="160" t="s">
        <v>510</v>
      </c>
      <c r="B497" s="58" t="s">
        <v>188</v>
      </c>
      <c r="C497" s="148" t="s">
        <v>695</v>
      </c>
      <c r="D497" s="33" t="s">
        <v>165</v>
      </c>
      <c r="E497" s="33"/>
      <c r="F497" s="33"/>
      <c r="G497" s="33"/>
      <c r="H497" s="30" t="s">
        <v>635</v>
      </c>
      <c r="I497" s="30">
        <v>1856</v>
      </c>
      <c r="J497" s="212">
        <v>42608</v>
      </c>
      <c r="K497" s="12"/>
      <c r="L497" s="12"/>
      <c r="M497" s="12"/>
      <c r="N497" s="12"/>
      <c r="O497" s="12"/>
      <c r="P497" s="158">
        <f>1628982014-56171794</f>
        <v>1572810220</v>
      </c>
      <c r="Q497" s="12"/>
      <c r="R497" s="158"/>
      <c r="S497" s="310"/>
      <c r="T497" s="586">
        <v>680367752</v>
      </c>
      <c r="U497" s="12"/>
      <c r="V497" s="311"/>
      <c r="W497" s="311"/>
      <c r="X497" s="311"/>
      <c r="Y497" s="94">
        <v>892442468</v>
      </c>
      <c r="Z497" s="12"/>
      <c r="AA497" s="12"/>
      <c r="AB497" s="12"/>
      <c r="AC497" s="12"/>
      <c r="AD497" s="158"/>
      <c r="AE497" s="158">
        <f>P497-T497-Y497</f>
        <v>0</v>
      </c>
      <c r="AF497" s="158"/>
      <c r="AG497" s="158"/>
      <c r="AH497" s="158"/>
      <c r="AI497" s="158"/>
      <c r="AJ497" s="158"/>
      <c r="AK497" s="158">
        <v>877</v>
      </c>
      <c r="AL497" s="158">
        <v>10</v>
      </c>
      <c r="AM497" s="158"/>
      <c r="AN497" s="158"/>
      <c r="AO497" s="12"/>
      <c r="AP497" s="12"/>
      <c r="AQ497" s="12"/>
      <c r="AR497" s="12"/>
      <c r="AS497" s="14">
        <v>1</v>
      </c>
      <c r="AT497" s="118" t="s">
        <v>646</v>
      </c>
      <c r="AU497" s="305"/>
      <c r="AV497" s="12">
        <v>28</v>
      </c>
      <c r="AW497" s="12"/>
      <c r="AX497" s="158"/>
      <c r="AY497" s="158"/>
      <c r="AZ497" s="158"/>
      <c r="BA497" s="158"/>
      <c r="BB497" s="69"/>
      <c r="BC497" s="69"/>
      <c r="BD497" s="271">
        <v>2016</v>
      </c>
      <c r="BE497" s="271"/>
      <c r="BF497" s="271"/>
    </row>
    <row r="498" spans="1:58" s="204" customFormat="1" ht="41.25" customHeight="1">
      <c r="A498" s="160" t="s">
        <v>510</v>
      </c>
      <c r="B498" s="58" t="s">
        <v>188</v>
      </c>
      <c r="C498" s="55" t="s">
        <v>695</v>
      </c>
      <c r="D498" s="33" t="s">
        <v>165</v>
      </c>
      <c r="E498" s="33"/>
      <c r="F498" s="33"/>
      <c r="G498" s="33"/>
      <c r="H498" s="30" t="s">
        <v>635</v>
      </c>
      <c r="I498" s="30">
        <v>1856</v>
      </c>
      <c r="J498" s="212">
        <v>42608</v>
      </c>
      <c r="K498" s="158"/>
      <c r="L498" s="158"/>
      <c r="M498" s="158">
        <v>1</v>
      </c>
      <c r="N498" s="158"/>
      <c r="O498" s="158">
        <v>1</v>
      </c>
      <c r="P498" s="158">
        <v>56171794</v>
      </c>
      <c r="Q498" s="12"/>
      <c r="R498" s="158"/>
      <c r="S498" s="12"/>
      <c r="T498" s="586"/>
      <c r="U498" s="12"/>
      <c r="V498" s="311"/>
      <c r="W498" s="311"/>
      <c r="X498" s="311"/>
      <c r="Y498" s="94"/>
      <c r="Z498" s="12"/>
      <c r="AA498" s="12"/>
      <c r="AB498" s="12"/>
      <c r="AC498" s="12"/>
      <c r="AD498" s="158"/>
      <c r="AE498" s="158">
        <f>P498-T498-Y498-56171794</f>
        <v>0</v>
      </c>
      <c r="AF498" s="158"/>
      <c r="AG498" s="158">
        <v>56171794</v>
      </c>
      <c r="AH498" s="158"/>
      <c r="AI498" s="158"/>
      <c r="AJ498" s="158">
        <f>AE498+AG498</f>
        <v>56171794</v>
      </c>
      <c r="AK498" s="158">
        <v>877</v>
      </c>
      <c r="AL498" s="158">
        <v>10</v>
      </c>
      <c r="AM498" s="158">
        <v>1</v>
      </c>
      <c r="AN498" s="158"/>
      <c r="AO498" s="158"/>
      <c r="AP498" s="158"/>
      <c r="AQ498" s="158"/>
      <c r="AR498" s="158"/>
      <c r="AS498" s="2">
        <v>0</v>
      </c>
      <c r="AT498" s="58" t="s">
        <v>521</v>
      </c>
      <c r="AU498" s="422" t="s">
        <v>1305</v>
      </c>
      <c r="AV498" s="12"/>
      <c r="AW498" s="12"/>
      <c r="AX498" s="158"/>
      <c r="AY498" s="158"/>
      <c r="AZ498" s="158"/>
      <c r="BA498" s="158"/>
      <c r="BB498" s="69"/>
      <c r="BC498" s="69"/>
      <c r="BD498" s="271"/>
      <c r="BE498" s="271">
        <v>2019</v>
      </c>
      <c r="BF498" s="271">
        <v>2020</v>
      </c>
    </row>
    <row r="499" spans="1:58" s="204" customFormat="1" ht="15" hidden="1" customHeight="1">
      <c r="A499" s="160" t="s">
        <v>510</v>
      </c>
      <c r="B499" s="58" t="s">
        <v>188</v>
      </c>
      <c r="C499" s="148" t="s">
        <v>695</v>
      </c>
      <c r="D499" s="33" t="s">
        <v>165</v>
      </c>
      <c r="E499" s="33"/>
      <c r="F499" s="33"/>
      <c r="G499" s="33"/>
      <c r="H499" s="30" t="s">
        <v>635</v>
      </c>
      <c r="I499" s="30">
        <v>1856</v>
      </c>
      <c r="J499" s="212">
        <v>42608</v>
      </c>
      <c r="K499" s="12"/>
      <c r="L499" s="12"/>
      <c r="M499" s="12"/>
      <c r="N499" s="12"/>
      <c r="O499" s="12"/>
      <c r="P499" s="12"/>
      <c r="Q499" s="12"/>
      <c r="R499" s="158"/>
      <c r="S499" s="12"/>
      <c r="T499" s="586"/>
      <c r="U499" s="12"/>
      <c r="V499" s="311"/>
      <c r="W499" s="311"/>
      <c r="X499" s="311"/>
      <c r="Y499" s="94"/>
      <c r="Z499" s="12"/>
      <c r="AA499" s="12"/>
      <c r="AB499" s="12"/>
      <c r="AC499" s="12"/>
      <c r="AD499" s="158"/>
      <c r="AE499" s="158"/>
      <c r="AF499" s="158"/>
      <c r="AG499" s="158"/>
      <c r="AH499" s="158"/>
      <c r="AI499" s="158"/>
      <c r="AJ499" s="158"/>
      <c r="AK499" s="158"/>
      <c r="AL499" s="158"/>
      <c r="AM499" s="158"/>
      <c r="AN499" s="158"/>
      <c r="AO499" s="12"/>
      <c r="AP499" s="12"/>
      <c r="AQ499" s="12"/>
      <c r="AR499" s="12"/>
      <c r="AS499" s="14">
        <v>0</v>
      </c>
      <c r="AT499" s="118" t="s">
        <v>687</v>
      </c>
      <c r="AU499" s="306" t="s">
        <v>578</v>
      </c>
      <c r="AV499" s="12"/>
      <c r="AW499" s="12"/>
      <c r="AX499" s="158"/>
      <c r="AY499" s="158"/>
      <c r="AZ499" s="158"/>
      <c r="BA499" s="158"/>
      <c r="BB499" s="69"/>
      <c r="BC499" s="69">
        <v>1</v>
      </c>
      <c r="BD499" s="271" t="s">
        <v>1703</v>
      </c>
      <c r="BE499" s="271"/>
      <c r="BF499" s="271"/>
    </row>
    <row r="500" spans="1:58" s="204" customFormat="1" ht="15" hidden="1" customHeight="1">
      <c r="A500" s="160" t="s">
        <v>510</v>
      </c>
      <c r="B500" s="58" t="s">
        <v>211</v>
      </c>
      <c r="C500" s="148" t="s">
        <v>256</v>
      </c>
      <c r="D500" s="33" t="s">
        <v>7</v>
      </c>
      <c r="E500" s="33"/>
      <c r="F500" s="33"/>
      <c r="G500" s="33"/>
      <c r="H500" s="30" t="s">
        <v>635</v>
      </c>
      <c r="I500" s="30"/>
      <c r="J500" s="212"/>
      <c r="K500" s="12"/>
      <c r="L500" s="12"/>
      <c r="M500" s="12"/>
      <c r="N500" s="12"/>
      <c r="O500" s="12"/>
      <c r="P500" s="12"/>
      <c r="Q500" s="12"/>
      <c r="R500" s="158"/>
      <c r="S500" s="12"/>
      <c r="T500" s="586"/>
      <c r="U500" s="12"/>
      <c r="V500" s="311"/>
      <c r="W500" s="311"/>
      <c r="X500" s="311"/>
      <c r="Y500" s="94"/>
      <c r="Z500" s="12"/>
      <c r="AA500" s="12"/>
      <c r="AB500" s="12"/>
      <c r="AC500" s="12"/>
      <c r="AD500" s="158"/>
      <c r="AE500" s="158"/>
      <c r="AF500" s="158"/>
      <c r="AG500" s="158"/>
      <c r="AH500" s="158"/>
      <c r="AI500" s="158"/>
      <c r="AJ500" s="158"/>
      <c r="AK500" s="158"/>
      <c r="AL500" s="158"/>
      <c r="AM500" s="158"/>
      <c r="AN500" s="158"/>
      <c r="AO500" s="12"/>
      <c r="AP500" s="12"/>
      <c r="AQ500" s="12"/>
      <c r="AR500" s="12"/>
      <c r="AS500" s="14">
        <v>1</v>
      </c>
      <c r="AT500" s="118" t="s">
        <v>646</v>
      </c>
      <c r="AU500" s="306"/>
      <c r="AV500" s="12"/>
      <c r="AW500" s="12">
        <v>16</v>
      </c>
      <c r="AX500" s="11"/>
      <c r="AY500" s="11"/>
      <c r="AZ500" s="11"/>
      <c r="BA500" s="11"/>
      <c r="BB500" s="70"/>
      <c r="BC500" s="70"/>
      <c r="BD500" s="271">
        <v>2017</v>
      </c>
      <c r="BE500" s="271"/>
      <c r="BF500" s="271"/>
    </row>
    <row r="501" spans="1:58" s="204" customFormat="1" ht="19.5" hidden="1" customHeight="1">
      <c r="A501" s="160" t="s">
        <v>510</v>
      </c>
      <c r="B501" s="58" t="s">
        <v>211</v>
      </c>
      <c r="C501" s="148" t="s">
        <v>257</v>
      </c>
      <c r="D501" s="33" t="s">
        <v>7</v>
      </c>
      <c r="E501" s="33"/>
      <c r="F501" s="33"/>
      <c r="G501" s="33"/>
      <c r="H501" s="30" t="s">
        <v>635</v>
      </c>
      <c r="I501" s="30">
        <v>1866</v>
      </c>
      <c r="J501" s="212">
        <v>42612</v>
      </c>
      <c r="K501" s="12"/>
      <c r="L501" s="12"/>
      <c r="M501" s="12"/>
      <c r="N501" s="12"/>
      <c r="O501" s="12"/>
      <c r="P501" s="12">
        <f>1591426712-113673337</f>
        <v>1477753375</v>
      </c>
      <c r="Q501" s="12"/>
      <c r="R501" s="158"/>
      <c r="S501" s="12"/>
      <c r="T501" s="586">
        <v>655748398</v>
      </c>
      <c r="U501" s="12"/>
      <c r="V501" s="311"/>
      <c r="W501" s="311"/>
      <c r="X501" s="311"/>
      <c r="Y501" s="94">
        <v>822004977</v>
      </c>
      <c r="Z501" s="12"/>
      <c r="AA501" s="12"/>
      <c r="AB501" s="12"/>
      <c r="AC501" s="12"/>
      <c r="AD501" s="158"/>
      <c r="AE501" s="158">
        <f>P501-T501-Y501</f>
        <v>0</v>
      </c>
      <c r="AF501" s="158"/>
      <c r="AG501" s="158"/>
      <c r="AH501" s="158"/>
      <c r="AI501" s="158"/>
      <c r="AJ501" s="158"/>
      <c r="AK501" s="158"/>
      <c r="AL501" s="158"/>
      <c r="AM501" s="158"/>
      <c r="AN501" s="158"/>
      <c r="AO501" s="12"/>
      <c r="AP501" s="12"/>
      <c r="AQ501" s="12"/>
      <c r="AR501" s="12"/>
      <c r="AS501" s="14">
        <v>1</v>
      </c>
      <c r="AT501" s="118" t="s">
        <v>646</v>
      </c>
      <c r="AU501" s="307"/>
      <c r="AV501" s="12"/>
      <c r="AW501" s="12">
        <v>26</v>
      </c>
      <c r="AX501" s="11"/>
      <c r="AY501" s="11"/>
      <c r="AZ501" s="11"/>
      <c r="BA501" s="11"/>
      <c r="BB501" s="70"/>
      <c r="BC501" s="70"/>
      <c r="BD501" s="271">
        <v>2017</v>
      </c>
      <c r="BE501" s="271"/>
      <c r="BF501" s="271"/>
    </row>
    <row r="502" spans="1:58" s="204" customFormat="1" ht="18" hidden="1" customHeight="1">
      <c r="A502" s="160" t="s">
        <v>510</v>
      </c>
      <c r="B502" s="58" t="s">
        <v>211</v>
      </c>
      <c r="C502" s="148" t="s">
        <v>257</v>
      </c>
      <c r="D502" s="33" t="s">
        <v>7</v>
      </c>
      <c r="E502" s="33"/>
      <c r="F502" s="33"/>
      <c r="G502" s="33"/>
      <c r="H502" s="30" t="s">
        <v>635</v>
      </c>
      <c r="I502" s="115" t="s">
        <v>1684</v>
      </c>
      <c r="J502" s="215" t="s">
        <v>1685</v>
      </c>
      <c r="K502" s="158"/>
      <c r="L502" s="158"/>
      <c r="M502" s="158">
        <v>2</v>
      </c>
      <c r="N502" s="158"/>
      <c r="O502" s="158"/>
      <c r="P502" s="158">
        <v>113673337</v>
      </c>
      <c r="Q502" s="158"/>
      <c r="R502" s="158"/>
      <c r="S502" s="158"/>
      <c r="T502" s="586"/>
      <c r="U502" s="158"/>
      <c r="V502" s="311"/>
      <c r="W502" s="311"/>
      <c r="X502" s="311"/>
      <c r="Y502" s="94"/>
      <c r="Z502" s="158"/>
      <c r="AA502" s="158"/>
      <c r="AB502" s="158"/>
      <c r="AC502" s="158">
        <v>113673337</v>
      </c>
      <c r="AD502" s="158"/>
      <c r="AE502" s="158">
        <f>P502-T502-Y502-AC502</f>
        <v>0</v>
      </c>
      <c r="AF502" s="158"/>
      <c r="AG502" s="94">
        <v>0</v>
      </c>
      <c r="AH502" s="94"/>
      <c r="AI502" s="94"/>
      <c r="AJ502" s="158">
        <f t="shared" ref="AJ502" si="87">AE502+AG502</f>
        <v>0</v>
      </c>
      <c r="AK502" s="158">
        <v>877</v>
      </c>
      <c r="AL502" s="158">
        <v>10</v>
      </c>
      <c r="AM502" s="158">
        <f>2-2</f>
        <v>0</v>
      </c>
      <c r="AN502" s="158"/>
      <c r="AO502" s="158"/>
      <c r="AP502" s="158"/>
      <c r="AQ502" s="158"/>
      <c r="AR502" s="158"/>
      <c r="AS502" s="2">
        <v>0</v>
      </c>
      <c r="AT502" s="58" t="s">
        <v>687</v>
      </c>
      <c r="AU502" s="386" t="s">
        <v>2176</v>
      </c>
      <c r="AV502" s="158"/>
      <c r="AW502" s="158"/>
      <c r="AX502" s="158"/>
      <c r="AY502" s="158"/>
      <c r="AZ502" s="158"/>
      <c r="BA502" s="158"/>
      <c r="BB502" s="69"/>
      <c r="BC502" s="69">
        <v>2</v>
      </c>
      <c r="BD502" s="271" t="s">
        <v>1706</v>
      </c>
      <c r="BE502" s="271">
        <v>2019</v>
      </c>
      <c r="BF502" s="271"/>
    </row>
    <row r="503" spans="1:58" s="204" customFormat="1" ht="15" hidden="1" customHeight="1">
      <c r="A503" s="160" t="s">
        <v>510</v>
      </c>
      <c r="B503" s="58" t="s">
        <v>280</v>
      </c>
      <c r="C503" s="148" t="s">
        <v>258</v>
      </c>
      <c r="D503" s="33" t="s">
        <v>57</v>
      </c>
      <c r="E503" s="33"/>
      <c r="F503" s="33"/>
      <c r="G503" s="33"/>
      <c r="H503" s="30" t="s">
        <v>635</v>
      </c>
      <c r="I503" s="30"/>
      <c r="J503" s="212"/>
      <c r="K503" s="158"/>
      <c r="L503" s="158"/>
      <c r="M503" s="158"/>
      <c r="N503" s="158"/>
      <c r="O503" s="158"/>
      <c r="P503" s="158"/>
      <c r="Q503" s="158"/>
      <c r="R503" s="158"/>
      <c r="S503" s="158"/>
      <c r="T503" s="586"/>
      <c r="U503" s="158"/>
      <c r="V503" s="311"/>
      <c r="W503" s="311"/>
      <c r="X503" s="311"/>
      <c r="Y503" s="94"/>
      <c r="Z503" s="158"/>
      <c r="AA503" s="158"/>
      <c r="AB503" s="158"/>
      <c r="AC503" s="158"/>
      <c r="AD503" s="158"/>
      <c r="AE503" s="158"/>
      <c r="AF503" s="158"/>
      <c r="AG503" s="158"/>
      <c r="AH503" s="158"/>
      <c r="AI503" s="158"/>
      <c r="AJ503" s="158"/>
      <c r="AK503" s="158"/>
      <c r="AL503" s="158"/>
      <c r="AM503" s="158"/>
      <c r="AN503" s="158"/>
      <c r="AO503" s="158"/>
      <c r="AP503" s="158"/>
      <c r="AQ503" s="158"/>
      <c r="AR503" s="158"/>
      <c r="AS503" s="2">
        <v>1</v>
      </c>
      <c r="AT503" s="58" t="s">
        <v>646</v>
      </c>
      <c r="AU503" s="105"/>
      <c r="AV503" s="158"/>
      <c r="AW503" s="158">
        <v>24</v>
      </c>
      <c r="AX503" s="158"/>
      <c r="AY503" s="158"/>
      <c r="AZ503" s="158"/>
      <c r="BA503" s="158"/>
      <c r="BB503" s="69"/>
      <c r="BC503" s="69"/>
      <c r="BD503" s="271">
        <v>2017</v>
      </c>
      <c r="BE503" s="271"/>
      <c r="BF503" s="271"/>
    </row>
    <row r="504" spans="1:58" s="204" customFormat="1" ht="15" hidden="1" customHeight="1">
      <c r="A504" s="160" t="s">
        <v>510</v>
      </c>
      <c r="B504" s="58" t="s">
        <v>262</v>
      </c>
      <c r="C504" s="148" t="s">
        <v>259</v>
      </c>
      <c r="D504" s="33" t="s">
        <v>46</v>
      </c>
      <c r="E504" s="33"/>
      <c r="F504" s="33"/>
      <c r="G504" s="33"/>
      <c r="H504" s="30" t="s">
        <v>635</v>
      </c>
      <c r="I504" s="30"/>
      <c r="J504" s="212"/>
      <c r="K504" s="158"/>
      <c r="L504" s="158"/>
      <c r="M504" s="158"/>
      <c r="N504" s="158"/>
      <c r="O504" s="158"/>
      <c r="P504" s="158"/>
      <c r="Q504" s="158"/>
      <c r="R504" s="158"/>
      <c r="S504" s="158"/>
      <c r="T504" s="586"/>
      <c r="U504" s="158"/>
      <c r="V504" s="311"/>
      <c r="W504" s="311"/>
      <c r="X504" s="311"/>
      <c r="Y504" s="94"/>
      <c r="Z504" s="158"/>
      <c r="AA504" s="158"/>
      <c r="AB504" s="158"/>
      <c r="AC504" s="158"/>
      <c r="AD504" s="158"/>
      <c r="AE504" s="158"/>
      <c r="AF504" s="158"/>
      <c r="AG504" s="158"/>
      <c r="AH504" s="158"/>
      <c r="AI504" s="158"/>
      <c r="AJ504" s="158"/>
      <c r="AK504" s="158"/>
      <c r="AL504" s="158"/>
      <c r="AM504" s="158"/>
      <c r="AN504" s="158"/>
      <c r="AO504" s="158"/>
      <c r="AP504" s="158"/>
      <c r="AQ504" s="158"/>
      <c r="AR504" s="158"/>
      <c r="AS504" s="2">
        <v>1</v>
      </c>
      <c r="AT504" s="58" t="s">
        <v>646</v>
      </c>
      <c r="AU504" s="105"/>
      <c r="AV504" s="158"/>
      <c r="AW504" s="158">
        <v>21</v>
      </c>
      <c r="AX504" s="158"/>
      <c r="AY504" s="158"/>
      <c r="AZ504" s="158"/>
      <c r="BA504" s="158"/>
      <c r="BB504" s="69"/>
      <c r="BC504" s="69"/>
      <c r="BD504" s="271">
        <v>2017</v>
      </c>
      <c r="BE504" s="271"/>
      <c r="BF504" s="271"/>
    </row>
    <row r="505" spans="1:58" s="204" customFormat="1" ht="15" hidden="1" customHeight="1">
      <c r="A505" s="160" t="s">
        <v>510</v>
      </c>
      <c r="B505" s="58" t="s">
        <v>262</v>
      </c>
      <c r="C505" s="148" t="s">
        <v>260</v>
      </c>
      <c r="D505" s="33" t="s">
        <v>170</v>
      </c>
      <c r="E505" s="33"/>
      <c r="F505" s="33"/>
      <c r="G505" s="33"/>
      <c r="H505" s="30" t="s">
        <v>635</v>
      </c>
      <c r="I505" s="30"/>
      <c r="J505" s="212"/>
      <c r="K505" s="158"/>
      <c r="L505" s="158"/>
      <c r="M505" s="158"/>
      <c r="N505" s="158"/>
      <c r="O505" s="158"/>
      <c r="P505" s="158"/>
      <c r="Q505" s="158"/>
      <c r="R505" s="158"/>
      <c r="S505" s="158"/>
      <c r="T505" s="586"/>
      <c r="U505" s="158"/>
      <c r="V505" s="311"/>
      <c r="W505" s="311"/>
      <c r="X505" s="311"/>
      <c r="Y505" s="94"/>
      <c r="Z505" s="158"/>
      <c r="AA505" s="158"/>
      <c r="AB505" s="158"/>
      <c r="AC505" s="158"/>
      <c r="AD505" s="158"/>
      <c r="AE505" s="158"/>
      <c r="AF505" s="158"/>
      <c r="AG505" s="158"/>
      <c r="AH505" s="158"/>
      <c r="AI505" s="158"/>
      <c r="AJ505" s="158"/>
      <c r="AK505" s="158"/>
      <c r="AL505" s="158"/>
      <c r="AM505" s="158"/>
      <c r="AN505" s="158"/>
      <c r="AO505" s="158"/>
      <c r="AP505" s="158"/>
      <c r="AQ505" s="158"/>
      <c r="AR505" s="158"/>
      <c r="AS505" s="2">
        <v>1</v>
      </c>
      <c r="AT505" s="58" t="s">
        <v>646</v>
      </c>
      <c r="AU505" s="105"/>
      <c r="AV505" s="158"/>
      <c r="AW505" s="158">
        <v>16</v>
      </c>
      <c r="AX505" s="158"/>
      <c r="AY505" s="158"/>
      <c r="AZ505" s="158"/>
      <c r="BA505" s="158"/>
      <c r="BB505" s="69"/>
      <c r="BC505" s="69"/>
      <c r="BD505" s="271">
        <v>2017</v>
      </c>
      <c r="BE505" s="271"/>
      <c r="BF505" s="271"/>
    </row>
    <row r="506" spans="1:58" s="204" customFormat="1" ht="15" hidden="1" customHeight="1">
      <c r="A506" s="160" t="s">
        <v>510</v>
      </c>
      <c r="B506" s="58" t="s">
        <v>262</v>
      </c>
      <c r="C506" s="148" t="s">
        <v>261</v>
      </c>
      <c r="D506" s="33" t="s">
        <v>7</v>
      </c>
      <c r="E506" s="33"/>
      <c r="F506" s="33"/>
      <c r="G506" s="33"/>
      <c r="H506" s="30" t="s">
        <v>635</v>
      </c>
      <c r="I506" s="30"/>
      <c r="J506" s="212"/>
      <c r="K506" s="158"/>
      <c r="L506" s="158"/>
      <c r="M506" s="158"/>
      <c r="N506" s="158"/>
      <c r="O506" s="158"/>
      <c r="P506" s="158"/>
      <c r="Q506" s="158"/>
      <c r="R506" s="158"/>
      <c r="S506" s="158"/>
      <c r="T506" s="586"/>
      <c r="U506" s="158"/>
      <c r="V506" s="311"/>
      <c r="W506" s="311"/>
      <c r="X506" s="311"/>
      <c r="Y506" s="94"/>
      <c r="Z506" s="158"/>
      <c r="AA506" s="158"/>
      <c r="AB506" s="158"/>
      <c r="AC506" s="158"/>
      <c r="AD506" s="158"/>
      <c r="AE506" s="158"/>
      <c r="AF506" s="158"/>
      <c r="AG506" s="158"/>
      <c r="AH506" s="158"/>
      <c r="AI506" s="158"/>
      <c r="AJ506" s="158"/>
      <c r="AK506" s="158"/>
      <c r="AL506" s="158"/>
      <c r="AM506" s="158"/>
      <c r="AN506" s="158"/>
      <c r="AO506" s="158"/>
      <c r="AP506" s="158"/>
      <c r="AQ506" s="158"/>
      <c r="AR506" s="158"/>
      <c r="AS506" s="2">
        <v>1</v>
      </c>
      <c r="AT506" s="58" t="s">
        <v>646</v>
      </c>
      <c r="AU506" s="105"/>
      <c r="AV506" s="158"/>
      <c r="AW506" s="158">
        <v>44</v>
      </c>
      <c r="AX506" s="158"/>
      <c r="AY506" s="158"/>
      <c r="AZ506" s="158"/>
      <c r="BA506" s="158"/>
      <c r="BB506" s="69"/>
      <c r="BC506" s="69"/>
      <c r="BD506" s="271">
        <v>2017</v>
      </c>
      <c r="BE506" s="271"/>
      <c r="BF506" s="271"/>
    </row>
    <row r="507" spans="1:58" s="204" customFormat="1" ht="15" hidden="1" customHeight="1">
      <c r="A507" s="160" t="s">
        <v>510</v>
      </c>
      <c r="B507" s="58" t="s">
        <v>264</v>
      </c>
      <c r="C507" s="148" t="s">
        <v>263</v>
      </c>
      <c r="D507" s="33" t="s">
        <v>7</v>
      </c>
      <c r="E507" s="33"/>
      <c r="F507" s="33"/>
      <c r="G507" s="33"/>
      <c r="H507" s="30" t="s">
        <v>635</v>
      </c>
      <c r="I507" s="30"/>
      <c r="J507" s="212"/>
      <c r="K507" s="158"/>
      <c r="L507" s="158"/>
      <c r="M507" s="158"/>
      <c r="N507" s="158"/>
      <c r="O507" s="158"/>
      <c r="P507" s="158"/>
      <c r="Q507" s="158"/>
      <c r="R507" s="158"/>
      <c r="S507" s="158"/>
      <c r="T507" s="586"/>
      <c r="U507" s="158"/>
      <c r="V507" s="311"/>
      <c r="W507" s="311"/>
      <c r="X507" s="311"/>
      <c r="Y507" s="94"/>
      <c r="Z507" s="158"/>
      <c r="AA507" s="158"/>
      <c r="AB507" s="158"/>
      <c r="AC507" s="158"/>
      <c r="AD507" s="158"/>
      <c r="AE507" s="158"/>
      <c r="AF507" s="158"/>
      <c r="AG507" s="158"/>
      <c r="AH507" s="158"/>
      <c r="AI507" s="158"/>
      <c r="AJ507" s="158"/>
      <c r="AK507" s="158"/>
      <c r="AL507" s="158"/>
      <c r="AM507" s="158"/>
      <c r="AN507" s="158"/>
      <c r="AO507" s="158"/>
      <c r="AP507" s="158"/>
      <c r="AQ507" s="158"/>
      <c r="AR507" s="158"/>
      <c r="AS507" s="2">
        <v>1</v>
      </c>
      <c r="AT507" s="58" t="s">
        <v>646</v>
      </c>
      <c r="AU507" s="105"/>
      <c r="AV507" s="158"/>
      <c r="AW507" s="158">
        <v>23</v>
      </c>
      <c r="AX507" s="158"/>
      <c r="AY507" s="158"/>
      <c r="AZ507" s="158"/>
      <c r="BA507" s="158"/>
      <c r="BB507" s="69"/>
      <c r="BC507" s="69"/>
      <c r="BD507" s="271">
        <v>2017</v>
      </c>
      <c r="BE507" s="271"/>
      <c r="BF507" s="271"/>
    </row>
    <row r="508" spans="1:58" s="204" customFormat="1" ht="29.25" hidden="1" customHeight="1">
      <c r="A508" s="160" t="s">
        <v>510</v>
      </c>
      <c r="B508" s="58" t="s">
        <v>203</v>
      </c>
      <c r="C508" s="148" t="s">
        <v>265</v>
      </c>
      <c r="D508" s="33" t="s">
        <v>849</v>
      </c>
      <c r="E508" s="33"/>
      <c r="F508" s="33"/>
      <c r="G508" s="33"/>
      <c r="H508" s="30" t="s">
        <v>635</v>
      </c>
      <c r="I508" s="115" t="s">
        <v>1686</v>
      </c>
      <c r="J508" s="215" t="s">
        <v>1687</v>
      </c>
      <c r="K508" s="158"/>
      <c r="L508" s="158"/>
      <c r="M508" s="158"/>
      <c r="N508" s="158"/>
      <c r="O508" s="158"/>
      <c r="P508" s="158">
        <f>2618270727+1</f>
        <v>2618270728</v>
      </c>
      <c r="Q508" s="158"/>
      <c r="R508" s="158"/>
      <c r="S508" s="158"/>
      <c r="T508" s="586">
        <v>1146730232</v>
      </c>
      <c r="U508" s="158"/>
      <c r="V508" s="311"/>
      <c r="W508" s="311"/>
      <c r="X508" s="311"/>
      <c r="Y508" s="94">
        <v>1471540496</v>
      </c>
      <c r="Z508" s="158"/>
      <c r="AA508" s="158"/>
      <c r="AB508" s="158"/>
      <c r="AC508" s="158"/>
      <c r="AD508" s="158"/>
      <c r="AE508" s="158">
        <f>P508-T508-Y508</f>
        <v>0</v>
      </c>
      <c r="AF508" s="158"/>
      <c r="AG508" s="158"/>
      <c r="AH508" s="158"/>
      <c r="AI508" s="158"/>
      <c r="AJ508" s="158"/>
      <c r="AK508" s="158"/>
      <c r="AL508" s="158"/>
      <c r="AM508" s="158"/>
      <c r="AN508" s="158"/>
      <c r="AO508" s="11"/>
      <c r="AP508" s="158"/>
      <c r="AQ508" s="158"/>
      <c r="AR508" s="158"/>
      <c r="AS508" s="2">
        <v>1</v>
      </c>
      <c r="AT508" s="58" t="s">
        <v>646</v>
      </c>
      <c r="AU508" s="105"/>
      <c r="AV508" s="158"/>
      <c r="AW508" s="158">
        <v>47</v>
      </c>
      <c r="AX508" s="11"/>
      <c r="AY508" s="11"/>
      <c r="AZ508" s="11"/>
      <c r="BA508" s="11"/>
      <c r="BB508" s="70"/>
      <c r="BC508" s="70"/>
      <c r="BD508" s="271">
        <v>2017</v>
      </c>
      <c r="BE508" s="271"/>
      <c r="BF508" s="271"/>
    </row>
    <row r="509" spans="1:58" s="204" customFormat="1" ht="33.75" hidden="1" customHeight="1">
      <c r="A509" s="160" t="s">
        <v>510</v>
      </c>
      <c r="B509" s="58" t="s">
        <v>203</v>
      </c>
      <c r="C509" s="148" t="s">
        <v>265</v>
      </c>
      <c r="D509" s="33" t="s">
        <v>849</v>
      </c>
      <c r="E509" s="33"/>
      <c r="F509" s="33"/>
      <c r="G509" s="33"/>
      <c r="H509" s="30" t="s">
        <v>635</v>
      </c>
      <c r="I509" s="115" t="s">
        <v>1686</v>
      </c>
      <c r="J509" s="215" t="s">
        <v>1687</v>
      </c>
      <c r="K509" s="158"/>
      <c r="L509" s="158"/>
      <c r="M509" s="158"/>
      <c r="N509" s="158"/>
      <c r="O509" s="158"/>
      <c r="P509" s="158">
        <v>55707888</v>
      </c>
      <c r="Q509" s="158"/>
      <c r="R509" s="158"/>
      <c r="S509" s="158"/>
      <c r="T509" s="586">
        <v>55707888</v>
      </c>
      <c r="U509" s="158">
        <v>20</v>
      </c>
      <c r="V509" s="311">
        <v>43586</v>
      </c>
      <c r="W509" s="311"/>
      <c r="X509" s="311"/>
      <c r="Y509" s="94"/>
      <c r="Z509" s="158"/>
      <c r="AA509" s="158"/>
      <c r="AB509" s="158"/>
      <c r="AC509" s="158"/>
      <c r="AD509" s="158"/>
      <c r="AE509" s="158">
        <f>P509-T509-Y509</f>
        <v>0</v>
      </c>
      <c r="AF509" s="158"/>
      <c r="AG509" s="94">
        <v>0</v>
      </c>
      <c r="AH509" s="94"/>
      <c r="AI509" s="94"/>
      <c r="AJ509" s="158">
        <f t="shared" ref="AJ509:AJ510" si="88">AE509+AG509</f>
        <v>0</v>
      </c>
      <c r="AK509" s="158">
        <v>877</v>
      </c>
      <c r="AL509" s="158">
        <v>20</v>
      </c>
      <c r="AM509" s="158"/>
      <c r="AN509" s="158"/>
      <c r="AO509" s="158"/>
      <c r="AP509" s="158"/>
      <c r="AQ509" s="158"/>
      <c r="AR509" s="158"/>
      <c r="AS509" s="2">
        <v>1</v>
      </c>
      <c r="AT509" s="58" t="s">
        <v>646</v>
      </c>
      <c r="AU509" s="386"/>
      <c r="AV509" s="158"/>
      <c r="AW509" s="158">
        <v>1</v>
      </c>
      <c r="AX509" s="11"/>
      <c r="AY509" s="11"/>
      <c r="AZ509" s="11"/>
      <c r="BA509" s="11"/>
      <c r="BB509" s="70"/>
      <c r="BC509" s="70"/>
      <c r="BD509" s="271" t="s">
        <v>1707</v>
      </c>
      <c r="BE509" s="445" t="s">
        <v>1707</v>
      </c>
      <c r="BF509" s="271"/>
    </row>
    <row r="510" spans="1:58" s="204" customFormat="1" ht="18" hidden="1" customHeight="1">
      <c r="A510" s="160" t="s">
        <v>510</v>
      </c>
      <c r="B510" s="58" t="s">
        <v>203</v>
      </c>
      <c r="C510" s="148" t="s">
        <v>265</v>
      </c>
      <c r="D510" s="33" t="s">
        <v>849</v>
      </c>
      <c r="E510" s="33"/>
      <c r="F510" s="33"/>
      <c r="G510" s="33"/>
      <c r="H510" s="30" t="s">
        <v>635</v>
      </c>
      <c r="I510" s="115" t="s">
        <v>1686</v>
      </c>
      <c r="J510" s="215" t="s">
        <v>1687</v>
      </c>
      <c r="K510" s="158"/>
      <c r="L510" s="158"/>
      <c r="M510" s="158">
        <v>1</v>
      </c>
      <c r="N510" s="158"/>
      <c r="O510" s="158"/>
      <c r="P510" s="158">
        <v>55707887</v>
      </c>
      <c r="Q510" s="158"/>
      <c r="R510" s="158"/>
      <c r="S510" s="158"/>
      <c r="T510" s="586"/>
      <c r="U510" s="158"/>
      <c r="V510" s="311"/>
      <c r="W510" s="311"/>
      <c r="X510" s="311"/>
      <c r="Y510" s="94"/>
      <c r="Z510" s="158"/>
      <c r="AA510" s="311"/>
      <c r="AB510" s="311"/>
      <c r="AC510" s="158">
        <v>55707887</v>
      </c>
      <c r="AD510" s="158"/>
      <c r="AE510" s="158">
        <f>P510-T510-Y510-AC510</f>
        <v>0</v>
      </c>
      <c r="AF510" s="158"/>
      <c r="AG510" s="94">
        <v>0</v>
      </c>
      <c r="AH510" s="94"/>
      <c r="AI510" s="94"/>
      <c r="AJ510" s="158">
        <f t="shared" si="88"/>
        <v>0</v>
      </c>
      <c r="AK510" s="158">
        <v>877</v>
      </c>
      <c r="AL510" s="158">
        <v>10</v>
      </c>
      <c r="AM510" s="158"/>
      <c r="AN510" s="158"/>
      <c r="AO510" s="158"/>
      <c r="AP510" s="158"/>
      <c r="AQ510" s="158"/>
      <c r="AR510" s="158"/>
      <c r="AS510" s="2">
        <v>0</v>
      </c>
      <c r="AT510" s="58" t="s">
        <v>687</v>
      </c>
      <c r="AU510" s="396" t="s">
        <v>1366</v>
      </c>
      <c r="AV510" s="158"/>
      <c r="AW510" s="158"/>
      <c r="AX510" s="158"/>
      <c r="AY510" s="158"/>
      <c r="AZ510" s="158"/>
      <c r="BA510" s="158"/>
      <c r="BB510" s="69"/>
      <c r="BC510" s="69">
        <v>1</v>
      </c>
      <c r="BD510" s="271" t="s">
        <v>1706</v>
      </c>
      <c r="BE510" s="271">
        <v>2019</v>
      </c>
      <c r="BF510" s="271"/>
    </row>
    <row r="511" spans="1:58" s="204" customFormat="1" ht="15" hidden="1" customHeight="1">
      <c r="A511" s="160" t="s">
        <v>510</v>
      </c>
      <c r="B511" s="58" t="s">
        <v>197</v>
      </c>
      <c r="C511" s="148" t="s">
        <v>266</v>
      </c>
      <c r="D511" s="33" t="s">
        <v>215</v>
      </c>
      <c r="E511" s="33"/>
      <c r="F511" s="33"/>
      <c r="G511" s="33"/>
      <c r="H511" s="30" t="s">
        <v>636</v>
      </c>
      <c r="I511" s="30"/>
      <c r="J511" s="212"/>
      <c r="K511" s="158"/>
      <c r="L511" s="158"/>
      <c r="M511" s="158"/>
      <c r="N511" s="158"/>
      <c r="O511" s="158"/>
      <c r="P511" s="158"/>
      <c r="Q511" s="158"/>
      <c r="R511" s="158"/>
      <c r="S511" s="158"/>
      <c r="T511" s="586"/>
      <c r="U511" s="158"/>
      <c r="V511" s="311"/>
      <c r="W511" s="311"/>
      <c r="X511" s="311"/>
      <c r="Y511" s="94"/>
      <c r="Z511" s="158"/>
      <c r="AA511" s="158"/>
      <c r="AB511" s="158"/>
      <c r="AC511" s="158"/>
      <c r="AD511" s="158"/>
      <c r="AE511" s="158"/>
      <c r="AF511" s="158"/>
      <c r="AG511" s="158"/>
      <c r="AH511" s="158"/>
      <c r="AI511" s="158"/>
      <c r="AJ511" s="158"/>
      <c r="AK511" s="158"/>
      <c r="AL511" s="158"/>
      <c r="AM511" s="158"/>
      <c r="AN511" s="158"/>
      <c r="AO511" s="158"/>
      <c r="AP511" s="158"/>
      <c r="AQ511" s="158"/>
      <c r="AR511" s="158"/>
      <c r="AS511" s="2">
        <v>1</v>
      </c>
      <c r="AT511" s="58" t="s">
        <v>646</v>
      </c>
      <c r="AU511" s="206"/>
      <c r="AV511" s="158"/>
      <c r="AW511" s="158"/>
      <c r="AX511" s="158">
        <v>40</v>
      </c>
      <c r="AY511" s="158"/>
      <c r="AZ511" s="158"/>
      <c r="BA511" s="158">
        <v>40</v>
      </c>
      <c r="BB511" s="69"/>
      <c r="BC511" s="69"/>
      <c r="BD511" s="271">
        <v>2018</v>
      </c>
      <c r="BE511" s="271"/>
      <c r="BF511" s="271"/>
    </row>
    <row r="512" spans="1:58" s="204" customFormat="1" ht="15" hidden="1" customHeight="1">
      <c r="A512" s="160" t="s">
        <v>510</v>
      </c>
      <c r="B512" s="58" t="s">
        <v>262</v>
      </c>
      <c r="C512" s="148" t="s">
        <v>267</v>
      </c>
      <c r="D512" s="33" t="s">
        <v>202</v>
      </c>
      <c r="E512" s="33"/>
      <c r="F512" s="33"/>
      <c r="G512" s="33"/>
      <c r="H512" s="30" t="s">
        <v>636</v>
      </c>
      <c r="I512" s="30"/>
      <c r="J512" s="212"/>
      <c r="K512" s="158"/>
      <c r="L512" s="158"/>
      <c r="M512" s="158"/>
      <c r="N512" s="158"/>
      <c r="O512" s="158"/>
      <c r="P512" s="158"/>
      <c r="Q512" s="158"/>
      <c r="R512" s="158"/>
      <c r="S512" s="158"/>
      <c r="T512" s="586"/>
      <c r="U512" s="158"/>
      <c r="V512" s="311"/>
      <c r="W512" s="311"/>
      <c r="X512" s="311"/>
      <c r="Y512" s="94"/>
      <c r="Z512" s="158"/>
      <c r="AA512" s="158"/>
      <c r="AB512" s="158"/>
      <c r="AC512" s="158"/>
      <c r="AD512" s="158"/>
      <c r="AE512" s="158"/>
      <c r="AF512" s="158"/>
      <c r="AG512" s="158"/>
      <c r="AH512" s="158"/>
      <c r="AI512" s="158"/>
      <c r="AJ512" s="158"/>
      <c r="AK512" s="158"/>
      <c r="AL512" s="158"/>
      <c r="AM512" s="158"/>
      <c r="AN512" s="158"/>
      <c r="AO512" s="158"/>
      <c r="AP512" s="158"/>
      <c r="AQ512" s="158"/>
      <c r="AR512" s="158"/>
      <c r="AS512" s="2">
        <v>1</v>
      </c>
      <c r="AT512" s="58" t="s">
        <v>646</v>
      </c>
      <c r="AU512" s="348"/>
      <c r="AV512" s="158"/>
      <c r="AW512" s="158">
        <v>36</v>
      </c>
      <c r="AX512" s="158"/>
      <c r="AY512" s="158"/>
      <c r="AZ512" s="158"/>
      <c r="BA512" s="158"/>
      <c r="BB512" s="69"/>
      <c r="BC512" s="69"/>
      <c r="BD512" s="271">
        <v>2017</v>
      </c>
      <c r="BE512" s="271"/>
      <c r="BF512" s="271"/>
    </row>
    <row r="513" spans="1:58" s="204" customFormat="1" ht="15" hidden="1" customHeight="1">
      <c r="A513" s="160" t="s">
        <v>510</v>
      </c>
      <c r="B513" s="58" t="s">
        <v>203</v>
      </c>
      <c r="C513" s="148" t="s">
        <v>201</v>
      </c>
      <c r="D513" s="33" t="s">
        <v>202</v>
      </c>
      <c r="E513" s="33"/>
      <c r="F513" s="33"/>
      <c r="G513" s="33"/>
      <c r="H513" s="30" t="s">
        <v>636</v>
      </c>
      <c r="I513" s="30"/>
      <c r="J513" s="212"/>
      <c r="K513" s="158"/>
      <c r="L513" s="158"/>
      <c r="M513" s="158"/>
      <c r="N513" s="158"/>
      <c r="O513" s="158"/>
      <c r="P513" s="158"/>
      <c r="Q513" s="158"/>
      <c r="R513" s="158"/>
      <c r="S513" s="158"/>
      <c r="T513" s="586"/>
      <c r="U513" s="158"/>
      <c r="V513" s="311"/>
      <c r="W513" s="311"/>
      <c r="X513" s="311"/>
      <c r="Y513" s="94"/>
      <c r="Z513" s="158"/>
      <c r="AA513" s="158"/>
      <c r="AB513" s="158"/>
      <c r="AC513" s="158"/>
      <c r="AD513" s="158"/>
      <c r="AE513" s="158"/>
      <c r="AF513" s="158"/>
      <c r="AG513" s="158"/>
      <c r="AH513" s="158"/>
      <c r="AI513" s="158"/>
      <c r="AJ513" s="158"/>
      <c r="AK513" s="158"/>
      <c r="AL513" s="158"/>
      <c r="AM513" s="158"/>
      <c r="AN513" s="158"/>
      <c r="AO513" s="158"/>
      <c r="AP513" s="158"/>
      <c r="AQ513" s="158"/>
      <c r="AR513" s="158"/>
      <c r="AS513" s="2">
        <v>1</v>
      </c>
      <c r="AT513" s="58" t="s">
        <v>646</v>
      </c>
      <c r="AU513" s="352"/>
      <c r="AV513" s="158"/>
      <c r="AW513" s="158">
        <v>28</v>
      </c>
      <c r="AX513" s="158"/>
      <c r="AY513" s="158"/>
      <c r="AZ513" s="158"/>
      <c r="BA513" s="158"/>
      <c r="BB513" s="69"/>
      <c r="BC513" s="69"/>
      <c r="BD513" s="271">
        <v>2017</v>
      </c>
      <c r="BE513" s="271"/>
      <c r="BF513" s="271"/>
    </row>
    <row r="514" spans="1:58" s="204" customFormat="1" ht="15" hidden="1" customHeight="1">
      <c r="A514" s="160" t="s">
        <v>510</v>
      </c>
      <c r="B514" s="58" t="s">
        <v>546</v>
      </c>
      <c r="C514" s="148" t="s">
        <v>240</v>
      </c>
      <c r="D514" s="33" t="s">
        <v>40</v>
      </c>
      <c r="E514" s="33"/>
      <c r="F514" s="33"/>
      <c r="G514" s="33"/>
      <c r="H514" s="30" t="s">
        <v>636</v>
      </c>
      <c r="I514" s="30"/>
      <c r="J514" s="212"/>
      <c r="K514" s="158"/>
      <c r="L514" s="158"/>
      <c r="M514" s="158"/>
      <c r="N514" s="158"/>
      <c r="O514" s="158"/>
      <c r="P514" s="158"/>
      <c r="Q514" s="158"/>
      <c r="R514" s="158"/>
      <c r="S514" s="158"/>
      <c r="T514" s="586"/>
      <c r="U514" s="158"/>
      <c r="V514" s="311"/>
      <c r="W514" s="311"/>
      <c r="X514" s="311"/>
      <c r="Y514" s="94"/>
      <c r="Z514" s="158"/>
      <c r="AA514" s="158"/>
      <c r="AB514" s="158"/>
      <c r="AC514" s="158"/>
      <c r="AD514" s="158"/>
      <c r="AE514" s="158"/>
      <c r="AF514" s="158"/>
      <c r="AG514" s="158"/>
      <c r="AH514" s="158"/>
      <c r="AI514" s="158"/>
      <c r="AJ514" s="158"/>
      <c r="AK514" s="158"/>
      <c r="AL514" s="158"/>
      <c r="AM514" s="158"/>
      <c r="AN514" s="158"/>
      <c r="AO514" s="158"/>
      <c r="AP514" s="158"/>
      <c r="AQ514" s="158"/>
      <c r="AR514" s="158"/>
      <c r="AS514" s="2">
        <v>1</v>
      </c>
      <c r="AT514" s="58" t="s">
        <v>646</v>
      </c>
      <c r="AU514" s="352"/>
      <c r="AV514" s="158"/>
      <c r="AW514" s="158">
        <v>70</v>
      </c>
      <c r="AX514" s="158"/>
      <c r="AY514" s="158"/>
      <c r="AZ514" s="158"/>
      <c r="BA514" s="158"/>
      <c r="BB514" s="69"/>
      <c r="BC514" s="69"/>
      <c r="BD514" s="271">
        <v>2017</v>
      </c>
      <c r="BE514" s="271"/>
      <c r="BF514" s="271"/>
    </row>
    <row r="515" spans="1:58" s="204" customFormat="1" ht="15" hidden="1" customHeight="1">
      <c r="A515" s="160" t="s">
        <v>510</v>
      </c>
      <c r="B515" s="58" t="s">
        <v>197</v>
      </c>
      <c r="C515" s="148" t="s">
        <v>268</v>
      </c>
      <c r="D515" s="33" t="s">
        <v>269</v>
      </c>
      <c r="E515" s="33"/>
      <c r="F515" s="33"/>
      <c r="G515" s="33"/>
      <c r="H515" s="30" t="s">
        <v>636</v>
      </c>
      <c r="I515" s="30"/>
      <c r="J515" s="212"/>
      <c r="K515" s="158"/>
      <c r="L515" s="158"/>
      <c r="M515" s="158"/>
      <c r="N515" s="158"/>
      <c r="O515" s="158"/>
      <c r="P515" s="158"/>
      <c r="Q515" s="158"/>
      <c r="R515" s="158"/>
      <c r="S515" s="158"/>
      <c r="T515" s="586"/>
      <c r="U515" s="158"/>
      <c r="V515" s="311"/>
      <c r="W515" s="311"/>
      <c r="X515" s="311"/>
      <c r="Y515" s="94"/>
      <c r="Z515" s="158"/>
      <c r="AA515" s="158"/>
      <c r="AB515" s="158"/>
      <c r="AC515" s="158"/>
      <c r="AD515" s="158"/>
      <c r="AE515" s="158"/>
      <c r="AF515" s="158"/>
      <c r="AG515" s="158"/>
      <c r="AH515" s="158"/>
      <c r="AI515" s="158"/>
      <c r="AJ515" s="158"/>
      <c r="AK515" s="158"/>
      <c r="AL515" s="158"/>
      <c r="AM515" s="158"/>
      <c r="AN515" s="158"/>
      <c r="AO515" s="158"/>
      <c r="AP515" s="158"/>
      <c r="AQ515" s="158"/>
      <c r="AR515" s="158"/>
      <c r="AS515" s="2">
        <v>1</v>
      </c>
      <c r="AT515" s="58" t="s">
        <v>646</v>
      </c>
      <c r="AU515" s="348"/>
      <c r="AV515" s="158"/>
      <c r="AW515" s="158"/>
      <c r="AX515" s="12">
        <v>34</v>
      </c>
      <c r="AY515" s="96"/>
      <c r="AZ515" s="96"/>
      <c r="BA515" s="12">
        <v>34</v>
      </c>
      <c r="BB515" s="222"/>
      <c r="BC515" s="222"/>
      <c r="BD515" s="271">
        <v>2018</v>
      </c>
      <c r="BE515" s="271"/>
      <c r="BF515" s="271"/>
    </row>
    <row r="516" spans="1:58" s="204" customFormat="1" ht="15" hidden="1" customHeight="1">
      <c r="A516" s="160" t="s">
        <v>510</v>
      </c>
      <c r="B516" s="58" t="s">
        <v>197</v>
      </c>
      <c r="C516" s="148" t="s">
        <v>270</v>
      </c>
      <c r="D516" s="33" t="s">
        <v>271</v>
      </c>
      <c r="E516" s="33"/>
      <c r="F516" s="33"/>
      <c r="G516" s="33"/>
      <c r="H516" s="30" t="s">
        <v>636</v>
      </c>
      <c r="I516" s="30"/>
      <c r="J516" s="212"/>
      <c r="K516" s="158"/>
      <c r="L516" s="158"/>
      <c r="M516" s="158"/>
      <c r="N516" s="158"/>
      <c r="O516" s="158"/>
      <c r="P516" s="158"/>
      <c r="Q516" s="158"/>
      <c r="R516" s="158"/>
      <c r="S516" s="158"/>
      <c r="T516" s="586"/>
      <c r="U516" s="158"/>
      <c r="V516" s="311"/>
      <c r="W516" s="311"/>
      <c r="X516" s="311"/>
      <c r="Y516" s="94"/>
      <c r="Z516" s="158"/>
      <c r="AA516" s="158"/>
      <c r="AB516" s="158"/>
      <c r="AC516" s="158"/>
      <c r="AD516" s="158"/>
      <c r="AE516" s="158"/>
      <c r="AF516" s="158"/>
      <c r="AG516" s="158"/>
      <c r="AH516" s="158"/>
      <c r="AI516" s="158"/>
      <c r="AJ516" s="158"/>
      <c r="AK516" s="158"/>
      <c r="AL516" s="158"/>
      <c r="AM516" s="158"/>
      <c r="AN516" s="158"/>
      <c r="AO516" s="158"/>
      <c r="AP516" s="158"/>
      <c r="AQ516" s="158"/>
      <c r="AR516" s="158"/>
      <c r="AS516" s="2">
        <v>1</v>
      </c>
      <c r="AT516" s="58" t="s">
        <v>646</v>
      </c>
      <c r="AU516" s="348"/>
      <c r="AV516" s="158"/>
      <c r="AW516" s="158">
        <v>41</v>
      </c>
      <c r="AX516" s="158"/>
      <c r="AY516" s="158"/>
      <c r="AZ516" s="158"/>
      <c r="BA516" s="158"/>
      <c r="BB516" s="69"/>
      <c r="BC516" s="69"/>
      <c r="BD516" s="271">
        <v>2017</v>
      </c>
      <c r="BE516" s="271"/>
      <c r="BF516" s="271"/>
    </row>
    <row r="517" spans="1:58" s="204" customFormat="1" ht="15" hidden="1" customHeight="1">
      <c r="A517" s="160" t="s">
        <v>510</v>
      </c>
      <c r="B517" s="58" t="s">
        <v>280</v>
      </c>
      <c r="C517" s="148" t="s">
        <v>272</v>
      </c>
      <c r="D517" s="33" t="s">
        <v>7</v>
      </c>
      <c r="E517" s="33"/>
      <c r="F517" s="33"/>
      <c r="G517" s="33"/>
      <c r="H517" s="30" t="s">
        <v>636</v>
      </c>
      <c r="I517" s="30"/>
      <c r="J517" s="212"/>
      <c r="K517" s="158"/>
      <c r="L517" s="158"/>
      <c r="M517" s="158"/>
      <c r="N517" s="158"/>
      <c r="O517" s="158"/>
      <c r="P517" s="158"/>
      <c r="Q517" s="158"/>
      <c r="R517" s="158"/>
      <c r="S517" s="158"/>
      <c r="T517" s="586"/>
      <c r="U517" s="158"/>
      <c r="V517" s="311"/>
      <c r="W517" s="311"/>
      <c r="X517" s="311"/>
      <c r="Y517" s="94"/>
      <c r="Z517" s="158"/>
      <c r="AA517" s="158"/>
      <c r="AB517" s="158"/>
      <c r="AC517" s="158"/>
      <c r="AD517" s="158"/>
      <c r="AE517" s="158"/>
      <c r="AF517" s="158"/>
      <c r="AG517" s="158"/>
      <c r="AH517" s="158"/>
      <c r="AI517" s="158"/>
      <c r="AJ517" s="158"/>
      <c r="AK517" s="158"/>
      <c r="AL517" s="158"/>
      <c r="AM517" s="158"/>
      <c r="AN517" s="158"/>
      <c r="AO517" s="158"/>
      <c r="AP517" s="158"/>
      <c r="AQ517" s="158"/>
      <c r="AR517" s="158"/>
      <c r="AS517" s="2">
        <v>1</v>
      </c>
      <c r="AT517" s="58" t="s">
        <v>646</v>
      </c>
      <c r="AU517" s="348"/>
      <c r="AV517" s="158"/>
      <c r="AW517" s="158">
        <v>29</v>
      </c>
      <c r="AX517" s="158"/>
      <c r="AY517" s="158"/>
      <c r="AZ517" s="158"/>
      <c r="BA517" s="158"/>
      <c r="BB517" s="69"/>
      <c r="BC517" s="69"/>
      <c r="BD517" s="271">
        <v>2017</v>
      </c>
      <c r="BE517" s="271"/>
      <c r="BF517" s="271"/>
    </row>
    <row r="518" spans="1:58" s="204" customFormat="1" ht="15" hidden="1" customHeight="1">
      <c r="A518" s="160" t="s">
        <v>510</v>
      </c>
      <c r="B518" s="58" t="s">
        <v>203</v>
      </c>
      <c r="C518" s="148" t="s">
        <v>273</v>
      </c>
      <c r="D518" s="33" t="s">
        <v>274</v>
      </c>
      <c r="E518" s="33"/>
      <c r="F518" s="33"/>
      <c r="G518" s="33"/>
      <c r="H518" s="30" t="s">
        <v>636</v>
      </c>
      <c r="I518" s="30"/>
      <c r="J518" s="212"/>
      <c r="K518" s="158"/>
      <c r="L518" s="158"/>
      <c r="M518" s="158"/>
      <c r="N518" s="158"/>
      <c r="O518" s="158"/>
      <c r="P518" s="158"/>
      <c r="Q518" s="158"/>
      <c r="R518" s="158"/>
      <c r="S518" s="158"/>
      <c r="T518" s="586"/>
      <c r="U518" s="158"/>
      <c r="V518" s="311"/>
      <c r="W518" s="311"/>
      <c r="X518" s="311"/>
      <c r="Y518" s="94"/>
      <c r="Z518" s="158"/>
      <c r="AA518" s="158"/>
      <c r="AB518" s="158"/>
      <c r="AC518" s="158"/>
      <c r="AD518" s="158"/>
      <c r="AE518" s="158"/>
      <c r="AF518" s="158"/>
      <c r="AG518" s="158"/>
      <c r="AH518" s="158"/>
      <c r="AI518" s="158"/>
      <c r="AJ518" s="158"/>
      <c r="AK518" s="158"/>
      <c r="AL518" s="158"/>
      <c r="AM518" s="158"/>
      <c r="AN518" s="158"/>
      <c r="AO518" s="158"/>
      <c r="AP518" s="158"/>
      <c r="AQ518" s="158"/>
      <c r="AR518" s="158"/>
      <c r="AS518" s="2">
        <v>1</v>
      </c>
      <c r="AT518" s="58" t="s">
        <v>646</v>
      </c>
      <c r="AU518" s="348"/>
      <c r="AV518" s="158"/>
      <c r="AW518" s="158">
        <v>18</v>
      </c>
      <c r="AX518" s="158"/>
      <c r="AY518" s="158"/>
      <c r="AZ518" s="158"/>
      <c r="BA518" s="158"/>
      <c r="BB518" s="69"/>
      <c r="BC518" s="69"/>
      <c r="BD518" s="271">
        <v>2017</v>
      </c>
      <c r="BE518" s="271"/>
      <c r="BF518" s="271"/>
    </row>
    <row r="519" spans="1:58" s="204" customFormat="1" ht="15" hidden="1" customHeight="1">
      <c r="A519" s="160" t="s">
        <v>510</v>
      </c>
      <c r="B519" s="58" t="s">
        <v>226</v>
      </c>
      <c r="C519" s="148" t="s">
        <v>275</v>
      </c>
      <c r="D519" s="33" t="s">
        <v>7</v>
      </c>
      <c r="E519" s="33"/>
      <c r="F519" s="33"/>
      <c r="G519" s="33"/>
      <c r="H519" s="30" t="s">
        <v>636</v>
      </c>
      <c r="I519" s="30"/>
      <c r="J519" s="212"/>
      <c r="K519" s="158"/>
      <c r="L519" s="158"/>
      <c r="M519" s="158"/>
      <c r="N519" s="158"/>
      <c r="O519" s="158"/>
      <c r="P519" s="158"/>
      <c r="Q519" s="158"/>
      <c r="R519" s="158"/>
      <c r="S519" s="158"/>
      <c r="T519" s="586"/>
      <c r="U519" s="158"/>
      <c r="V519" s="311"/>
      <c r="W519" s="311"/>
      <c r="X519" s="311"/>
      <c r="Y519" s="94"/>
      <c r="Z519" s="158"/>
      <c r="AA519" s="158"/>
      <c r="AB519" s="158"/>
      <c r="AC519" s="158"/>
      <c r="AD519" s="158"/>
      <c r="AE519" s="158"/>
      <c r="AF519" s="158"/>
      <c r="AG519" s="158"/>
      <c r="AH519" s="158"/>
      <c r="AI519" s="158"/>
      <c r="AJ519" s="158"/>
      <c r="AK519" s="158"/>
      <c r="AL519" s="158"/>
      <c r="AM519" s="158"/>
      <c r="AN519" s="158"/>
      <c r="AO519" s="158"/>
      <c r="AP519" s="158"/>
      <c r="AQ519" s="158"/>
      <c r="AR519" s="158"/>
      <c r="AS519" s="2">
        <v>1</v>
      </c>
      <c r="AT519" s="58" t="s">
        <v>646</v>
      </c>
      <c r="AU519" s="348"/>
      <c r="AV519" s="158"/>
      <c r="AW519" s="158">
        <v>23</v>
      </c>
      <c r="AX519" s="158"/>
      <c r="AY519" s="158"/>
      <c r="AZ519" s="158"/>
      <c r="BA519" s="158"/>
      <c r="BB519" s="69"/>
      <c r="BC519" s="69"/>
      <c r="BD519" s="271">
        <v>2017</v>
      </c>
      <c r="BE519" s="271"/>
      <c r="BF519" s="271"/>
    </row>
    <row r="520" spans="1:58" s="204" customFormat="1" ht="15" hidden="1" customHeight="1">
      <c r="A520" s="160" t="s">
        <v>510</v>
      </c>
      <c r="B520" s="58" t="s">
        <v>262</v>
      </c>
      <c r="C520" s="148" t="s">
        <v>276</v>
      </c>
      <c r="D520" s="33" t="s">
        <v>274</v>
      </c>
      <c r="E520" s="33"/>
      <c r="F520" s="33"/>
      <c r="G520" s="33"/>
      <c r="H520" s="30" t="s">
        <v>636</v>
      </c>
      <c r="I520" s="30"/>
      <c r="J520" s="212"/>
      <c r="K520" s="158"/>
      <c r="L520" s="158"/>
      <c r="M520" s="158"/>
      <c r="N520" s="158"/>
      <c r="O520" s="158"/>
      <c r="P520" s="158"/>
      <c r="Q520" s="158"/>
      <c r="R520" s="158"/>
      <c r="S520" s="158"/>
      <c r="T520" s="586"/>
      <c r="U520" s="158"/>
      <c r="V520" s="311"/>
      <c r="W520" s="311"/>
      <c r="X520" s="311"/>
      <c r="Y520" s="94"/>
      <c r="Z520" s="158"/>
      <c r="AA520" s="158"/>
      <c r="AB520" s="158"/>
      <c r="AC520" s="158"/>
      <c r="AD520" s="158"/>
      <c r="AE520" s="158"/>
      <c r="AF520" s="158"/>
      <c r="AG520" s="158"/>
      <c r="AH520" s="158"/>
      <c r="AI520" s="158"/>
      <c r="AJ520" s="158"/>
      <c r="AK520" s="158"/>
      <c r="AL520" s="158"/>
      <c r="AM520" s="158"/>
      <c r="AN520" s="158"/>
      <c r="AO520" s="158"/>
      <c r="AP520" s="158"/>
      <c r="AQ520" s="158"/>
      <c r="AR520" s="158"/>
      <c r="AS520" s="2">
        <v>1</v>
      </c>
      <c r="AT520" s="58" t="s">
        <v>646</v>
      </c>
      <c r="AU520" s="348"/>
      <c r="AV520" s="158"/>
      <c r="AW520" s="158">
        <v>30</v>
      </c>
      <c r="AX520" s="158"/>
      <c r="AY520" s="158"/>
      <c r="AZ520" s="158"/>
      <c r="BA520" s="158"/>
      <c r="BB520" s="69"/>
      <c r="BC520" s="69"/>
      <c r="BD520" s="271">
        <v>2017</v>
      </c>
      <c r="BE520" s="271"/>
      <c r="BF520" s="271"/>
    </row>
    <row r="521" spans="1:58" s="204" customFormat="1" ht="15" hidden="1" customHeight="1">
      <c r="A521" s="160" t="s">
        <v>510</v>
      </c>
      <c r="B521" s="58" t="s">
        <v>197</v>
      </c>
      <c r="C521" s="148" t="s">
        <v>696</v>
      </c>
      <c r="D521" s="33" t="s">
        <v>871</v>
      </c>
      <c r="E521" s="33"/>
      <c r="F521" s="33"/>
      <c r="G521" s="33"/>
      <c r="H521" s="30" t="s">
        <v>636</v>
      </c>
      <c r="I521" s="30"/>
      <c r="J521" s="212"/>
      <c r="K521" s="158"/>
      <c r="L521" s="158"/>
      <c r="M521" s="158"/>
      <c r="N521" s="158"/>
      <c r="O521" s="158"/>
      <c r="P521" s="158"/>
      <c r="Q521" s="158"/>
      <c r="R521" s="158"/>
      <c r="S521" s="158"/>
      <c r="T521" s="586"/>
      <c r="U521" s="158"/>
      <c r="V521" s="311"/>
      <c r="W521" s="311"/>
      <c r="X521" s="311"/>
      <c r="Y521" s="94"/>
      <c r="Z521" s="158"/>
      <c r="AA521" s="158"/>
      <c r="AB521" s="158"/>
      <c r="AC521" s="158"/>
      <c r="AD521" s="158"/>
      <c r="AE521" s="158"/>
      <c r="AF521" s="158"/>
      <c r="AG521" s="158"/>
      <c r="AH521" s="158"/>
      <c r="AI521" s="158"/>
      <c r="AJ521" s="158"/>
      <c r="AK521" s="158"/>
      <c r="AL521" s="158"/>
      <c r="AM521" s="158"/>
      <c r="AN521" s="158"/>
      <c r="AO521" s="158"/>
      <c r="AP521" s="158"/>
      <c r="AQ521" s="158"/>
      <c r="AR521" s="158"/>
      <c r="AS521" s="2">
        <v>1</v>
      </c>
      <c r="AT521" s="58" t="s">
        <v>646</v>
      </c>
      <c r="AU521" s="348"/>
      <c r="AV521" s="158"/>
      <c r="AW521" s="158">
        <v>76</v>
      </c>
      <c r="AX521" s="158"/>
      <c r="AY521" s="158"/>
      <c r="AZ521" s="158"/>
      <c r="BA521" s="158"/>
      <c r="BB521" s="69"/>
      <c r="BC521" s="69"/>
      <c r="BD521" s="271">
        <v>2017</v>
      </c>
      <c r="BE521" s="271"/>
      <c r="BF521" s="271"/>
    </row>
    <row r="522" spans="1:58" s="204" customFormat="1" ht="15" hidden="1" customHeight="1">
      <c r="A522" s="160" t="s">
        <v>510</v>
      </c>
      <c r="B522" s="58" t="s">
        <v>197</v>
      </c>
      <c r="C522" s="148" t="s">
        <v>277</v>
      </c>
      <c r="D522" s="33" t="s">
        <v>255</v>
      </c>
      <c r="E522" s="33"/>
      <c r="F522" s="33"/>
      <c r="G522" s="33"/>
      <c r="H522" s="30"/>
      <c r="I522" s="58"/>
      <c r="J522" s="212"/>
      <c r="K522" s="158"/>
      <c r="L522" s="158"/>
      <c r="M522" s="158"/>
      <c r="N522" s="158"/>
      <c r="O522" s="158"/>
      <c r="P522" s="158"/>
      <c r="Q522" s="158"/>
      <c r="R522" s="158"/>
      <c r="S522" s="158"/>
      <c r="T522" s="586"/>
      <c r="U522" s="158"/>
      <c r="V522" s="311"/>
      <c r="W522" s="311"/>
      <c r="X522" s="311"/>
      <c r="Y522" s="94"/>
      <c r="Z522" s="158"/>
      <c r="AA522" s="158"/>
      <c r="AB522" s="158"/>
      <c r="AC522" s="158"/>
      <c r="AD522" s="158"/>
      <c r="AE522" s="158"/>
      <c r="AF522" s="158"/>
      <c r="AG522" s="158"/>
      <c r="AH522" s="158"/>
      <c r="AI522" s="158"/>
      <c r="AJ522" s="158"/>
      <c r="AK522" s="158"/>
      <c r="AL522" s="158"/>
      <c r="AM522" s="158"/>
      <c r="AN522" s="158"/>
      <c r="AO522" s="158"/>
      <c r="AP522" s="158"/>
      <c r="AQ522" s="158"/>
      <c r="AR522" s="158"/>
      <c r="AS522" s="2"/>
      <c r="AT522" s="58" t="s">
        <v>646</v>
      </c>
      <c r="AU522" s="348"/>
      <c r="AV522" s="158">
        <v>14</v>
      </c>
      <c r="AW522" s="158"/>
      <c r="AX522" s="158"/>
      <c r="AY522" s="158"/>
      <c r="AZ522" s="158"/>
      <c r="BA522" s="158"/>
      <c r="BB522" s="69"/>
      <c r="BC522" s="69"/>
      <c r="BD522" s="271">
        <v>2016</v>
      </c>
      <c r="BE522" s="271"/>
      <c r="BF522" s="271"/>
    </row>
    <row r="523" spans="1:58" s="204" customFormat="1" ht="15" hidden="1" customHeight="1">
      <c r="A523" s="160" t="s">
        <v>510</v>
      </c>
      <c r="B523" s="58" t="s">
        <v>226</v>
      </c>
      <c r="C523" s="148" t="s">
        <v>278</v>
      </c>
      <c r="D523" s="33" t="s">
        <v>279</v>
      </c>
      <c r="E523" s="33"/>
      <c r="F523" s="33"/>
      <c r="G523" s="33"/>
      <c r="H523" s="30"/>
      <c r="I523" s="58"/>
      <c r="J523" s="212"/>
      <c r="K523" s="158"/>
      <c r="L523" s="158"/>
      <c r="M523" s="158"/>
      <c r="N523" s="158"/>
      <c r="O523" s="158"/>
      <c r="P523" s="158"/>
      <c r="Q523" s="158"/>
      <c r="R523" s="158"/>
      <c r="S523" s="158"/>
      <c r="T523" s="586"/>
      <c r="U523" s="158"/>
      <c r="V523" s="311"/>
      <c r="W523" s="311"/>
      <c r="X523" s="311"/>
      <c r="Y523" s="94"/>
      <c r="Z523" s="158"/>
      <c r="AA523" s="158"/>
      <c r="AB523" s="158"/>
      <c r="AC523" s="158"/>
      <c r="AD523" s="158"/>
      <c r="AE523" s="158"/>
      <c r="AF523" s="158"/>
      <c r="AG523" s="158"/>
      <c r="AH523" s="158"/>
      <c r="AI523" s="158"/>
      <c r="AJ523" s="158"/>
      <c r="AK523" s="158"/>
      <c r="AL523" s="158"/>
      <c r="AM523" s="158"/>
      <c r="AN523" s="158"/>
      <c r="AO523" s="158"/>
      <c r="AP523" s="158"/>
      <c r="AQ523" s="158"/>
      <c r="AR523" s="158"/>
      <c r="AS523" s="2">
        <v>1</v>
      </c>
      <c r="AT523" s="58" t="s">
        <v>646</v>
      </c>
      <c r="AU523" s="348"/>
      <c r="AV523" s="158">
        <v>18</v>
      </c>
      <c r="AW523" s="158"/>
      <c r="AX523" s="158"/>
      <c r="AY523" s="158"/>
      <c r="AZ523" s="158"/>
      <c r="BA523" s="158"/>
      <c r="BB523" s="69"/>
      <c r="BC523" s="69"/>
      <c r="BD523" s="271">
        <v>2016</v>
      </c>
      <c r="BE523" s="271"/>
      <c r="BF523" s="271"/>
    </row>
    <row r="524" spans="1:58" s="204" customFormat="1" ht="15" hidden="1" customHeight="1">
      <c r="A524" s="160" t="s">
        <v>510</v>
      </c>
      <c r="B524" s="58" t="s">
        <v>262</v>
      </c>
      <c r="C524" s="148" t="s">
        <v>697</v>
      </c>
      <c r="D524" s="33" t="s">
        <v>214</v>
      </c>
      <c r="E524" s="33"/>
      <c r="F524" s="33"/>
      <c r="G524" s="33"/>
      <c r="H524" s="30" t="s">
        <v>650</v>
      </c>
      <c r="I524" s="30"/>
      <c r="J524" s="212"/>
      <c r="K524" s="158"/>
      <c r="L524" s="158"/>
      <c r="M524" s="158"/>
      <c r="N524" s="158"/>
      <c r="O524" s="158"/>
      <c r="P524" s="158"/>
      <c r="Q524" s="158"/>
      <c r="R524" s="158"/>
      <c r="S524" s="158"/>
      <c r="T524" s="586"/>
      <c r="U524" s="158"/>
      <c r="V524" s="311"/>
      <c r="W524" s="311"/>
      <c r="X524" s="311"/>
      <c r="Y524" s="94"/>
      <c r="Z524" s="158"/>
      <c r="AA524" s="158"/>
      <c r="AB524" s="158"/>
      <c r="AC524" s="158"/>
      <c r="AD524" s="158"/>
      <c r="AE524" s="158"/>
      <c r="AF524" s="158"/>
      <c r="AG524" s="158"/>
      <c r="AH524" s="158"/>
      <c r="AI524" s="158"/>
      <c r="AJ524" s="158"/>
      <c r="AK524" s="158"/>
      <c r="AL524" s="158"/>
      <c r="AM524" s="158"/>
      <c r="AN524" s="158"/>
      <c r="AO524" s="158"/>
      <c r="AP524" s="158"/>
      <c r="AQ524" s="158"/>
      <c r="AR524" s="158"/>
      <c r="AS524" s="2">
        <v>1</v>
      </c>
      <c r="AT524" s="58" t="s">
        <v>646</v>
      </c>
      <c r="AU524" s="348"/>
      <c r="AV524" s="158"/>
      <c r="AW524" s="158">
        <v>9</v>
      </c>
      <c r="AX524" s="158"/>
      <c r="AY524" s="158"/>
      <c r="AZ524" s="158"/>
      <c r="BA524" s="158"/>
      <c r="BB524" s="69"/>
      <c r="BC524" s="69"/>
      <c r="BD524" s="271">
        <v>2017</v>
      </c>
      <c r="BE524" s="271"/>
      <c r="BF524" s="271"/>
    </row>
    <row r="525" spans="1:58" s="204" customFormat="1" ht="18" hidden="1" customHeight="1">
      <c r="A525" s="160" t="s">
        <v>510</v>
      </c>
      <c r="B525" s="58" t="s">
        <v>546</v>
      </c>
      <c r="C525" s="148" t="s">
        <v>698</v>
      </c>
      <c r="D525" s="33" t="s">
        <v>1308</v>
      </c>
      <c r="E525" s="33"/>
      <c r="F525" s="33"/>
      <c r="G525" s="33"/>
      <c r="H525" s="30" t="s">
        <v>650</v>
      </c>
      <c r="I525" s="30">
        <v>2913</v>
      </c>
      <c r="J525" s="212">
        <v>42727</v>
      </c>
      <c r="K525" s="158"/>
      <c r="L525" s="158">
        <v>47</v>
      </c>
      <c r="M525" s="158"/>
      <c r="N525" s="158"/>
      <c r="O525" s="158"/>
      <c r="P525" s="158">
        <v>2912210200</v>
      </c>
      <c r="Q525" s="158">
        <v>329000000</v>
      </c>
      <c r="R525" s="158"/>
      <c r="S525" s="158"/>
      <c r="T525" s="586">
        <v>1147612124</v>
      </c>
      <c r="U525" s="158">
        <v>10</v>
      </c>
      <c r="V525" s="311"/>
      <c r="W525" s="311"/>
      <c r="X525" s="311"/>
      <c r="Y525" s="94">
        <v>1435598076</v>
      </c>
      <c r="Z525" s="158">
        <v>10</v>
      </c>
      <c r="AA525" s="311">
        <v>43586</v>
      </c>
      <c r="AB525" s="311"/>
      <c r="AC525" s="158"/>
      <c r="AD525" s="158"/>
      <c r="AE525" s="158">
        <f>P525-Q525-T525-Y525</f>
        <v>0</v>
      </c>
      <c r="AF525" s="158"/>
      <c r="AG525" s="94">
        <v>0</v>
      </c>
      <c r="AH525" s="94"/>
      <c r="AI525" s="94"/>
      <c r="AJ525" s="158">
        <f t="shared" ref="AJ525" si="89">AE525+AG525</f>
        <v>0</v>
      </c>
      <c r="AK525" s="158">
        <v>877</v>
      </c>
      <c r="AL525" s="158">
        <v>10</v>
      </c>
      <c r="AM525" s="158"/>
      <c r="AN525" s="158"/>
      <c r="AO525" s="158"/>
      <c r="AP525" s="158"/>
      <c r="AQ525" s="158"/>
      <c r="AR525" s="158"/>
      <c r="AS525" s="2">
        <v>1</v>
      </c>
      <c r="AT525" s="58" t="s">
        <v>646</v>
      </c>
      <c r="AU525" s="348" t="s">
        <v>1309</v>
      </c>
      <c r="AV525" s="158"/>
      <c r="AW525" s="158"/>
      <c r="AX525" s="158"/>
      <c r="AY525" s="158">
        <v>47</v>
      </c>
      <c r="AZ525" s="158"/>
      <c r="BA525" s="158"/>
      <c r="BB525" s="158">
        <v>47</v>
      </c>
      <c r="BC525" s="158"/>
      <c r="BD525" s="271">
        <v>2019</v>
      </c>
      <c r="BE525" s="271">
        <v>2019</v>
      </c>
      <c r="BF525" s="271"/>
    </row>
    <row r="526" spans="1:58" s="204" customFormat="1" ht="15" hidden="1" customHeight="1">
      <c r="A526" s="160" t="s">
        <v>510</v>
      </c>
      <c r="B526" s="58" t="s">
        <v>280</v>
      </c>
      <c r="C526" s="148" t="s">
        <v>699</v>
      </c>
      <c r="D526" s="33" t="s">
        <v>7</v>
      </c>
      <c r="E526" s="33"/>
      <c r="F526" s="33"/>
      <c r="G526" s="33"/>
      <c r="H526" s="30" t="s">
        <v>650</v>
      </c>
      <c r="I526" s="30"/>
      <c r="J526" s="212"/>
      <c r="K526" s="158"/>
      <c r="L526" s="158"/>
      <c r="M526" s="158"/>
      <c r="N526" s="158"/>
      <c r="O526" s="158"/>
      <c r="P526" s="158"/>
      <c r="Q526" s="158"/>
      <c r="R526" s="158"/>
      <c r="S526" s="158"/>
      <c r="T526" s="586"/>
      <c r="U526" s="158"/>
      <c r="V526" s="311"/>
      <c r="W526" s="311"/>
      <c r="X526" s="311"/>
      <c r="Y526" s="94"/>
      <c r="Z526" s="158"/>
      <c r="AA526" s="158"/>
      <c r="AB526" s="158"/>
      <c r="AC526" s="158"/>
      <c r="AD526" s="158"/>
      <c r="AE526" s="158"/>
      <c r="AF526" s="158"/>
      <c r="AG526" s="158"/>
      <c r="AH526" s="158"/>
      <c r="AI526" s="158"/>
      <c r="AJ526" s="158"/>
      <c r="AK526" s="158"/>
      <c r="AL526" s="158"/>
      <c r="AM526" s="158"/>
      <c r="AN526" s="158"/>
      <c r="AO526" s="158"/>
      <c r="AP526" s="158"/>
      <c r="AQ526" s="158"/>
      <c r="AR526" s="158"/>
      <c r="AS526" s="2">
        <v>1</v>
      </c>
      <c r="AT526" s="58" t="s">
        <v>646</v>
      </c>
      <c r="AU526" s="348"/>
      <c r="AV526" s="158"/>
      <c r="AW526" s="158">
        <v>6</v>
      </c>
      <c r="AX526" s="158"/>
      <c r="AY526" s="158"/>
      <c r="AZ526" s="158"/>
      <c r="BA526" s="158"/>
      <c r="BB526" s="69"/>
      <c r="BC526" s="69"/>
      <c r="BD526" s="271">
        <v>2017</v>
      </c>
      <c r="BE526" s="271"/>
      <c r="BF526" s="271"/>
    </row>
    <row r="527" spans="1:58" s="204" customFormat="1" ht="15" hidden="1" customHeight="1">
      <c r="A527" s="160" t="s">
        <v>510</v>
      </c>
      <c r="B527" s="58" t="s">
        <v>203</v>
      </c>
      <c r="C527" s="148" t="s">
        <v>850</v>
      </c>
      <c r="D527" s="33" t="s">
        <v>170</v>
      </c>
      <c r="E527" s="33"/>
      <c r="F527" s="33"/>
      <c r="G527" s="33"/>
      <c r="H527" s="30" t="s">
        <v>650</v>
      </c>
      <c r="I527" s="30"/>
      <c r="J527" s="212"/>
      <c r="K527" s="158"/>
      <c r="L527" s="158"/>
      <c r="M527" s="158"/>
      <c r="N527" s="158"/>
      <c r="O527" s="158"/>
      <c r="P527" s="158"/>
      <c r="Q527" s="158"/>
      <c r="R527" s="158"/>
      <c r="S527" s="158"/>
      <c r="T527" s="586"/>
      <c r="U527" s="158"/>
      <c r="V527" s="311"/>
      <c r="W527" s="311"/>
      <c r="X527" s="311"/>
      <c r="Y527" s="94"/>
      <c r="Z527" s="158"/>
      <c r="AA527" s="158"/>
      <c r="AB527" s="158"/>
      <c r="AC527" s="158"/>
      <c r="AD527" s="158"/>
      <c r="AE527" s="158"/>
      <c r="AF527" s="158"/>
      <c r="AG527" s="158"/>
      <c r="AH527" s="158"/>
      <c r="AI527" s="158"/>
      <c r="AJ527" s="158"/>
      <c r="AK527" s="158"/>
      <c r="AL527" s="158"/>
      <c r="AM527" s="158"/>
      <c r="AN527" s="158"/>
      <c r="AO527" s="158"/>
      <c r="AP527" s="158"/>
      <c r="AQ527" s="158"/>
      <c r="AR527" s="158"/>
      <c r="AS527" s="2">
        <v>1</v>
      </c>
      <c r="AT527" s="58" t="s">
        <v>646</v>
      </c>
      <c r="AU527" s="348"/>
      <c r="AV527" s="158"/>
      <c r="AW527" s="158">
        <v>24</v>
      </c>
      <c r="AX527" s="158"/>
      <c r="AY527" s="158"/>
      <c r="AZ527" s="158"/>
      <c r="BA527" s="158"/>
      <c r="BB527" s="69"/>
      <c r="BC527" s="69"/>
      <c r="BD527" s="271">
        <v>2017</v>
      </c>
      <c r="BE527" s="271"/>
      <c r="BF527" s="271"/>
    </row>
    <row r="528" spans="1:58" s="204" customFormat="1" ht="15" hidden="1" customHeight="1">
      <c r="A528" s="160" t="s">
        <v>510</v>
      </c>
      <c r="B528" s="58" t="s">
        <v>280</v>
      </c>
      <c r="C528" s="148" t="s">
        <v>851</v>
      </c>
      <c r="D528" s="33" t="s">
        <v>30</v>
      </c>
      <c r="E528" s="33"/>
      <c r="F528" s="33"/>
      <c r="G528" s="33"/>
      <c r="H528" s="30" t="s">
        <v>630</v>
      </c>
      <c r="I528" s="43"/>
      <c r="J528" s="212"/>
      <c r="K528" s="158"/>
      <c r="L528" s="158"/>
      <c r="M528" s="158"/>
      <c r="N528" s="158"/>
      <c r="O528" s="158"/>
      <c r="P528" s="158"/>
      <c r="Q528" s="158"/>
      <c r="R528" s="158"/>
      <c r="S528" s="158"/>
      <c r="T528" s="586"/>
      <c r="U528" s="158"/>
      <c r="V528" s="311"/>
      <c r="W528" s="311"/>
      <c r="X528" s="311"/>
      <c r="Y528" s="94"/>
      <c r="Z528" s="158"/>
      <c r="AA528" s="158"/>
      <c r="AB528" s="158"/>
      <c r="AC528" s="158"/>
      <c r="AD528" s="158"/>
      <c r="AE528" s="158"/>
      <c r="AF528" s="158"/>
      <c r="AG528" s="158"/>
      <c r="AH528" s="158"/>
      <c r="AI528" s="158"/>
      <c r="AJ528" s="158"/>
      <c r="AK528" s="158"/>
      <c r="AL528" s="158"/>
      <c r="AM528" s="158"/>
      <c r="AN528" s="158"/>
      <c r="AO528" s="158"/>
      <c r="AP528" s="158"/>
      <c r="AQ528" s="158"/>
      <c r="AR528" s="158"/>
      <c r="AS528" s="2">
        <v>1</v>
      </c>
      <c r="AT528" s="58" t="s">
        <v>646</v>
      </c>
      <c r="AU528" s="348"/>
      <c r="AV528" s="158"/>
      <c r="AW528" s="158">
        <v>17</v>
      </c>
      <c r="AX528" s="158"/>
      <c r="AY528" s="158"/>
      <c r="AZ528" s="158"/>
      <c r="BA528" s="158"/>
      <c r="BB528" s="69"/>
      <c r="BC528" s="69"/>
      <c r="BD528" s="271">
        <v>2017</v>
      </c>
      <c r="BE528" s="271"/>
      <c r="BF528" s="271"/>
    </row>
    <row r="529" spans="1:58" s="204" customFormat="1" ht="15" hidden="1" customHeight="1">
      <c r="A529" s="160" t="s">
        <v>510</v>
      </c>
      <c r="B529" s="58" t="s">
        <v>211</v>
      </c>
      <c r="C529" s="148" t="s">
        <v>852</v>
      </c>
      <c r="D529" s="33" t="s">
        <v>7</v>
      </c>
      <c r="E529" s="33"/>
      <c r="F529" s="33"/>
      <c r="G529" s="33"/>
      <c r="H529" s="30" t="s">
        <v>630</v>
      </c>
      <c r="I529" s="43"/>
      <c r="J529" s="212"/>
      <c r="K529" s="158"/>
      <c r="L529" s="158"/>
      <c r="M529" s="158"/>
      <c r="N529" s="158"/>
      <c r="O529" s="158"/>
      <c r="P529" s="158"/>
      <c r="Q529" s="158"/>
      <c r="R529" s="158"/>
      <c r="S529" s="158"/>
      <c r="T529" s="586"/>
      <c r="U529" s="158"/>
      <c r="V529" s="311"/>
      <c r="W529" s="311"/>
      <c r="X529" s="311"/>
      <c r="Y529" s="94"/>
      <c r="Z529" s="158"/>
      <c r="AA529" s="158"/>
      <c r="AB529" s="158"/>
      <c r="AC529" s="158"/>
      <c r="AD529" s="158"/>
      <c r="AE529" s="158"/>
      <c r="AF529" s="158"/>
      <c r="AG529" s="158"/>
      <c r="AH529" s="158"/>
      <c r="AI529" s="158"/>
      <c r="AJ529" s="158"/>
      <c r="AK529" s="158"/>
      <c r="AL529" s="158"/>
      <c r="AM529" s="158"/>
      <c r="AN529" s="158"/>
      <c r="AO529" s="158"/>
      <c r="AP529" s="158"/>
      <c r="AQ529" s="158"/>
      <c r="AR529" s="158"/>
      <c r="AS529" s="2">
        <v>1</v>
      </c>
      <c r="AT529" s="58" t="s">
        <v>646</v>
      </c>
      <c r="AU529" s="348"/>
      <c r="AV529" s="158"/>
      <c r="AW529" s="158"/>
      <c r="AX529" s="158">
        <v>9</v>
      </c>
      <c r="AY529" s="158"/>
      <c r="AZ529" s="158"/>
      <c r="BA529" s="158">
        <v>9</v>
      </c>
      <c r="BB529" s="69"/>
      <c r="BC529" s="69"/>
      <c r="BD529" s="271">
        <v>2018</v>
      </c>
      <c r="BE529" s="271"/>
      <c r="BF529" s="271"/>
    </row>
    <row r="530" spans="1:58" s="204" customFormat="1" ht="36.75" hidden="1" customHeight="1">
      <c r="A530" s="230" t="s">
        <v>510</v>
      </c>
      <c r="B530" s="58" t="s">
        <v>211</v>
      </c>
      <c r="C530" s="148" t="s">
        <v>853</v>
      </c>
      <c r="D530" s="33" t="s">
        <v>7</v>
      </c>
      <c r="E530" s="33"/>
      <c r="F530" s="33"/>
      <c r="G530" s="33"/>
      <c r="H530" s="30" t="s">
        <v>630</v>
      </c>
      <c r="I530" s="115" t="s">
        <v>1504</v>
      </c>
      <c r="J530" s="215" t="s">
        <v>1503</v>
      </c>
      <c r="K530" s="158"/>
      <c r="L530" s="158"/>
      <c r="M530" s="158"/>
      <c r="N530" s="158"/>
      <c r="O530" s="158"/>
      <c r="P530" s="158">
        <f>734535855-61211321</f>
        <v>673324534</v>
      </c>
      <c r="Q530" s="158"/>
      <c r="R530" s="158"/>
      <c r="S530" s="158"/>
      <c r="T530" s="586">
        <v>283488867</v>
      </c>
      <c r="U530" s="158"/>
      <c r="V530" s="311"/>
      <c r="W530" s="311"/>
      <c r="X530" s="311"/>
      <c r="Y530" s="94">
        <v>389835667</v>
      </c>
      <c r="Z530" s="158"/>
      <c r="AA530" s="5"/>
      <c r="AB530" s="5"/>
      <c r="AC530" s="5"/>
      <c r="AD530" s="158"/>
      <c r="AE530" s="158">
        <f>P530-T530-Y530</f>
        <v>0</v>
      </c>
      <c r="AF530" s="158"/>
      <c r="AG530" s="158"/>
      <c r="AH530" s="158"/>
      <c r="AI530" s="158"/>
      <c r="AJ530" s="158"/>
      <c r="AK530" s="158">
        <v>877</v>
      </c>
      <c r="AL530" s="158">
        <v>10</v>
      </c>
      <c r="AM530" s="158"/>
      <c r="AN530" s="158"/>
      <c r="AO530" s="158"/>
      <c r="AP530" s="158"/>
      <c r="AQ530" s="158"/>
      <c r="AR530" s="158"/>
      <c r="AS530" s="2">
        <v>1</v>
      </c>
      <c r="AT530" s="58" t="s">
        <v>646</v>
      </c>
      <c r="AU530" s="348"/>
      <c r="AV530" s="158"/>
      <c r="AW530" s="158"/>
      <c r="AX530" s="158">
        <v>11</v>
      </c>
      <c r="AY530" s="158"/>
      <c r="AZ530" s="158"/>
      <c r="BA530" s="158">
        <v>11</v>
      </c>
      <c r="BB530" s="69"/>
      <c r="BC530" s="69"/>
      <c r="BD530" s="271">
        <v>2018</v>
      </c>
      <c r="BE530" s="271"/>
      <c r="BF530" s="271"/>
    </row>
    <row r="531" spans="1:58" s="204" customFormat="1" ht="18" hidden="1" customHeight="1">
      <c r="A531" s="160" t="s">
        <v>510</v>
      </c>
      <c r="B531" s="58" t="s">
        <v>211</v>
      </c>
      <c r="C531" s="148" t="s">
        <v>853</v>
      </c>
      <c r="D531" s="33" t="s">
        <v>7</v>
      </c>
      <c r="E531" s="33"/>
      <c r="F531" s="33"/>
      <c r="G531" s="33"/>
      <c r="H531" s="30" t="s">
        <v>630</v>
      </c>
      <c r="I531" s="115" t="s">
        <v>1689</v>
      </c>
      <c r="J531" s="215" t="s">
        <v>1690</v>
      </c>
      <c r="K531" s="158"/>
      <c r="L531" s="158"/>
      <c r="M531" s="158">
        <v>1</v>
      </c>
      <c r="N531" s="158"/>
      <c r="O531" s="158"/>
      <c r="P531" s="158">
        <v>61211321</v>
      </c>
      <c r="Q531" s="158"/>
      <c r="R531" s="158"/>
      <c r="S531" s="158"/>
      <c r="T531" s="586"/>
      <c r="U531" s="158"/>
      <c r="V531" s="311"/>
      <c r="W531" s="311"/>
      <c r="X531" s="311"/>
      <c r="Y531" s="94"/>
      <c r="Z531" s="69"/>
      <c r="AA531" s="69"/>
      <c r="AB531" s="69"/>
      <c r="AC531" s="69">
        <v>61211321</v>
      </c>
      <c r="AD531" s="158"/>
      <c r="AE531" s="158">
        <f>P531-T531-Y531-AC531</f>
        <v>0</v>
      </c>
      <c r="AF531" s="158"/>
      <c r="AG531" s="94">
        <v>0</v>
      </c>
      <c r="AH531" s="94"/>
      <c r="AI531" s="94"/>
      <c r="AJ531" s="158">
        <f t="shared" ref="AJ531" si="90">AE531+AG531</f>
        <v>0</v>
      </c>
      <c r="AK531" s="158">
        <v>877</v>
      </c>
      <c r="AL531" s="158">
        <v>10</v>
      </c>
      <c r="AM531" s="158">
        <f>1-1</f>
        <v>0</v>
      </c>
      <c r="AN531" s="158"/>
      <c r="AO531" s="158"/>
      <c r="AP531" s="158"/>
      <c r="AQ531" s="158"/>
      <c r="AR531" s="61"/>
      <c r="AS531" s="2">
        <v>0</v>
      </c>
      <c r="AT531" s="58" t="s">
        <v>687</v>
      </c>
      <c r="AU531" s="126" t="s">
        <v>1691</v>
      </c>
      <c r="AV531" s="158"/>
      <c r="AW531" s="158"/>
      <c r="AX531" s="158"/>
      <c r="AY531" s="158"/>
      <c r="AZ531" s="158"/>
      <c r="BA531" s="158"/>
      <c r="BB531" s="69"/>
      <c r="BC531" s="69">
        <v>1</v>
      </c>
      <c r="BD531" s="271" t="s">
        <v>1706</v>
      </c>
      <c r="BE531" s="271">
        <v>2019</v>
      </c>
      <c r="BF531" s="271"/>
    </row>
    <row r="532" spans="1:58" s="204" customFormat="1" ht="15" hidden="1" customHeight="1">
      <c r="A532" s="248" t="s">
        <v>510</v>
      </c>
      <c r="B532" s="58" t="s">
        <v>546</v>
      </c>
      <c r="C532" s="148" t="s">
        <v>564</v>
      </c>
      <c r="D532" s="33" t="s">
        <v>565</v>
      </c>
      <c r="E532" s="33"/>
      <c r="F532" s="33"/>
      <c r="G532" s="33"/>
      <c r="H532" s="30" t="s">
        <v>630</v>
      </c>
      <c r="I532" s="43"/>
      <c r="J532" s="212"/>
      <c r="K532" s="158"/>
      <c r="L532" s="158"/>
      <c r="M532" s="158"/>
      <c r="N532" s="158"/>
      <c r="O532" s="158"/>
      <c r="P532" s="158"/>
      <c r="Q532" s="158"/>
      <c r="R532" s="158"/>
      <c r="S532" s="158"/>
      <c r="T532" s="586"/>
      <c r="U532" s="158"/>
      <c r="V532" s="311"/>
      <c r="W532" s="311"/>
      <c r="X532" s="311"/>
      <c r="Y532" s="94"/>
      <c r="Z532" s="158"/>
      <c r="AA532" s="92"/>
      <c r="AB532" s="92"/>
      <c r="AC532" s="92"/>
      <c r="AD532" s="158"/>
      <c r="AE532" s="158"/>
      <c r="AF532" s="158"/>
      <c r="AG532" s="158"/>
      <c r="AH532" s="158"/>
      <c r="AI532" s="158"/>
      <c r="AJ532" s="158"/>
      <c r="AK532" s="158"/>
      <c r="AL532" s="158"/>
      <c r="AM532" s="158"/>
      <c r="AN532" s="158"/>
      <c r="AO532" s="158"/>
      <c r="AP532" s="11"/>
      <c r="AQ532" s="11"/>
      <c r="AR532" s="11"/>
      <c r="AS532" s="2">
        <v>1</v>
      </c>
      <c r="AT532" s="58" t="s">
        <v>646</v>
      </c>
      <c r="AU532" s="206"/>
      <c r="AV532" s="158"/>
      <c r="AW532" s="158">
        <v>42</v>
      </c>
      <c r="AX532" s="158"/>
      <c r="AY532" s="158"/>
      <c r="AZ532" s="158"/>
      <c r="BA532" s="158"/>
      <c r="BB532" s="69"/>
      <c r="BC532" s="69"/>
      <c r="BD532" s="271">
        <v>2017</v>
      </c>
      <c r="BE532" s="271"/>
      <c r="BF532" s="271"/>
    </row>
    <row r="533" spans="1:58" s="204" customFormat="1" ht="15" hidden="1" customHeight="1">
      <c r="A533" s="160" t="s">
        <v>510</v>
      </c>
      <c r="B533" s="58" t="s">
        <v>262</v>
      </c>
      <c r="C533" s="148" t="s">
        <v>926</v>
      </c>
      <c r="D533" s="33" t="s">
        <v>1039</v>
      </c>
      <c r="E533" s="33"/>
      <c r="F533" s="33"/>
      <c r="G533" s="33"/>
      <c r="H533" s="30" t="s">
        <v>630</v>
      </c>
      <c r="I533" s="43"/>
      <c r="J533" s="212"/>
      <c r="K533" s="158"/>
      <c r="L533" s="158"/>
      <c r="M533" s="158"/>
      <c r="N533" s="158"/>
      <c r="O533" s="158"/>
      <c r="P533" s="158"/>
      <c r="Q533" s="158"/>
      <c r="R533" s="158"/>
      <c r="S533" s="158"/>
      <c r="T533" s="586"/>
      <c r="U533" s="158"/>
      <c r="V533" s="311"/>
      <c r="W533" s="311"/>
      <c r="X533" s="311"/>
      <c r="Y533" s="94"/>
      <c r="Z533" s="158"/>
      <c r="AA533" s="158"/>
      <c r="AB533" s="158"/>
      <c r="AC533" s="158"/>
      <c r="AD533" s="158"/>
      <c r="AE533" s="158"/>
      <c r="AF533" s="158"/>
      <c r="AG533" s="158"/>
      <c r="AH533" s="158"/>
      <c r="AI533" s="158"/>
      <c r="AJ533" s="158"/>
      <c r="AK533" s="158"/>
      <c r="AL533" s="158"/>
      <c r="AM533" s="158"/>
      <c r="AN533" s="158"/>
      <c r="AO533" s="158"/>
      <c r="AP533" s="11"/>
      <c r="AQ533" s="11"/>
      <c r="AR533" s="11"/>
      <c r="AS533" s="2">
        <v>1</v>
      </c>
      <c r="AT533" s="58" t="s">
        <v>646</v>
      </c>
      <c r="AU533" s="206"/>
      <c r="AV533" s="158"/>
      <c r="AW533" s="158"/>
      <c r="AX533" s="158">
        <v>16</v>
      </c>
      <c r="AY533" s="158"/>
      <c r="AZ533" s="158"/>
      <c r="BA533" s="158">
        <v>16</v>
      </c>
      <c r="BB533" s="69"/>
      <c r="BC533" s="69"/>
      <c r="BD533" s="271">
        <v>2018</v>
      </c>
      <c r="BE533" s="271"/>
      <c r="BF533" s="271"/>
    </row>
    <row r="534" spans="1:58" s="204" customFormat="1" ht="15" hidden="1" customHeight="1">
      <c r="A534" s="160" t="s">
        <v>510</v>
      </c>
      <c r="B534" s="58" t="s">
        <v>203</v>
      </c>
      <c r="C534" s="148" t="s">
        <v>854</v>
      </c>
      <c r="D534" s="33" t="s">
        <v>855</v>
      </c>
      <c r="E534" s="33"/>
      <c r="F534" s="33"/>
      <c r="G534" s="33"/>
      <c r="H534" s="30" t="s">
        <v>630</v>
      </c>
      <c r="I534" s="43"/>
      <c r="J534" s="212"/>
      <c r="K534" s="81"/>
      <c r="L534" s="81"/>
      <c r="M534" s="81"/>
      <c r="N534" s="81"/>
      <c r="O534" s="81"/>
      <c r="P534" s="81"/>
      <c r="Q534" s="81"/>
      <c r="R534" s="158"/>
      <c r="S534" s="81"/>
      <c r="T534" s="586"/>
      <c r="U534" s="81"/>
      <c r="V534" s="311"/>
      <c r="W534" s="311"/>
      <c r="X534" s="311"/>
      <c r="Y534" s="94"/>
      <c r="Z534" s="81"/>
      <c r="AA534" s="81"/>
      <c r="AB534" s="81"/>
      <c r="AC534" s="81"/>
      <c r="AD534" s="158"/>
      <c r="AE534" s="158"/>
      <c r="AF534" s="158"/>
      <c r="AG534" s="158"/>
      <c r="AH534" s="158"/>
      <c r="AI534" s="158"/>
      <c r="AJ534" s="158"/>
      <c r="AK534" s="158"/>
      <c r="AL534" s="158"/>
      <c r="AM534" s="158"/>
      <c r="AN534" s="158"/>
      <c r="AO534" s="158"/>
      <c r="AP534" s="158"/>
      <c r="AQ534" s="158"/>
      <c r="AR534" s="158"/>
      <c r="AS534" s="2">
        <v>1</v>
      </c>
      <c r="AT534" s="58" t="s">
        <v>646</v>
      </c>
      <c r="AU534" s="206"/>
      <c r="AV534" s="51"/>
      <c r="AW534" s="56"/>
      <c r="AX534" s="12">
        <v>30</v>
      </c>
      <c r="AY534" s="158"/>
      <c r="AZ534" s="158"/>
      <c r="BA534" s="12">
        <v>30</v>
      </c>
      <c r="BB534" s="70"/>
      <c r="BC534" s="70"/>
      <c r="BD534" s="271">
        <v>2018</v>
      </c>
      <c r="BE534" s="271"/>
      <c r="BF534" s="271"/>
    </row>
    <row r="535" spans="1:58" s="204" customFormat="1" ht="15" hidden="1" customHeight="1">
      <c r="A535" s="160" t="s">
        <v>510</v>
      </c>
      <c r="B535" s="58" t="s">
        <v>280</v>
      </c>
      <c r="C535" s="148" t="s">
        <v>1077</v>
      </c>
      <c r="D535" s="33" t="s">
        <v>202</v>
      </c>
      <c r="E535" s="33"/>
      <c r="F535" s="33"/>
      <c r="G535" s="33"/>
      <c r="H535" s="30" t="s">
        <v>630</v>
      </c>
      <c r="I535" s="43"/>
      <c r="J535" s="212"/>
      <c r="K535" s="81"/>
      <c r="L535" s="81"/>
      <c r="M535" s="81"/>
      <c r="N535" s="81"/>
      <c r="O535" s="81"/>
      <c r="P535" s="81"/>
      <c r="Q535" s="81"/>
      <c r="R535" s="158"/>
      <c r="S535" s="81"/>
      <c r="T535" s="586"/>
      <c r="U535" s="81"/>
      <c r="V535" s="311"/>
      <c r="W535" s="311"/>
      <c r="X535" s="311"/>
      <c r="Y535" s="94"/>
      <c r="Z535" s="81"/>
      <c r="AA535" s="81"/>
      <c r="AB535" s="81"/>
      <c r="AC535" s="81"/>
      <c r="AD535" s="158"/>
      <c r="AE535" s="158"/>
      <c r="AF535" s="158"/>
      <c r="AG535" s="158"/>
      <c r="AH535" s="158"/>
      <c r="AI535" s="158"/>
      <c r="AJ535" s="158"/>
      <c r="AK535" s="158"/>
      <c r="AL535" s="158"/>
      <c r="AM535" s="158"/>
      <c r="AN535" s="158"/>
      <c r="AO535" s="158"/>
      <c r="AP535" s="158"/>
      <c r="AQ535" s="158"/>
      <c r="AR535" s="158"/>
      <c r="AS535" s="2">
        <v>1</v>
      </c>
      <c r="AT535" s="58" t="s">
        <v>646</v>
      </c>
      <c r="AU535" s="206"/>
      <c r="AV535" s="51"/>
      <c r="AW535" s="56"/>
      <c r="AX535" s="158">
        <v>32</v>
      </c>
      <c r="AY535" s="158"/>
      <c r="AZ535" s="158"/>
      <c r="BA535" s="158">
        <v>32</v>
      </c>
      <c r="BB535" s="69"/>
      <c r="BC535" s="69"/>
      <c r="BD535" s="271">
        <v>2018</v>
      </c>
      <c r="BE535" s="271"/>
      <c r="BF535" s="271"/>
    </row>
    <row r="536" spans="1:58" s="204" customFormat="1" ht="15" hidden="1" customHeight="1">
      <c r="A536" s="160" t="s">
        <v>510</v>
      </c>
      <c r="B536" s="58" t="s">
        <v>262</v>
      </c>
      <c r="C536" s="148" t="s">
        <v>856</v>
      </c>
      <c r="D536" s="33" t="s">
        <v>857</v>
      </c>
      <c r="E536" s="33"/>
      <c r="F536" s="33"/>
      <c r="G536" s="33"/>
      <c r="H536" s="30" t="s">
        <v>713</v>
      </c>
      <c r="I536" s="43"/>
      <c r="J536" s="212"/>
      <c r="K536" s="81"/>
      <c r="L536" s="81"/>
      <c r="M536" s="81"/>
      <c r="N536" s="81"/>
      <c r="O536" s="81"/>
      <c r="P536" s="81"/>
      <c r="Q536" s="81"/>
      <c r="R536" s="158"/>
      <c r="S536" s="81"/>
      <c r="T536" s="586"/>
      <c r="U536" s="81"/>
      <c r="V536" s="311"/>
      <c r="W536" s="311"/>
      <c r="X536" s="311"/>
      <c r="Y536" s="94"/>
      <c r="Z536" s="81"/>
      <c r="AA536" s="81"/>
      <c r="AB536" s="81"/>
      <c r="AC536" s="81"/>
      <c r="AD536" s="158"/>
      <c r="AE536" s="158"/>
      <c r="AF536" s="158"/>
      <c r="AG536" s="158"/>
      <c r="AH536" s="158"/>
      <c r="AI536" s="158"/>
      <c r="AJ536" s="158"/>
      <c r="AK536" s="158"/>
      <c r="AL536" s="158"/>
      <c r="AM536" s="158"/>
      <c r="AN536" s="158"/>
      <c r="AO536" s="158"/>
      <c r="AP536" s="158"/>
      <c r="AQ536" s="158"/>
      <c r="AR536" s="158"/>
      <c r="AS536" s="2">
        <v>1</v>
      </c>
      <c r="AT536" s="58" t="s">
        <v>646</v>
      </c>
      <c r="AU536" s="206"/>
      <c r="AV536" s="51"/>
      <c r="AW536" s="56"/>
      <c r="AX536" s="158">
        <v>28</v>
      </c>
      <c r="AY536" s="158"/>
      <c r="AZ536" s="158"/>
      <c r="BA536" s="158">
        <v>28</v>
      </c>
      <c r="BB536" s="69"/>
      <c r="BC536" s="69"/>
      <c r="BD536" s="271">
        <v>2018</v>
      </c>
      <c r="BE536" s="271"/>
      <c r="BF536" s="271"/>
    </row>
    <row r="537" spans="1:58" s="204" customFormat="1" ht="15" hidden="1" customHeight="1">
      <c r="A537" s="160" t="s">
        <v>510</v>
      </c>
      <c r="B537" s="58" t="s">
        <v>280</v>
      </c>
      <c r="C537" s="148" t="s">
        <v>874</v>
      </c>
      <c r="D537" s="33" t="s">
        <v>7</v>
      </c>
      <c r="E537" s="33"/>
      <c r="F537" s="33"/>
      <c r="G537" s="33"/>
      <c r="H537" s="30" t="s">
        <v>713</v>
      </c>
      <c r="I537" s="43"/>
      <c r="J537" s="212"/>
      <c r="K537" s="81"/>
      <c r="L537" s="81"/>
      <c r="M537" s="81"/>
      <c r="N537" s="81"/>
      <c r="O537" s="81"/>
      <c r="P537" s="81"/>
      <c r="Q537" s="81"/>
      <c r="R537" s="158"/>
      <c r="S537" s="81"/>
      <c r="T537" s="586"/>
      <c r="U537" s="81"/>
      <c r="V537" s="311"/>
      <c r="W537" s="311"/>
      <c r="X537" s="311"/>
      <c r="Y537" s="94"/>
      <c r="Z537" s="81"/>
      <c r="AA537" s="81"/>
      <c r="AB537" s="81"/>
      <c r="AC537" s="81"/>
      <c r="AD537" s="158"/>
      <c r="AE537" s="158"/>
      <c r="AF537" s="158"/>
      <c r="AG537" s="158"/>
      <c r="AH537" s="158"/>
      <c r="AI537" s="158"/>
      <c r="AJ537" s="158"/>
      <c r="AK537" s="158"/>
      <c r="AL537" s="158"/>
      <c r="AM537" s="158"/>
      <c r="AN537" s="158"/>
      <c r="AO537" s="158"/>
      <c r="AP537" s="158"/>
      <c r="AQ537" s="158"/>
      <c r="AR537" s="158"/>
      <c r="AS537" s="56">
        <v>1</v>
      </c>
      <c r="AT537" s="58" t="s">
        <v>646</v>
      </c>
      <c r="AU537" s="206"/>
      <c r="AV537" s="51"/>
      <c r="AW537" s="56"/>
      <c r="AX537" s="158">
        <v>6</v>
      </c>
      <c r="AY537" s="158"/>
      <c r="AZ537" s="158"/>
      <c r="BA537" s="158">
        <v>6</v>
      </c>
      <c r="BB537" s="69"/>
      <c r="BC537" s="69"/>
      <c r="BD537" s="271">
        <v>2018</v>
      </c>
      <c r="BE537" s="271"/>
      <c r="BF537" s="271"/>
    </row>
    <row r="538" spans="1:58" s="204" customFormat="1" ht="18" hidden="1" customHeight="1">
      <c r="A538" s="160" t="s">
        <v>510</v>
      </c>
      <c r="B538" s="58" t="s">
        <v>280</v>
      </c>
      <c r="C538" s="148" t="s">
        <v>874</v>
      </c>
      <c r="D538" s="33" t="s">
        <v>7</v>
      </c>
      <c r="E538" s="33"/>
      <c r="F538" s="33"/>
      <c r="G538" s="33"/>
      <c r="H538" s="30" t="s">
        <v>713</v>
      </c>
      <c r="I538" s="43">
        <v>1847</v>
      </c>
      <c r="J538" s="212">
        <v>42977</v>
      </c>
      <c r="K538" s="81"/>
      <c r="L538" s="81"/>
      <c r="M538" s="81">
        <v>1</v>
      </c>
      <c r="N538" s="81"/>
      <c r="O538" s="81"/>
      <c r="P538" s="81"/>
      <c r="Q538" s="81"/>
      <c r="R538" s="158"/>
      <c r="S538" s="81"/>
      <c r="T538" s="586"/>
      <c r="U538" s="81"/>
      <c r="V538" s="311"/>
      <c r="W538" s="311"/>
      <c r="X538" s="311"/>
      <c r="Y538" s="94"/>
      <c r="Z538" s="81"/>
      <c r="AA538" s="81"/>
      <c r="AB538" s="81"/>
      <c r="AC538" s="81"/>
      <c r="AD538" s="158"/>
      <c r="AE538" s="158">
        <f>P538-T538-Y538</f>
        <v>0</v>
      </c>
      <c r="AF538" s="158"/>
      <c r="AG538" s="94">
        <v>0</v>
      </c>
      <c r="AH538" s="94"/>
      <c r="AI538" s="94"/>
      <c r="AJ538" s="158">
        <f t="shared" ref="AJ538:AJ539" si="91">AE538+AG538</f>
        <v>0</v>
      </c>
      <c r="AK538" s="158"/>
      <c r="AL538" s="158"/>
      <c r="AM538" s="158"/>
      <c r="AN538" s="158"/>
      <c r="AO538" s="98"/>
      <c r="AP538" s="158"/>
      <c r="AQ538" s="158"/>
      <c r="AR538" s="158"/>
      <c r="AS538" s="2">
        <v>0</v>
      </c>
      <c r="AT538" s="58" t="s">
        <v>687</v>
      </c>
      <c r="AU538" s="395" t="s">
        <v>1361</v>
      </c>
      <c r="AV538" s="51"/>
      <c r="AW538" s="56"/>
      <c r="AX538" s="56"/>
      <c r="AY538" s="56"/>
      <c r="AZ538" s="56"/>
      <c r="BA538" s="56"/>
      <c r="BB538" s="291"/>
      <c r="BC538" s="69">
        <v>1</v>
      </c>
      <c r="BD538" s="271" t="s">
        <v>1706</v>
      </c>
      <c r="BE538" s="271">
        <v>2019</v>
      </c>
      <c r="BF538" s="271"/>
    </row>
    <row r="539" spans="1:58" s="204" customFormat="1" ht="18" hidden="1" customHeight="1">
      <c r="A539" s="160" t="s">
        <v>510</v>
      </c>
      <c r="B539" s="58" t="s">
        <v>546</v>
      </c>
      <c r="C539" s="148" t="s">
        <v>1379</v>
      </c>
      <c r="D539" s="33" t="s">
        <v>858</v>
      </c>
      <c r="E539" s="33"/>
      <c r="F539" s="33"/>
      <c r="G539" s="33"/>
      <c r="H539" s="30" t="s">
        <v>713</v>
      </c>
      <c r="I539" s="43">
        <v>1982</v>
      </c>
      <c r="J539" s="212">
        <v>42993</v>
      </c>
      <c r="K539" s="81"/>
      <c r="L539" s="81">
        <v>15</v>
      </c>
      <c r="M539" s="81"/>
      <c r="N539" s="81"/>
      <c r="O539" s="81"/>
      <c r="P539" s="158">
        <v>914233528</v>
      </c>
      <c r="Q539" s="81"/>
      <c r="R539" s="158"/>
      <c r="S539" s="81"/>
      <c r="T539" s="586">
        <v>406178863</v>
      </c>
      <c r="U539" s="81">
        <v>20</v>
      </c>
      <c r="V539" s="311"/>
      <c r="W539" s="311"/>
      <c r="X539" s="311"/>
      <c r="Y539" s="94">
        <v>508054665</v>
      </c>
      <c r="Z539" s="81">
        <v>10</v>
      </c>
      <c r="AA539" s="81"/>
      <c r="AB539" s="81"/>
      <c r="AC539" s="81"/>
      <c r="AD539" s="158"/>
      <c r="AE539" s="158">
        <f>P539-T539-Y539</f>
        <v>0</v>
      </c>
      <c r="AF539" s="158"/>
      <c r="AG539" s="94">
        <v>0</v>
      </c>
      <c r="AH539" s="94"/>
      <c r="AI539" s="94"/>
      <c r="AJ539" s="158">
        <f t="shared" si="91"/>
        <v>0</v>
      </c>
      <c r="AK539" s="158">
        <v>877</v>
      </c>
      <c r="AL539" s="158">
        <v>10</v>
      </c>
      <c r="AM539" s="158"/>
      <c r="AN539" s="158"/>
      <c r="AO539" s="158"/>
      <c r="AP539" s="158"/>
      <c r="AQ539" s="158"/>
      <c r="AR539" s="158"/>
      <c r="AS539" s="2">
        <v>1</v>
      </c>
      <c r="AT539" s="58" t="s">
        <v>646</v>
      </c>
      <c r="AU539" s="7" t="s">
        <v>1380</v>
      </c>
      <c r="AV539" s="51"/>
      <c r="AW539" s="56"/>
      <c r="AX539" s="56"/>
      <c r="AY539" s="158">
        <v>15</v>
      </c>
      <c r="AZ539" s="158"/>
      <c r="BA539" s="56"/>
      <c r="BB539" s="69">
        <v>15</v>
      </c>
      <c r="BC539" s="69"/>
      <c r="BD539" s="271">
        <v>2019</v>
      </c>
      <c r="BE539" s="271">
        <v>2019</v>
      </c>
      <c r="BF539" s="271"/>
    </row>
    <row r="540" spans="1:58" s="204" customFormat="1" ht="15" hidden="1" customHeight="1">
      <c r="A540" s="160" t="s">
        <v>510</v>
      </c>
      <c r="B540" s="58" t="s">
        <v>197</v>
      </c>
      <c r="C540" s="148" t="s">
        <v>876</v>
      </c>
      <c r="D540" s="33" t="s">
        <v>787</v>
      </c>
      <c r="E540" s="33"/>
      <c r="F540" s="33"/>
      <c r="G540" s="33"/>
      <c r="H540" s="30" t="s">
        <v>713</v>
      </c>
      <c r="I540" s="43"/>
      <c r="J540" s="212"/>
      <c r="K540" s="81"/>
      <c r="L540" s="81"/>
      <c r="M540" s="81"/>
      <c r="N540" s="81"/>
      <c r="O540" s="81"/>
      <c r="P540" s="81"/>
      <c r="Q540" s="81"/>
      <c r="R540" s="158"/>
      <c r="S540" s="81"/>
      <c r="T540" s="586"/>
      <c r="U540" s="81"/>
      <c r="V540" s="311"/>
      <c r="W540" s="311"/>
      <c r="X540" s="311"/>
      <c r="Y540" s="94"/>
      <c r="Z540" s="81"/>
      <c r="AA540" s="81"/>
      <c r="AB540" s="81"/>
      <c r="AC540" s="81"/>
      <c r="AD540" s="158"/>
      <c r="AE540" s="158"/>
      <c r="AF540" s="158"/>
      <c r="AG540" s="158"/>
      <c r="AH540" s="158"/>
      <c r="AI540" s="158"/>
      <c r="AJ540" s="158"/>
      <c r="AK540" s="158"/>
      <c r="AL540" s="158"/>
      <c r="AM540" s="158"/>
      <c r="AN540" s="158"/>
      <c r="AO540" s="158"/>
      <c r="AP540" s="158"/>
      <c r="AQ540" s="158"/>
      <c r="AR540" s="158"/>
      <c r="AS540" s="56">
        <v>1</v>
      </c>
      <c r="AT540" s="58" t="s">
        <v>646</v>
      </c>
      <c r="AU540" s="206"/>
      <c r="AV540" s="51"/>
      <c r="AW540" s="56"/>
      <c r="AX540" s="158">
        <v>13</v>
      </c>
      <c r="AY540" s="158"/>
      <c r="AZ540" s="158"/>
      <c r="BA540" s="158">
        <v>13</v>
      </c>
      <c r="BB540" s="69"/>
      <c r="BC540" s="69"/>
      <c r="BD540" s="271">
        <v>2018</v>
      </c>
      <c r="BE540" s="271"/>
      <c r="BF540" s="271"/>
    </row>
    <row r="541" spans="1:58" s="204" customFormat="1" ht="15" hidden="1" customHeight="1">
      <c r="A541" s="160" t="s">
        <v>510</v>
      </c>
      <c r="B541" s="58" t="s">
        <v>547</v>
      </c>
      <c r="C541" s="148" t="s">
        <v>859</v>
      </c>
      <c r="D541" s="33" t="s">
        <v>860</v>
      </c>
      <c r="E541" s="33"/>
      <c r="F541" s="33"/>
      <c r="G541" s="33"/>
      <c r="H541" s="30" t="s">
        <v>713</v>
      </c>
      <c r="I541" s="43"/>
      <c r="J541" s="212"/>
      <c r="K541" s="81"/>
      <c r="L541" s="81"/>
      <c r="M541" s="81"/>
      <c r="N541" s="81"/>
      <c r="O541" s="81"/>
      <c r="P541" s="81"/>
      <c r="Q541" s="81"/>
      <c r="R541" s="158"/>
      <c r="S541" s="81"/>
      <c r="T541" s="586"/>
      <c r="U541" s="81"/>
      <c r="V541" s="311"/>
      <c r="W541" s="311"/>
      <c r="X541" s="311"/>
      <c r="Y541" s="94"/>
      <c r="Z541" s="81"/>
      <c r="AA541" s="81"/>
      <c r="AB541" s="81"/>
      <c r="AC541" s="81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56">
        <v>1</v>
      </c>
      <c r="AT541" s="58" t="s">
        <v>646</v>
      </c>
      <c r="AU541" s="206"/>
      <c r="AV541" s="51"/>
      <c r="AW541" s="56"/>
      <c r="AX541" s="12">
        <v>14</v>
      </c>
      <c r="AY541" s="158"/>
      <c r="AZ541" s="158"/>
      <c r="BA541" s="12">
        <v>14</v>
      </c>
      <c r="BB541" s="70"/>
      <c r="BC541" s="70"/>
      <c r="BD541" s="271">
        <v>2018</v>
      </c>
      <c r="BE541" s="271"/>
      <c r="BF541" s="271"/>
    </row>
    <row r="542" spans="1:58" s="204" customFormat="1" ht="18" customHeight="1">
      <c r="A542" s="160" t="s">
        <v>510</v>
      </c>
      <c r="B542" s="58" t="s">
        <v>207</v>
      </c>
      <c r="C542" s="148" t="s">
        <v>861</v>
      </c>
      <c r="D542" s="33" t="s">
        <v>767</v>
      </c>
      <c r="E542" s="33"/>
      <c r="F542" s="33"/>
      <c r="G542" s="33"/>
      <c r="H542" s="30" t="s">
        <v>713</v>
      </c>
      <c r="I542" s="43">
        <v>1905</v>
      </c>
      <c r="J542" s="212">
        <v>42984</v>
      </c>
      <c r="K542" s="81"/>
      <c r="L542" s="81"/>
      <c r="M542" s="81">
        <v>39</v>
      </c>
      <c r="N542" s="81"/>
      <c r="O542" s="81">
        <v>39</v>
      </c>
      <c r="P542" s="81"/>
      <c r="Q542" s="81"/>
      <c r="R542" s="158"/>
      <c r="S542" s="81"/>
      <c r="T542" s="586"/>
      <c r="U542" s="81"/>
      <c r="V542" s="311"/>
      <c r="W542" s="311"/>
      <c r="X542" s="311"/>
      <c r="Y542" s="94"/>
      <c r="Z542" s="81"/>
      <c r="AA542" s="81"/>
      <c r="AB542" s="81"/>
      <c r="AC542" s="81"/>
      <c r="AD542" s="158"/>
      <c r="AE542" s="158">
        <f>P542-T542-Y542</f>
        <v>0</v>
      </c>
      <c r="AF542" s="158"/>
      <c r="AG542" s="94">
        <v>0</v>
      </c>
      <c r="AH542" s="94"/>
      <c r="AI542" s="94"/>
      <c r="AJ542" s="158">
        <f t="shared" ref="AJ542" si="92">AE542+AG542</f>
        <v>0</v>
      </c>
      <c r="AK542" s="158"/>
      <c r="AL542" s="158"/>
      <c r="AM542" s="158"/>
      <c r="AN542" s="158"/>
      <c r="AO542" s="98"/>
      <c r="AP542" s="158">
        <v>39</v>
      </c>
      <c r="AQ542" s="158"/>
      <c r="AR542" s="158"/>
      <c r="AS542" s="98">
        <v>0.88939999999999997</v>
      </c>
      <c r="AT542" s="58" t="s">
        <v>942</v>
      </c>
      <c r="AU542" s="348" t="s">
        <v>1258</v>
      </c>
      <c r="AV542" s="51"/>
      <c r="AW542" s="56"/>
      <c r="AX542" s="56"/>
      <c r="AY542" s="56"/>
      <c r="AZ542" s="56"/>
      <c r="BA542" s="56"/>
      <c r="BB542" s="291"/>
      <c r="BC542" s="291"/>
      <c r="BD542" s="271"/>
      <c r="BE542" s="271">
        <v>2019</v>
      </c>
      <c r="BF542" s="271">
        <v>2020</v>
      </c>
    </row>
    <row r="543" spans="1:58" s="204" customFormat="1" ht="15" hidden="1" customHeight="1">
      <c r="A543" s="160" t="s">
        <v>510</v>
      </c>
      <c r="B543" s="58" t="s">
        <v>216</v>
      </c>
      <c r="C543" s="148" t="s">
        <v>883</v>
      </c>
      <c r="D543" s="33" t="s">
        <v>7</v>
      </c>
      <c r="E543" s="33"/>
      <c r="F543" s="33"/>
      <c r="G543" s="33"/>
      <c r="H543" s="30" t="s">
        <v>713</v>
      </c>
      <c r="I543" s="43"/>
      <c r="J543" s="212"/>
      <c r="K543" s="81"/>
      <c r="L543" s="81"/>
      <c r="M543" s="81"/>
      <c r="N543" s="81"/>
      <c r="O543" s="81"/>
      <c r="P543" s="81"/>
      <c r="Q543" s="81"/>
      <c r="R543" s="158"/>
      <c r="S543" s="81"/>
      <c r="T543" s="586"/>
      <c r="U543" s="81"/>
      <c r="V543" s="311"/>
      <c r="W543" s="311"/>
      <c r="X543" s="311"/>
      <c r="Y543" s="94"/>
      <c r="Z543" s="81"/>
      <c r="AA543" s="81"/>
      <c r="AB543" s="81"/>
      <c r="AC543" s="81"/>
      <c r="AD543" s="158"/>
      <c r="AE543" s="158"/>
      <c r="AF543" s="158"/>
      <c r="AG543" s="158"/>
      <c r="AH543" s="158"/>
      <c r="AI543" s="158"/>
      <c r="AJ543" s="158"/>
      <c r="AK543" s="158"/>
      <c r="AL543" s="158"/>
      <c r="AM543" s="158"/>
      <c r="AN543" s="158"/>
      <c r="AO543" s="158"/>
      <c r="AP543" s="158"/>
      <c r="AQ543" s="158"/>
      <c r="AR543" s="158"/>
      <c r="AS543" s="56">
        <v>1</v>
      </c>
      <c r="AT543" s="58" t="s">
        <v>646</v>
      </c>
      <c r="AU543" s="206"/>
      <c r="AV543" s="51"/>
      <c r="AW543" s="56"/>
      <c r="AX543" s="12">
        <v>38</v>
      </c>
      <c r="AY543" s="158"/>
      <c r="AZ543" s="158"/>
      <c r="BA543" s="158">
        <v>38</v>
      </c>
      <c r="BB543" s="69"/>
      <c r="BC543" s="69"/>
      <c r="BD543" s="271">
        <v>2018</v>
      </c>
      <c r="BE543" s="271"/>
      <c r="BF543" s="271"/>
    </row>
    <row r="544" spans="1:58" s="204" customFormat="1" ht="15" hidden="1" customHeight="1">
      <c r="A544" s="160" t="s">
        <v>510</v>
      </c>
      <c r="B544" s="58" t="s">
        <v>216</v>
      </c>
      <c r="C544" s="148" t="s">
        <v>877</v>
      </c>
      <c r="D544" s="33" t="s">
        <v>7</v>
      </c>
      <c r="E544" s="33"/>
      <c r="F544" s="33"/>
      <c r="G544" s="33"/>
      <c r="H544" s="30" t="s">
        <v>715</v>
      </c>
      <c r="I544" s="43"/>
      <c r="J544" s="212"/>
      <c r="K544" s="81"/>
      <c r="L544" s="81"/>
      <c r="M544" s="81"/>
      <c r="N544" s="81"/>
      <c r="O544" s="81"/>
      <c r="P544" s="81"/>
      <c r="Q544" s="81"/>
      <c r="R544" s="158"/>
      <c r="S544" s="81"/>
      <c r="T544" s="586"/>
      <c r="U544" s="81"/>
      <c r="V544" s="311"/>
      <c r="W544" s="311"/>
      <c r="X544" s="311"/>
      <c r="Y544" s="94"/>
      <c r="Z544" s="81"/>
      <c r="AA544" s="81"/>
      <c r="AB544" s="81"/>
      <c r="AC544" s="81"/>
      <c r="AD544" s="158"/>
      <c r="AE544" s="158"/>
      <c r="AF544" s="158"/>
      <c r="AG544" s="158"/>
      <c r="AH544" s="158"/>
      <c r="AI544" s="158"/>
      <c r="AJ544" s="158"/>
      <c r="AK544" s="158"/>
      <c r="AL544" s="158"/>
      <c r="AM544" s="158"/>
      <c r="AN544" s="158"/>
      <c r="AO544" s="51"/>
      <c r="AP544" s="51"/>
      <c r="AQ544" s="51"/>
      <c r="AR544" s="51"/>
      <c r="AS544" s="56">
        <v>1</v>
      </c>
      <c r="AT544" s="58" t="s">
        <v>646</v>
      </c>
      <c r="AU544" s="206"/>
      <c r="AV544" s="51"/>
      <c r="AW544" s="56"/>
      <c r="AX544" s="51">
        <v>12</v>
      </c>
      <c r="AY544" s="54"/>
      <c r="AZ544" s="54"/>
      <c r="BA544" s="81"/>
      <c r="BB544" s="220">
        <v>12</v>
      </c>
      <c r="BC544" s="220"/>
      <c r="BD544" s="271">
        <v>2018</v>
      </c>
      <c r="BE544" s="271"/>
      <c r="BF544" s="271"/>
    </row>
    <row r="545" spans="1:58" s="204" customFormat="1" ht="25.5" hidden="1" customHeight="1">
      <c r="A545" s="160" t="s">
        <v>510</v>
      </c>
      <c r="B545" s="58" t="s">
        <v>262</v>
      </c>
      <c r="C545" s="148" t="s">
        <v>884</v>
      </c>
      <c r="D545" s="33" t="s">
        <v>862</v>
      </c>
      <c r="E545" s="33"/>
      <c r="F545" s="33"/>
      <c r="G545" s="33"/>
      <c r="H545" s="30" t="s">
        <v>715</v>
      </c>
      <c r="I545" s="301" t="s">
        <v>1688</v>
      </c>
      <c r="J545" s="212">
        <v>43024</v>
      </c>
      <c r="K545" s="81"/>
      <c r="L545" s="81"/>
      <c r="M545" s="81"/>
      <c r="N545" s="81"/>
      <c r="O545" s="81"/>
      <c r="P545" s="158">
        <v>363370500</v>
      </c>
      <c r="Q545" s="81"/>
      <c r="R545" s="158"/>
      <c r="S545" s="81"/>
      <c r="T545" s="586">
        <v>157006523</v>
      </c>
      <c r="U545" s="158"/>
      <c r="V545" s="311"/>
      <c r="W545" s="311"/>
      <c r="X545" s="311"/>
      <c r="Y545" s="94">
        <v>206363977</v>
      </c>
      <c r="Z545" s="81"/>
      <c r="AA545" s="81"/>
      <c r="AB545" s="81"/>
      <c r="AC545" s="81"/>
      <c r="AD545" s="158"/>
      <c r="AE545" s="158">
        <f>P545-T545-Y545</f>
        <v>0</v>
      </c>
      <c r="AF545" s="158"/>
      <c r="AG545" s="158"/>
      <c r="AH545" s="158"/>
      <c r="AI545" s="158"/>
      <c r="AJ545" s="158"/>
      <c r="AK545" s="158">
        <v>877</v>
      </c>
      <c r="AL545" s="158">
        <v>10</v>
      </c>
      <c r="AM545" s="158"/>
      <c r="AN545" s="158"/>
      <c r="AO545" s="51"/>
      <c r="AP545" s="51"/>
      <c r="AQ545" s="51"/>
      <c r="AR545" s="51"/>
      <c r="AS545" s="56">
        <v>1</v>
      </c>
      <c r="AT545" s="58" t="s">
        <v>646</v>
      </c>
      <c r="AU545" s="206"/>
      <c r="AV545" s="51"/>
      <c r="AW545" s="56"/>
      <c r="AX545" s="51">
        <v>6</v>
      </c>
      <c r="AY545" s="51"/>
      <c r="AZ545" s="51"/>
      <c r="BA545" s="51">
        <v>6</v>
      </c>
      <c r="BB545" s="71"/>
      <c r="BC545" s="71"/>
      <c r="BD545" s="271">
        <v>2018</v>
      </c>
      <c r="BE545" s="271"/>
      <c r="BF545" s="271"/>
    </row>
    <row r="546" spans="1:58" s="204" customFormat="1" ht="18" hidden="1" customHeight="1">
      <c r="A546" s="160" t="s">
        <v>510</v>
      </c>
      <c r="B546" s="58" t="s">
        <v>262</v>
      </c>
      <c r="C546" s="148" t="s">
        <v>884</v>
      </c>
      <c r="D546" s="33" t="s">
        <v>862</v>
      </c>
      <c r="E546" s="33"/>
      <c r="F546" s="33"/>
      <c r="G546" s="33"/>
      <c r="H546" s="30" t="s">
        <v>715</v>
      </c>
      <c r="I546" s="301" t="s">
        <v>1688</v>
      </c>
      <c r="J546" s="212">
        <v>43024</v>
      </c>
      <c r="K546" s="81"/>
      <c r="L546" s="81"/>
      <c r="M546" s="81">
        <v>1</v>
      </c>
      <c r="N546" s="81"/>
      <c r="O546" s="81"/>
      <c r="P546" s="158">
        <v>60561750</v>
      </c>
      <c r="Q546" s="81"/>
      <c r="R546" s="158"/>
      <c r="S546" s="81"/>
      <c r="T546" s="586"/>
      <c r="U546" s="81"/>
      <c r="V546" s="311"/>
      <c r="W546" s="311"/>
      <c r="X546" s="311"/>
      <c r="Y546" s="94"/>
      <c r="Z546" s="81"/>
      <c r="AA546" s="81"/>
      <c r="AB546" s="81"/>
      <c r="AC546" s="158">
        <v>60561750</v>
      </c>
      <c r="AD546" s="158"/>
      <c r="AE546" s="158">
        <f>P546-T546-Y546-AC546</f>
        <v>0</v>
      </c>
      <c r="AF546" s="158"/>
      <c r="AG546" s="94">
        <v>0</v>
      </c>
      <c r="AH546" s="94"/>
      <c r="AI546" s="94"/>
      <c r="AJ546" s="158">
        <f t="shared" ref="AJ546" si="93">AE546+AG546</f>
        <v>0</v>
      </c>
      <c r="AK546" s="158">
        <v>877</v>
      </c>
      <c r="AL546" s="158">
        <v>10</v>
      </c>
      <c r="AM546" s="158"/>
      <c r="AN546" s="158"/>
      <c r="AO546" s="98"/>
      <c r="AP546" s="81"/>
      <c r="AQ546" s="81"/>
      <c r="AR546" s="81"/>
      <c r="AS546" s="98">
        <v>0</v>
      </c>
      <c r="AT546" s="58" t="s">
        <v>687</v>
      </c>
      <c r="AU546" s="395" t="s">
        <v>1367</v>
      </c>
      <c r="AV546" s="51"/>
      <c r="AW546" s="56"/>
      <c r="AX546" s="56"/>
      <c r="AY546" s="56"/>
      <c r="AZ546" s="56"/>
      <c r="BA546" s="56"/>
      <c r="BB546" s="291"/>
      <c r="BC546" s="69">
        <v>1</v>
      </c>
      <c r="BD546" s="271" t="s">
        <v>1706</v>
      </c>
      <c r="BE546" s="271">
        <v>2019</v>
      </c>
      <c r="BF546" s="271"/>
    </row>
    <row r="547" spans="1:58" s="204" customFormat="1" ht="15" hidden="1" customHeight="1">
      <c r="A547" s="160" t="s">
        <v>510</v>
      </c>
      <c r="B547" s="58" t="s">
        <v>280</v>
      </c>
      <c r="C547" s="148" t="s">
        <v>863</v>
      </c>
      <c r="D547" s="33" t="s">
        <v>864</v>
      </c>
      <c r="E547" s="33"/>
      <c r="F547" s="33"/>
      <c r="G547" s="33"/>
      <c r="H547" s="30" t="s">
        <v>715</v>
      </c>
      <c r="I547" s="43"/>
      <c r="J547" s="212"/>
      <c r="K547" s="81"/>
      <c r="L547" s="81"/>
      <c r="M547" s="81"/>
      <c r="N547" s="81"/>
      <c r="O547" s="81"/>
      <c r="P547" s="81"/>
      <c r="Q547" s="81"/>
      <c r="R547" s="158"/>
      <c r="S547" s="81"/>
      <c r="T547" s="586"/>
      <c r="U547" s="81"/>
      <c r="V547" s="311"/>
      <c r="W547" s="311"/>
      <c r="X547" s="311"/>
      <c r="Y547" s="94"/>
      <c r="Z547" s="81"/>
      <c r="AA547" s="81"/>
      <c r="AB547" s="81"/>
      <c r="AC547" s="81"/>
      <c r="AD547" s="158"/>
      <c r="AE547" s="158"/>
      <c r="AF547" s="158"/>
      <c r="AG547" s="158"/>
      <c r="AH547" s="158"/>
      <c r="AI547" s="158"/>
      <c r="AJ547" s="158"/>
      <c r="AK547" s="158"/>
      <c r="AL547" s="158"/>
      <c r="AM547" s="158"/>
      <c r="AN547" s="158"/>
      <c r="AO547" s="51"/>
      <c r="AP547" s="51"/>
      <c r="AQ547" s="51"/>
      <c r="AR547" s="51"/>
      <c r="AS547" s="56">
        <v>1</v>
      </c>
      <c r="AT547" s="58" t="s">
        <v>646</v>
      </c>
      <c r="AU547" s="206"/>
      <c r="AV547" s="51"/>
      <c r="AW547" s="56"/>
      <c r="AX547" s="51">
        <v>31</v>
      </c>
      <c r="AY547" s="51"/>
      <c r="AZ547" s="51"/>
      <c r="BA547" s="51">
        <v>31</v>
      </c>
      <c r="BB547" s="71"/>
      <c r="BC547" s="71"/>
      <c r="BD547" s="271">
        <v>2018</v>
      </c>
      <c r="BE547" s="271"/>
      <c r="BF547" s="271"/>
    </row>
    <row r="548" spans="1:58" s="204" customFormat="1" ht="15" hidden="1" customHeight="1">
      <c r="A548" s="160" t="s">
        <v>510</v>
      </c>
      <c r="B548" s="58" t="s">
        <v>280</v>
      </c>
      <c r="C548" s="148" t="s">
        <v>865</v>
      </c>
      <c r="D548" s="33" t="s">
        <v>864</v>
      </c>
      <c r="E548" s="33"/>
      <c r="F548" s="33"/>
      <c r="G548" s="33"/>
      <c r="H548" s="30" t="s">
        <v>715</v>
      </c>
      <c r="I548" s="43"/>
      <c r="J548" s="212"/>
      <c r="K548" s="81"/>
      <c r="L548" s="81"/>
      <c r="M548" s="81"/>
      <c r="N548" s="81"/>
      <c r="O548" s="81"/>
      <c r="P548" s="81"/>
      <c r="Q548" s="81"/>
      <c r="R548" s="158"/>
      <c r="S548" s="81"/>
      <c r="T548" s="586"/>
      <c r="U548" s="81"/>
      <c r="V548" s="311"/>
      <c r="W548" s="311"/>
      <c r="X548" s="311"/>
      <c r="Y548" s="94"/>
      <c r="Z548" s="81"/>
      <c r="AA548" s="81"/>
      <c r="AB548" s="81"/>
      <c r="AC548" s="81"/>
      <c r="AD548" s="158"/>
      <c r="AE548" s="158"/>
      <c r="AF548" s="158"/>
      <c r="AG548" s="158"/>
      <c r="AH548" s="158"/>
      <c r="AI548" s="158"/>
      <c r="AJ548" s="158"/>
      <c r="AK548" s="158"/>
      <c r="AL548" s="158"/>
      <c r="AM548" s="158"/>
      <c r="AN548" s="158"/>
      <c r="AO548" s="51"/>
      <c r="AP548" s="51"/>
      <c r="AQ548" s="51"/>
      <c r="AR548" s="51"/>
      <c r="AS548" s="56">
        <v>1</v>
      </c>
      <c r="AT548" s="58" t="s">
        <v>646</v>
      </c>
      <c r="AU548" s="206"/>
      <c r="AV548" s="51"/>
      <c r="AW548" s="56"/>
      <c r="AX548" s="51">
        <v>11</v>
      </c>
      <c r="AY548" s="51"/>
      <c r="AZ548" s="51"/>
      <c r="BA548" s="51">
        <v>11</v>
      </c>
      <c r="BB548" s="71"/>
      <c r="BC548" s="71"/>
      <c r="BD548" s="271">
        <v>2018</v>
      </c>
      <c r="BE548" s="271"/>
      <c r="BF548" s="271"/>
    </row>
    <row r="549" spans="1:58" s="204" customFormat="1" ht="15" hidden="1" customHeight="1">
      <c r="A549" s="160" t="s">
        <v>510</v>
      </c>
      <c r="B549" s="58" t="s">
        <v>280</v>
      </c>
      <c r="C549" s="148" t="s">
        <v>866</v>
      </c>
      <c r="D549" s="33" t="s">
        <v>862</v>
      </c>
      <c r="E549" s="33"/>
      <c r="F549" s="33"/>
      <c r="G549" s="33"/>
      <c r="H549" s="30" t="s">
        <v>715</v>
      </c>
      <c r="I549" s="43"/>
      <c r="J549" s="212"/>
      <c r="K549" s="81"/>
      <c r="L549" s="81"/>
      <c r="M549" s="81"/>
      <c r="N549" s="81"/>
      <c r="O549" s="81"/>
      <c r="P549" s="81"/>
      <c r="Q549" s="81"/>
      <c r="R549" s="158"/>
      <c r="S549" s="81"/>
      <c r="T549" s="586"/>
      <c r="U549" s="81"/>
      <c r="V549" s="311"/>
      <c r="W549" s="311"/>
      <c r="X549" s="311"/>
      <c r="Y549" s="94"/>
      <c r="Z549" s="81"/>
      <c r="AA549" s="81"/>
      <c r="AB549" s="81"/>
      <c r="AC549" s="81"/>
      <c r="AD549" s="158"/>
      <c r="AE549" s="158"/>
      <c r="AF549" s="158"/>
      <c r="AG549" s="158"/>
      <c r="AH549" s="158"/>
      <c r="AI549" s="158"/>
      <c r="AJ549" s="158"/>
      <c r="AK549" s="158"/>
      <c r="AL549" s="158"/>
      <c r="AM549" s="158"/>
      <c r="AN549" s="158"/>
      <c r="AO549" s="51"/>
      <c r="AP549" s="51"/>
      <c r="AQ549" s="51"/>
      <c r="AR549" s="51"/>
      <c r="AS549" s="56">
        <v>1</v>
      </c>
      <c r="AT549" s="58" t="s">
        <v>646</v>
      </c>
      <c r="AU549" s="206"/>
      <c r="AV549" s="51"/>
      <c r="AW549" s="56"/>
      <c r="AX549" s="51">
        <v>34</v>
      </c>
      <c r="AY549" s="51"/>
      <c r="AZ549" s="51"/>
      <c r="BA549" s="51"/>
      <c r="BB549" s="71">
        <v>34</v>
      </c>
      <c r="BC549" s="71"/>
      <c r="BD549" s="271">
        <v>2018</v>
      </c>
      <c r="BE549" s="271"/>
      <c r="BF549" s="271"/>
    </row>
    <row r="550" spans="1:58" s="204" customFormat="1" ht="15" hidden="1" customHeight="1">
      <c r="A550" s="160" t="s">
        <v>510</v>
      </c>
      <c r="B550" s="58" t="s">
        <v>280</v>
      </c>
      <c r="C550" s="148" t="s">
        <v>867</v>
      </c>
      <c r="D550" s="33" t="s">
        <v>864</v>
      </c>
      <c r="E550" s="33"/>
      <c r="F550" s="33"/>
      <c r="G550" s="33"/>
      <c r="H550" s="30" t="s">
        <v>715</v>
      </c>
      <c r="I550" s="43"/>
      <c r="J550" s="212"/>
      <c r="K550" s="81"/>
      <c r="L550" s="81"/>
      <c r="M550" s="81"/>
      <c r="N550" s="81"/>
      <c r="O550" s="81"/>
      <c r="P550" s="81"/>
      <c r="Q550" s="81"/>
      <c r="R550" s="158"/>
      <c r="S550" s="81"/>
      <c r="T550" s="586"/>
      <c r="U550" s="81"/>
      <c r="V550" s="311"/>
      <c r="W550" s="311"/>
      <c r="X550" s="311"/>
      <c r="Y550" s="94"/>
      <c r="Z550" s="81"/>
      <c r="AA550" s="81"/>
      <c r="AB550" s="81"/>
      <c r="AC550" s="81"/>
      <c r="AD550" s="158"/>
      <c r="AE550" s="158"/>
      <c r="AF550" s="158"/>
      <c r="AG550" s="158"/>
      <c r="AH550" s="158"/>
      <c r="AI550" s="158"/>
      <c r="AJ550" s="158"/>
      <c r="AK550" s="158"/>
      <c r="AL550" s="158"/>
      <c r="AM550" s="158"/>
      <c r="AN550" s="158"/>
      <c r="AO550" s="51"/>
      <c r="AP550" s="51"/>
      <c r="AQ550" s="51"/>
      <c r="AR550" s="51"/>
      <c r="AS550" s="56">
        <v>1</v>
      </c>
      <c r="AT550" s="58" t="s">
        <v>646</v>
      </c>
      <c r="AU550" s="206"/>
      <c r="AV550" s="51"/>
      <c r="AW550" s="56"/>
      <c r="AX550" s="51">
        <v>42</v>
      </c>
      <c r="AY550" s="51"/>
      <c r="AZ550" s="51"/>
      <c r="BA550" s="54"/>
      <c r="BB550" s="69">
        <f>+AX550</f>
        <v>42</v>
      </c>
      <c r="BC550" s="69"/>
      <c r="BD550" s="271">
        <v>2018</v>
      </c>
      <c r="BE550" s="271"/>
      <c r="BF550" s="271"/>
    </row>
    <row r="551" spans="1:58" s="204" customFormat="1" ht="15" hidden="1" customHeight="1">
      <c r="A551" s="160" t="s">
        <v>510</v>
      </c>
      <c r="B551" s="58" t="s">
        <v>280</v>
      </c>
      <c r="C551" s="148" t="s">
        <v>868</v>
      </c>
      <c r="D551" s="33" t="s">
        <v>864</v>
      </c>
      <c r="E551" s="33"/>
      <c r="F551" s="33"/>
      <c r="G551" s="33"/>
      <c r="H551" s="30" t="s">
        <v>715</v>
      </c>
      <c r="I551" s="43"/>
      <c r="J551" s="212"/>
      <c r="K551" s="81"/>
      <c r="L551" s="81"/>
      <c r="M551" s="81"/>
      <c r="N551" s="81"/>
      <c r="O551" s="81"/>
      <c r="P551" s="81"/>
      <c r="Q551" s="81"/>
      <c r="R551" s="158"/>
      <c r="S551" s="81"/>
      <c r="T551" s="586"/>
      <c r="U551" s="81"/>
      <c r="V551" s="311"/>
      <c r="W551" s="311"/>
      <c r="X551" s="311"/>
      <c r="Y551" s="94"/>
      <c r="Z551" s="81"/>
      <c r="AA551" s="81"/>
      <c r="AB551" s="81"/>
      <c r="AC551" s="81"/>
      <c r="AD551" s="158"/>
      <c r="AE551" s="158"/>
      <c r="AF551" s="158"/>
      <c r="AG551" s="158"/>
      <c r="AH551" s="158"/>
      <c r="AI551" s="158"/>
      <c r="AJ551" s="158"/>
      <c r="AK551" s="158"/>
      <c r="AL551" s="158"/>
      <c r="AM551" s="158"/>
      <c r="AN551" s="158"/>
      <c r="AO551" s="51"/>
      <c r="AP551" s="51"/>
      <c r="AQ551" s="51"/>
      <c r="AR551" s="51"/>
      <c r="AS551" s="56">
        <v>1</v>
      </c>
      <c r="AT551" s="58" t="s">
        <v>646</v>
      </c>
      <c r="AU551" s="206"/>
      <c r="AV551" s="51"/>
      <c r="AW551" s="56"/>
      <c r="AX551" s="51">
        <v>34</v>
      </c>
      <c r="AY551" s="51"/>
      <c r="AZ551" s="51"/>
      <c r="BA551" s="51">
        <v>34</v>
      </c>
      <c r="BB551" s="71"/>
      <c r="BC551" s="71"/>
      <c r="BD551" s="271">
        <v>2018</v>
      </c>
      <c r="BE551" s="271"/>
      <c r="BF551" s="271"/>
    </row>
    <row r="552" spans="1:58" s="204" customFormat="1" ht="15" hidden="1" customHeight="1">
      <c r="A552" s="160" t="s">
        <v>510</v>
      </c>
      <c r="B552" s="58" t="s">
        <v>280</v>
      </c>
      <c r="C552" s="148" t="s">
        <v>869</v>
      </c>
      <c r="D552" s="33" t="s">
        <v>870</v>
      </c>
      <c r="E552" s="33"/>
      <c r="F552" s="33"/>
      <c r="G552" s="33"/>
      <c r="H552" s="30" t="s">
        <v>715</v>
      </c>
      <c r="I552" s="43"/>
      <c r="J552" s="212"/>
      <c r="K552" s="81"/>
      <c r="L552" s="81"/>
      <c r="M552" s="81"/>
      <c r="N552" s="81"/>
      <c r="O552" s="81"/>
      <c r="P552" s="81"/>
      <c r="Q552" s="81"/>
      <c r="R552" s="158"/>
      <c r="S552" s="81"/>
      <c r="T552" s="586"/>
      <c r="U552" s="81"/>
      <c r="V552" s="311"/>
      <c r="W552" s="311"/>
      <c r="X552" s="311"/>
      <c r="Y552" s="94"/>
      <c r="Z552" s="81"/>
      <c r="AA552" s="81"/>
      <c r="AB552" s="81"/>
      <c r="AC552" s="81"/>
      <c r="AD552" s="158"/>
      <c r="AE552" s="158"/>
      <c r="AF552" s="158"/>
      <c r="AG552" s="158"/>
      <c r="AH552" s="158"/>
      <c r="AI552" s="158"/>
      <c r="AJ552" s="158"/>
      <c r="AK552" s="158"/>
      <c r="AL552" s="158"/>
      <c r="AM552" s="158"/>
      <c r="AN552" s="158"/>
      <c r="AO552" s="51"/>
      <c r="AP552" s="51"/>
      <c r="AQ552" s="51"/>
      <c r="AR552" s="51"/>
      <c r="AS552" s="56">
        <v>1</v>
      </c>
      <c r="AT552" s="58" t="s">
        <v>646</v>
      </c>
      <c r="AU552" s="206"/>
      <c r="AV552" s="51"/>
      <c r="AW552" s="56"/>
      <c r="AX552" s="51">
        <v>24</v>
      </c>
      <c r="AY552" s="51"/>
      <c r="AZ552" s="51"/>
      <c r="BA552" s="51">
        <v>24</v>
      </c>
      <c r="BB552" s="71"/>
      <c r="BC552" s="71"/>
      <c r="BD552" s="271">
        <v>2018</v>
      </c>
      <c r="BE552" s="271"/>
      <c r="BF552" s="271"/>
    </row>
    <row r="553" spans="1:58" s="204" customFormat="1" ht="15" hidden="1" customHeight="1">
      <c r="A553" s="160" t="s">
        <v>510</v>
      </c>
      <c r="B553" s="58" t="s">
        <v>280</v>
      </c>
      <c r="C553" s="148" t="s">
        <v>869</v>
      </c>
      <c r="D553" s="33" t="s">
        <v>870</v>
      </c>
      <c r="E553" s="33"/>
      <c r="F553" s="33"/>
      <c r="G553" s="33"/>
      <c r="H553" s="30" t="s">
        <v>715</v>
      </c>
      <c r="I553" s="43"/>
      <c r="J553" s="212"/>
      <c r="K553" s="81"/>
      <c r="L553" s="81"/>
      <c r="M553" s="81"/>
      <c r="N553" s="81"/>
      <c r="O553" s="81"/>
      <c r="P553" s="81"/>
      <c r="Q553" s="81"/>
      <c r="R553" s="158"/>
      <c r="S553" s="81"/>
      <c r="T553" s="586"/>
      <c r="U553" s="81"/>
      <c r="V553" s="311"/>
      <c r="W553" s="311"/>
      <c r="X553" s="311"/>
      <c r="Y553" s="94"/>
      <c r="Z553" s="81"/>
      <c r="AA553" s="81"/>
      <c r="AB553" s="81"/>
      <c r="AC553" s="81"/>
      <c r="AD553" s="158"/>
      <c r="AE553" s="158"/>
      <c r="AF553" s="158"/>
      <c r="AG553" s="158"/>
      <c r="AH553" s="158"/>
      <c r="AI553" s="158"/>
      <c r="AJ553" s="158"/>
      <c r="AK553" s="158"/>
      <c r="AL553" s="158"/>
      <c r="AM553" s="158"/>
      <c r="AN553" s="158"/>
      <c r="AO553" s="51"/>
      <c r="AP553" s="51"/>
      <c r="AQ553" s="51"/>
      <c r="AR553" s="51"/>
      <c r="AS553" s="56">
        <v>1</v>
      </c>
      <c r="AT553" s="58" t="s">
        <v>646</v>
      </c>
      <c r="AU553" s="206"/>
      <c r="AV553" s="51"/>
      <c r="AW553" s="56"/>
      <c r="AX553" s="51">
        <v>1</v>
      </c>
      <c r="AY553" s="51"/>
      <c r="AZ553" s="51"/>
      <c r="BA553" s="51">
        <v>1</v>
      </c>
      <c r="BB553" s="71"/>
      <c r="BC553" s="71"/>
      <c r="BD553" s="271">
        <v>2018</v>
      </c>
      <c r="BE553" s="271"/>
      <c r="BF553" s="271"/>
    </row>
    <row r="554" spans="1:58" s="204" customFormat="1" ht="15" hidden="1" customHeight="1">
      <c r="A554" s="160" t="s">
        <v>510</v>
      </c>
      <c r="B554" s="58" t="s">
        <v>280</v>
      </c>
      <c r="C554" s="148" t="s">
        <v>878</v>
      </c>
      <c r="D554" s="33" t="s">
        <v>870</v>
      </c>
      <c r="E554" s="33"/>
      <c r="F554" s="33"/>
      <c r="G554" s="33"/>
      <c r="H554" s="30" t="s">
        <v>715</v>
      </c>
      <c r="I554" s="43"/>
      <c r="J554" s="212"/>
      <c r="K554" s="81"/>
      <c r="L554" s="81"/>
      <c r="M554" s="81"/>
      <c r="N554" s="81"/>
      <c r="O554" s="81"/>
      <c r="P554" s="81"/>
      <c r="Q554" s="81"/>
      <c r="R554" s="158"/>
      <c r="S554" s="81"/>
      <c r="T554" s="586"/>
      <c r="U554" s="81"/>
      <c r="V554" s="311"/>
      <c r="W554" s="311"/>
      <c r="X554" s="311"/>
      <c r="Y554" s="94"/>
      <c r="Z554" s="81"/>
      <c r="AA554" s="81"/>
      <c r="AB554" s="81"/>
      <c r="AC554" s="81"/>
      <c r="AD554" s="158"/>
      <c r="AE554" s="158"/>
      <c r="AF554" s="158"/>
      <c r="AG554" s="158"/>
      <c r="AH554" s="158"/>
      <c r="AI554" s="158"/>
      <c r="AJ554" s="158"/>
      <c r="AK554" s="158"/>
      <c r="AL554" s="158"/>
      <c r="AM554" s="158"/>
      <c r="AN554" s="158"/>
      <c r="AO554" s="51"/>
      <c r="AP554" s="51"/>
      <c r="AQ554" s="51"/>
      <c r="AR554" s="51"/>
      <c r="AS554" s="56">
        <v>1</v>
      </c>
      <c r="AT554" s="58" t="s">
        <v>646</v>
      </c>
      <c r="AU554" s="206"/>
      <c r="AV554" s="51"/>
      <c r="AW554" s="56"/>
      <c r="AX554" s="51">
        <v>17</v>
      </c>
      <c r="AY554" s="51"/>
      <c r="AZ554" s="51"/>
      <c r="BA554" s="51">
        <v>17</v>
      </c>
      <c r="BB554" s="71"/>
      <c r="BC554" s="71"/>
      <c r="BD554" s="271">
        <v>2018</v>
      </c>
      <c r="BE554" s="271"/>
      <c r="BF554" s="271"/>
    </row>
    <row r="555" spans="1:58" s="204" customFormat="1" ht="15" hidden="1" customHeight="1">
      <c r="A555" s="160" t="s">
        <v>510</v>
      </c>
      <c r="B555" s="58" t="s">
        <v>280</v>
      </c>
      <c r="C555" s="148" t="s">
        <v>878</v>
      </c>
      <c r="D555" s="33" t="s">
        <v>870</v>
      </c>
      <c r="E555" s="33"/>
      <c r="F555" s="33"/>
      <c r="G555" s="33"/>
      <c r="H555" s="30" t="s">
        <v>715</v>
      </c>
      <c r="I555" s="43"/>
      <c r="J555" s="212"/>
      <c r="K555" s="81"/>
      <c r="L555" s="81"/>
      <c r="M555" s="81"/>
      <c r="N555" s="81"/>
      <c r="O555" s="81"/>
      <c r="P555" s="81"/>
      <c r="Q555" s="81"/>
      <c r="R555" s="158"/>
      <c r="S555" s="81"/>
      <c r="T555" s="586"/>
      <c r="U555" s="81"/>
      <c r="V555" s="311"/>
      <c r="W555" s="311"/>
      <c r="X555" s="311"/>
      <c r="Y555" s="94"/>
      <c r="Z555" s="81"/>
      <c r="AA555" s="81"/>
      <c r="AB555" s="81"/>
      <c r="AC555" s="81"/>
      <c r="AD555" s="158"/>
      <c r="AE555" s="158"/>
      <c r="AF555" s="158"/>
      <c r="AG555" s="158"/>
      <c r="AH555" s="158"/>
      <c r="AI555" s="158"/>
      <c r="AJ555" s="158"/>
      <c r="AK555" s="158"/>
      <c r="AL555" s="158"/>
      <c r="AM555" s="158"/>
      <c r="AN555" s="158"/>
      <c r="AO555" s="51"/>
      <c r="AP555" s="51"/>
      <c r="AQ555" s="51"/>
      <c r="AR555" s="51"/>
      <c r="AS555" s="56">
        <v>1</v>
      </c>
      <c r="AT555" s="58" t="s">
        <v>646</v>
      </c>
      <c r="AU555" s="206"/>
      <c r="AV555" s="51"/>
      <c r="AW555" s="56"/>
      <c r="AX555" s="51">
        <v>1</v>
      </c>
      <c r="AY555" s="51"/>
      <c r="AZ555" s="51"/>
      <c r="BA555" s="51">
        <v>1</v>
      </c>
      <c r="BB555" s="71"/>
      <c r="BC555" s="71"/>
      <c r="BD555" s="271">
        <v>2018</v>
      </c>
      <c r="BE555" s="271"/>
      <c r="BF555" s="271"/>
    </row>
    <row r="556" spans="1:58" s="204" customFormat="1" ht="18" hidden="1" customHeight="1">
      <c r="A556" s="160" t="s">
        <v>510</v>
      </c>
      <c r="B556" s="58" t="s">
        <v>197</v>
      </c>
      <c r="C556" s="148" t="s">
        <v>879</v>
      </c>
      <c r="D556" s="33" t="s">
        <v>871</v>
      </c>
      <c r="E556" s="33"/>
      <c r="F556" s="33"/>
      <c r="G556" s="33"/>
      <c r="H556" s="30" t="s">
        <v>715</v>
      </c>
      <c r="I556" s="43">
        <v>2525</v>
      </c>
      <c r="J556" s="212">
        <v>43045</v>
      </c>
      <c r="K556" s="81"/>
      <c r="L556" s="81">
        <v>28</v>
      </c>
      <c r="M556" s="81"/>
      <c r="N556" s="81"/>
      <c r="O556" s="81"/>
      <c r="P556" s="81"/>
      <c r="Q556" s="81"/>
      <c r="R556" s="158"/>
      <c r="S556" s="81"/>
      <c r="T556" s="586"/>
      <c r="U556" s="81"/>
      <c r="V556" s="311"/>
      <c r="W556" s="311"/>
      <c r="X556" s="311"/>
      <c r="Y556" s="94"/>
      <c r="Z556" s="81"/>
      <c r="AA556" s="81"/>
      <c r="AB556" s="81"/>
      <c r="AC556" s="81"/>
      <c r="AD556" s="158"/>
      <c r="AE556" s="158">
        <f>P556-T556-Y556</f>
        <v>0</v>
      </c>
      <c r="AF556" s="158"/>
      <c r="AG556" s="94">
        <v>0</v>
      </c>
      <c r="AH556" s="94"/>
      <c r="AI556" s="94"/>
      <c r="AJ556" s="158">
        <f t="shared" ref="AJ556" si="94">AE556+AG556</f>
        <v>0</v>
      </c>
      <c r="AK556" s="158"/>
      <c r="AL556" s="158"/>
      <c r="AM556" s="158"/>
      <c r="AN556" s="158"/>
      <c r="AO556" s="81"/>
      <c r="AP556" s="81"/>
      <c r="AQ556" s="81"/>
      <c r="AR556" s="81"/>
      <c r="AS556" s="98">
        <v>1</v>
      </c>
      <c r="AT556" s="58" t="s">
        <v>646</v>
      </c>
      <c r="AU556" s="348"/>
      <c r="AV556" s="51"/>
      <c r="AW556" s="56"/>
      <c r="AX556" s="56"/>
      <c r="AY556" s="81">
        <v>28</v>
      </c>
      <c r="AZ556" s="81"/>
      <c r="BA556" s="81"/>
      <c r="BB556" s="220">
        <v>28</v>
      </c>
      <c r="BC556" s="220"/>
      <c r="BD556" s="271">
        <v>2019</v>
      </c>
      <c r="BE556" s="271">
        <v>2019</v>
      </c>
      <c r="BF556" s="271"/>
    </row>
    <row r="557" spans="1:58" s="204" customFormat="1" ht="15" hidden="1" customHeight="1">
      <c r="A557" s="160" t="s">
        <v>510</v>
      </c>
      <c r="B557" s="58" t="s">
        <v>197</v>
      </c>
      <c r="C557" s="148" t="s">
        <v>880</v>
      </c>
      <c r="D557" s="33" t="s">
        <v>864</v>
      </c>
      <c r="E557" s="33"/>
      <c r="F557" s="33"/>
      <c r="G557" s="33"/>
      <c r="H557" s="30" t="s">
        <v>715</v>
      </c>
      <c r="I557" s="43"/>
      <c r="J557" s="212"/>
      <c r="K557" s="81"/>
      <c r="L557" s="81"/>
      <c r="M557" s="81"/>
      <c r="N557" s="81"/>
      <c r="O557" s="81"/>
      <c r="P557" s="81"/>
      <c r="Q557" s="81"/>
      <c r="R557" s="158"/>
      <c r="S557" s="81"/>
      <c r="T557" s="586"/>
      <c r="U557" s="81"/>
      <c r="V557" s="311"/>
      <c r="W557" s="311"/>
      <c r="X557" s="311"/>
      <c r="Y557" s="94"/>
      <c r="Z557" s="81"/>
      <c r="AA557" s="81"/>
      <c r="AB557" s="81"/>
      <c r="AC557" s="81"/>
      <c r="AD557" s="158"/>
      <c r="AE557" s="158"/>
      <c r="AF557" s="158"/>
      <c r="AG557" s="158"/>
      <c r="AH557" s="158"/>
      <c r="AI557" s="158"/>
      <c r="AJ557" s="158"/>
      <c r="AK557" s="158"/>
      <c r="AL557" s="158"/>
      <c r="AM557" s="158"/>
      <c r="AN557" s="158"/>
      <c r="AO557" s="51"/>
      <c r="AP557" s="51"/>
      <c r="AQ557" s="51"/>
      <c r="AR557" s="51"/>
      <c r="AS557" s="56">
        <v>1</v>
      </c>
      <c r="AT557" s="58" t="s">
        <v>646</v>
      </c>
      <c r="AU557" s="206"/>
      <c r="AV557" s="51"/>
      <c r="AW557" s="56"/>
      <c r="AX557" s="51">
        <v>20</v>
      </c>
      <c r="AY557" s="51"/>
      <c r="AZ557" s="51"/>
      <c r="BA557" s="51">
        <v>20</v>
      </c>
      <c r="BB557" s="71"/>
      <c r="BC557" s="71"/>
      <c r="BD557" s="271">
        <v>2018</v>
      </c>
      <c r="BE557" s="271"/>
      <c r="BF557" s="271"/>
    </row>
    <row r="558" spans="1:58" s="204" customFormat="1" ht="18" hidden="1" customHeight="1">
      <c r="A558" s="160" t="s">
        <v>510</v>
      </c>
      <c r="B558" s="58" t="s">
        <v>280</v>
      </c>
      <c r="C558" s="148" t="s">
        <v>885</v>
      </c>
      <c r="D558" s="33" t="s">
        <v>743</v>
      </c>
      <c r="E558" s="33"/>
      <c r="F558" s="33"/>
      <c r="G558" s="33"/>
      <c r="H558" s="30" t="s">
        <v>720</v>
      </c>
      <c r="I558" s="43">
        <v>3032</v>
      </c>
      <c r="J558" s="212">
        <v>43091</v>
      </c>
      <c r="K558" s="81"/>
      <c r="L558" s="81">
        <v>64</v>
      </c>
      <c r="M558" s="81"/>
      <c r="N558" s="81"/>
      <c r="O558" s="81"/>
      <c r="P558" s="81"/>
      <c r="Q558" s="81"/>
      <c r="R558" s="158"/>
      <c r="S558" s="81"/>
      <c r="T558" s="586"/>
      <c r="U558" s="81"/>
      <c r="V558" s="311"/>
      <c r="W558" s="311"/>
      <c r="X558" s="311"/>
      <c r="Y558" s="94"/>
      <c r="Z558" s="81"/>
      <c r="AA558" s="81"/>
      <c r="AB558" s="81"/>
      <c r="AC558" s="81"/>
      <c r="AD558" s="158"/>
      <c r="AE558" s="158">
        <f t="shared" ref="AE558:AE568" si="95">P558-T558-Y558</f>
        <v>0</v>
      </c>
      <c r="AF558" s="158"/>
      <c r="AG558" s="94">
        <v>0</v>
      </c>
      <c r="AH558" s="94"/>
      <c r="AI558" s="94"/>
      <c r="AJ558" s="158">
        <f t="shared" ref="AJ558:AJ606" si="96">AE558+AG558</f>
        <v>0</v>
      </c>
      <c r="AK558" s="158"/>
      <c r="AL558" s="158"/>
      <c r="AM558" s="158"/>
      <c r="AN558" s="158"/>
      <c r="AO558" s="81"/>
      <c r="AP558" s="81"/>
      <c r="AQ558" s="81"/>
      <c r="AR558" s="81"/>
      <c r="AS558" s="98">
        <v>1</v>
      </c>
      <c r="AT558" s="58" t="s">
        <v>646</v>
      </c>
      <c r="AU558" s="348"/>
      <c r="AV558" s="51"/>
      <c r="AW558" s="56"/>
      <c r="AX558" s="56"/>
      <c r="AY558" s="81">
        <v>64</v>
      </c>
      <c r="AZ558" s="81"/>
      <c r="BA558" s="81"/>
      <c r="BB558" s="220">
        <v>64</v>
      </c>
      <c r="BC558" s="220"/>
      <c r="BD558" s="271">
        <v>2019</v>
      </c>
      <c r="BE558" s="271">
        <v>2019</v>
      </c>
      <c r="BF558" s="271"/>
    </row>
    <row r="559" spans="1:58" s="204" customFormat="1" ht="18" hidden="1" customHeight="1">
      <c r="A559" s="160" t="s">
        <v>510</v>
      </c>
      <c r="B559" s="58" t="s">
        <v>262</v>
      </c>
      <c r="C559" s="148" t="s">
        <v>872</v>
      </c>
      <c r="D559" s="33" t="s">
        <v>743</v>
      </c>
      <c r="E559" s="33"/>
      <c r="F559" s="33"/>
      <c r="G559" s="33"/>
      <c r="H559" s="30" t="s">
        <v>720</v>
      </c>
      <c r="I559" s="43">
        <v>3034</v>
      </c>
      <c r="J559" s="212">
        <v>43091</v>
      </c>
      <c r="K559" s="81"/>
      <c r="L559" s="81">
        <v>15</v>
      </c>
      <c r="M559" s="81"/>
      <c r="N559" s="81"/>
      <c r="O559" s="81"/>
      <c r="P559" s="81"/>
      <c r="Q559" s="81"/>
      <c r="R559" s="158"/>
      <c r="S559" s="81"/>
      <c r="T559" s="586"/>
      <c r="U559" s="81"/>
      <c r="V559" s="311"/>
      <c r="W559" s="311"/>
      <c r="X559" s="311"/>
      <c r="Y559" s="94"/>
      <c r="Z559" s="81"/>
      <c r="AA559" s="81"/>
      <c r="AB559" s="81"/>
      <c r="AC559" s="81"/>
      <c r="AD559" s="158"/>
      <c r="AE559" s="158">
        <f t="shared" si="95"/>
        <v>0</v>
      </c>
      <c r="AF559" s="158"/>
      <c r="AG559" s="94">
        <v>0</v>
      </c>
      <c r="AH559" s="94"/>
      <c r="AI559" s="94"/>
      <c r="AJ559" s="158">
        <f t="shared" si="96"/>
        <v>0</v>
      </c>
      <c r="AK559" s="158"/>
      <c r="AL559" s="158"/>
      <c r="AM559" s="158"/>
      <c r="AN559" s="158"/>
      <c r="AO559" s="81"/>
      <c r="AP559" s="81"/>
      <c r="AQ559" s="81"/>
      <c r="AR559" s="81"/>
      <c r="AS559" s="98">
        <v>1</v>
      </c>
      <c r="AT559" s="58" t="s">
        <v>646</v>
      </c>
      <c r="AU559" s="348"/>
      <c r="AV559" s="51"/>
      <c r="AW559" s="56"/>
      <c r="AX559" s="56"/>
      <c r="AY559" s="81">
        <v>15</v>
      </c>
      <c r="AZ559" s="81"/>
      <c r="BA559" s="81"/>
      <c r="BB559" s="220">
        <v>15</v>
      </c>
      <c r="BC559" s="220"/>
      <c r="BD559" s="271">
        <v>2019</v>
      </c>
      <c r="BE559" s="271">
        <v>2019</v>
      </c>
      <c r="BF559" s="271"/>
    </row>
    <row r="560" spans="1:58" s="204" customFormat="1" ht="18" hidden="1" customHeight="1">
      <c r="A560" s="160" t="s">
        <v>510</v>
      </c>
      <c r="B560" s="58" t="s">
        <v>280</v>
      </c>
      <c r="C560" s="148" t="s">
        <v>873</v>
      </c>
      <c r="D560" s="33" t="s">
        <v>870</v>
      </c>
      <c r="E560" s="33"/>
      <c r="F560" s="33"/>
      <c r="G560" s="33"/>
      <c r="H560" s="30" t="s">
        <v>720</v>
      </c>
      <c r="I560" s="43">
        <v>3035</v>
      </c>
      <c r="J560" s="212">
        <v>43091</v>
      </c>
      <c r="K560" s="81">
        <v>56</v>
      </c>
      <c r="L560" s="81">
        <v>56</v>
      </c>
      <c r="M560" s="81"/>
      <c r="N560" s="81"/>
      <c r="O560" s="81"/>
      <c r="P560" s="81"/>
      <c r="Q560" s="81"/>
      <c r="R560" s="158"/>
      <c r="S560" s="81"/>
      <c r="T560" s="586"/>
      <c r="U560" s="81"/>
      <c r="V560" s="311"/>
      <c r="W560" s="311"/>
      <c r="X560" s="311"/>
      <c r="Y560" s="94"/>
      <c r="Z560" s="81"/>
      <c r="AA560" s="81"/>
      <c r="AB560" s="81"/>
      <c r="AC560" s="81"/>
      <c r="AD560" s="158"/>
      <c r="AE560" s="158">
        <f t="shared" si="95"/>
        <v>0</v>
      </c>
      <c r="AF560" s="158"/>
      <c r="AG560" s="94">
        <v>0</v>
      </c>
      <c r="AH560" s="94"/>
      <c r="AI560" s="94"/>
      <c r="AJ560" s="158">
        <f t="shared" si="96"/>
        <v>0</v>
      </c>
      <c r="AK560" s="158"/>
      <c r="AL560" s="158"/>
      <c r="AM560" s="158"/>
      <c r="AN560" s="158"/>
      <c r="AO560" s="81"/>
      <c r="AP560" s="81"/>
      <c r="AQ560" s="81"/>
      <c r="AR560" s="81"/>
      <c r="AS560" s="98">
        <v>1</v>
      </c>
      <c r="AT560" s="58" t="s">
        <v>646</v>
      </c>
      <c r="AU560" s="348"/>
      <c r="AV560" s="51"/>
      <c r="AW560" s="56"/>
      <c r="AX560" s="56"/>
      <c r="AY560" s="81">
        <v>56</v>
      </c>
      <c r="AZ560" s="81"/>
      <c r="BA560" s="81"/>
      <c r="BB560" s="220">
        <v>56</v>
      </c>
      <c r="BC560" s="220"/>
      <c r="BD560" s="271">
        <v>2019</v>
      </c>
      <c r="BE560" s="271">
        <v>2019</v>
      </c>
      <c r="BF560" s="271"/>
    </row>
    <row r="561" spans="1:58" s="204" customFormat="1" ht="18" hidden="1" customHeight="1">
      <c r="A561" s="160" t="s">
        <v>510</v>
      </c>
      <c r="B561" s="58" t="s">
        <v>280</v>
      </c>
      <c r="C561" s="148" t="s">
        <v>873</v>
      </c>
      <c r="D561" s="33" t="s">
        <v>870</v>
      </c>
      <c r="E561" s="33"/>
      <c r="F561" s="33"/>
      <c r="G561" s="33"/>
      <c r="H561" s="30" t="s">
        <v>720</v>
      </c>
      <c r="I561" s="115" t="s">
        <v>1681</v>
      </c>
      <c r="J561" s="215" t="s">
        <v>1475</v>
      </c>
      <c r="K561" s="81"/>
      <c r="L561" s="81">
        <v>1</v>
      </c>
      <c r="M561" s="81"/>
      <c r="N561" s="81"/>
      <c r="O561" s="81"/>
      <c r="P561" s="158">
        <v>62026130</v>
      </c>
      <c r="Q561" s="81"/>
      <c r="R561" s="158"/>
      <c r="S561" s="81"/>
      <c r="T561" s="586">
        <v>26118186</v>
      </c>
      <c r="U561" s="81">
        <v>10</v>
      </c>
      <c r="V561" s="311"/>
      <c r="W561" s="311"/>
      <c r="X561" s="311"/>
      <c r="Y561" s="94">
        <v>35907944</v>
      </c>
      <c r="Z561" s="81">
        <v>10</v>
      </c>
      <c r="AA561" s="311">
        <v>43586</v>
      </c>
      <c r="AB561" s="311"/>
      <c r="AC561" s="81"/>
      <c r="AD561" s="158"/>
      <c r="AE561" s="158">
        <f t="shared" si="95"/>
        <v>0</v>
      </c>
      <c r="AF561" s="158"/>
      <c r="AG561" s="94">
        <v>0</v>
      </c>
      <c r="AH561" s="94"/>
      <c r="AI561" s="94"/>
      <c r="AJ561" s="158">
        <f t="shared" si="96"/>
        <v>0</v>
      </c>
      <c r="AK561" s="158">
        <v>877</v>
      </c>
      <c r="AL561" s="158">
        <v>10</v>
      </c>
      <c r="AM561" s="158"/>
      <c r="AN561" s="158"/>
      <c r="AO561" s="81"/>
      <c r="AP561" s="81"/>
      <c r="AQ561" s="81"/>
      <c r="AR561" s="81"/>
      <c r="AS561" s="98">
        <v>1</v>
      </c>
      <c r="AT561" s="58" t="s">
        <v>646</v>
      </c>
      <c r="AU561" s="348"/>
      <c r="AV561" s="51"/>
      <c r="AW561" s="56"/>
      <c r="AX561" s="56"/>
      <c r="AY561" s="81">
        <v>1</v>
      </c>
      <c r="AZ561" s="81"/>
      <c r="BA561" s="81"/>
      <c r="BB561" s="220">
        <v>1</v>
      </c>
      <c r="BC561" s="220"/>
      <c r="BD561" s="271">
        <v>2019</v>
      </c>
      <c r="BE561" s="271">
        <v>2019</v>
      </c>
      <c r="BF561" s="271"/>
    </row>
    <row r="562" spans="1:58" s="204" customFormat="1" ht="18" hidden="1" customHeight="1">
      <c r="A562" s="160" t="s">
        <v>510</v>
      </c>
      <c r="B562" s="58" t="s">
        <v>211</v>
      </c>
      <c r="C562" s="148" t="s">
        <v>886</v>
      </c>
      <c r="D562" s="33" t="s">
        <v>887</v>
      </c>
      <c r="E562" s="33"/>
      <c r="F562" s="33"/>
      <c r="G562" s="33"/>
      <c r="H562" s="30" t="s">
        <v>720</v>
      </c>
      <c r="I562" s="43">
        <v>3040</v>
      </c>
      <c r="J562" s="212">
        <v>43091</v>
      </c>
      <c r="K562" s="81"/>
      <c r="L562" s="81">
        <v>47</v>
      </c>
      <c r="M562" s="81"/>
      <c r="N562" s="81"/>
      <c r="O562" s="81"/>
      <c r="P562" s="158">
        <f>3179112048-190746723</f>
        <v>2988365325</v>
      </c>
      <c r="Q562" s="81"/>
      <c r="R562" s="158"/>
      <c r="S562" s="81"/>
      <c r="T562" s="586">
        <v>1257364638</v>
      </c>
      <c r="U562" s="81">
        <v>10</v>
      </c>
      <c r="V562" s="311"/>
      <c r="W562" s="311"/>
      <c r="X562" s="311"/>
      <c r="Y562" s="94">
        <v>1731000687</v>
      </c>
      <c r="Z562" s="81">
        <v>10</v>
      </c>
      <c r="AA562" s="81"/>
      <c r="AB562" s="81"/>
      <c r="AC562" s="81"/>
      <c r="AD562" s="158"/>
      <c r="AE562" s="158">
        <f t="shared" si="95"/>
        <v>0</v>
      </c>
      <c r="AF562" s="158"/>
      <c r="AG562" s="94">
        <v>0</v>
      </c>
      <c r="AH562" s="94"/>
      <c r="AI562" s="94"/>
      <c r="AJ562" s="158">
        <f t="shared" si="96"/>
        <v>0</v>
      </c>
      <c r="AK562" s="158">
        <v>877</v>
      </c>
      <c r="AL562" s="158">
        <v>10</v>
      </c>
      <c r="AM562" s="158"/>
      <c r="AN562" s="158"/>
      <c r="AO562" s="81"/>
      <c r="AP562" s="81"/>
      <c r="AQ562" s="81"/>
      <c r="AR562" s="81"/>
      <c r="AS562" s="98">
        <v>1</v>
      </c>
      <c r="AT562" s="58" t="s">
        <v>646</v>
      </c>
      <c r="AU562" s="7" t="s">
        <v>1343</v>
      </c>
      <c r="AV562" s="51"/>
      <c r="AW562" s="56"/>
      <c r="AX562" s="56"/>
      <c r="AY562" s="158">
        <v>47</v>
      </c>
      <c r="AZ562" s="158"/>
      <c r="BA562" s="158"/>
      <c r="BB562" s="69">
        <v>47</v>
      </c>
      <c r="BC562" s="69"/>
      <c r="BD562" s="271">
        <v>2019</v>
      </c>
      <c r="BE562" s="271">
        <v>2019</v>
      </c>
      <c r="BF562" s="271"/>
    </row>
    <row r="563" spans="1:58" s="204" customFormat="1" ht="18" hidden="1" customHeight="1">
      <c r="A563" s="230" t="s">
        <v>510</v>
      </c>
      <c r="B563" s="58" t="s">
        <v>211</v>
      </c>
      <c r="C563" s="148" t="s">
        <v>886</v>
      </c>
      <c r="D563" s="33" t="s">
        <v>887</v>
      </c>
      <c r="E563" s="33"/>
      <c r="F563" s="33"/>
      <c r="G563" s="33"/>
      <c r="H563" s="30" t="s">
        <v>720</v>
      </c>
      <c r="I563" s="43">
        <v>3040</v>
      </c>
      <c r="J563" s="212">
        <v>43091</v>
      </c>
      <c r="K563" s="81"/>
      <c r="L563" s="81">
        <v>3</v>
      </c>
      <c r="M563" s="81"/>
      <c r="N563" s="81"/>
      <c r="O563" s="81"/>
      <c r="P563" s="158">
        <v>190746723</v>
      </c>
      <c r="Q563" s="94"/>
      <c r="R563" s="158"/>
      <c r="S563" s="94"/>
      <c r="T563" s="586">
        <v>80257319</v>
      </c>
      <c r="U563" s="81">
        <v>10</v>
      </c>
      <c r="V563" s="311"/>
      <c r="W563" s="311"/>
      <c r="X563" s="311"/>
      <c r="Y563" s="94">
        <v>110489404</v>
      </c>
      <c r="Z563" s="81"/>
      <c r="AA563" s="277"/>
      <c r="AB563" s="277"/>
      <c r="AC563" s="277"/>
      <c r="AD563" s="158"/>
      <c r="AE563" s="158">
        <f t="shared" si="95"/>
        <v>0</v>
      </c>
      <c r="AF563" s="158"/>
      <c r="AG563" s="94">
        <v>0</v>
      </c>
      <c r="AH563" s="94"/>
      <c r="AI563" s="94"/>
      <c r="AJ563" s="158">
        <f t="shared" si="96"/>
        <v>0</v>
      </c>
      <c r="AK563" s="158">
        <v>877</v>
      </c>
      <c r="AL563" s="158">
        <v>10</v>
      </c>
      <c r="AM563" s="158"/>
      <c r="AN563" s="158"/>
      <c r="AO563" s="81"/>
      <c r="AP563" s="81"/>
      <c r="AQ563" s="81"/>
      <c r="AR563" s="81"/>
      <c r="AS563" s="98">
        <v>1</v>
      </c>
      <c r="AT563" s="58" t="s">
        <v>646</v>
      </c>
      <c r="AU563" s="348"/>
      <c r="AV563" s="51"/>
      <c r="AW563" s="56"/>
      <c r="AX563" s="56"/>
      <c r="AY563" s="81">
        <v>3</v>
      </c>
      <c r="AZ563" s="81"/>
      <c r="BA563" s="158"/>
      <c r="BB563" s="69">
        <f>+AY563</f>
        <v>3</v>
      </c>
      <c r="BC563" s="69"/>
      <c r="BD563" s="271">
        <v>2019</v>
      </c>
      <c r="BE563" s="271">
        <v>2019</v>
      </c>
      <c r="BF563" s="271"/>
    </row>
    <row r="564" spans="1:58" s="204" customFormat="1" ht="24" customHeight="1">
      <c r="A564" s="160" t="s">
        <v>510</v>
      </c>
      <c r="B564" s="58" t="s">
        <v>208</v>
      </c>
      <c r="C564" s="55" t="s">
        <v>881</v>
      </c>
      <c r="D564" s="33" t="s">
        <v>860</v>
      </c>
      <c r="E564" s="33"/>
      <c r="F564" s="33"/>
      <c r="G564" s="33"/>
      <c r="H564" s="30" t="s">
        <v>720</v>
      </c>
      <c r="I564" s="228" t="s">
        <v>1538</v>
      </c>
      <c r="J564" s="215" t="s">
        <v>1537</v>
      </c>
      <c r="K564" s="81"/>
      <c r="L564" s="81"/>
      <c r="M564" s="81">
        <v>3</v>
      </c>
      <c r="N564" s="81">
        <v>3</v>
      </c>
      <c r="O564" s="81"/>
      <c r="P564" s="94">
        <f>248914021-62228505</f>
        <v>186685516</v>
      </c>
      <c r="Q564" s="94"/>
      <c r="R564" s="8"/>
      <c r="S564" s="94"/>
      <c r="T564" s="586">
        <v>105982316</v>
      </c>
      <c r="U564" s="81"/>
      <c r="V564" s="415"/>
      <c r="W564" s="415"/>
      <c r="X564" s="415"/>
      <c r="Y564" s="94">
        <f>142931705-142931705+80703200</f>
        <v>80703200</v>
      </c>
      <c r="Z564" s="416" t="s">
        <v>1822</v>
      </c>
      <c r="AA564" s="415" t="s">
        <v>1726</v>
      </c>
      <c r="AB564" s="415"/>
      <c r="AC564" s="94"/>
      <c r="AD564" s="158"/>
      <c r="AE564" s="158">
        <f>P564-T564-Y564</f>
        <v>0</v>
      </c>
      <c r="AF564" s="158"/>
      <c r="AG564" s="94">
        <v>0</v>
      </c>
      <c r="AH564" s="94"/>
      <c r="AI564" s="94"/>
      <c r="AJ564" s="158">
        <f t="shared" si="96"/>
        <v>0</v>
      </c>
      <c r="AK564" s="158">
        <v>877</v>
      </c>
      <c r="AL564" s="158">
        <v>20</v>
      </c>
      <c r="AM564" s="158"/>
      <c r="AN564" s="158">
        <v>3</v>
      </c>
      <c r="AO564" s="98"/>
      <c r="AP564" s="81"/>
      <c r="AQ564" s="81"/>
      <c r="AR564" s="81"/>
      <c r="AS564" s="98">
        <v>0.5857</v>
      </c>
      <c r="AT564" s="58" t="s">
        <v>38</v>
      </c>
      <c r="AU564" s="348" t="s">
        <v>1312</v>
      </c>
      <c r="AV564" s="51"/>
      <c r="AW564" s="56"/>
      <c r="AX564" s="100"/>
      <c r="AY564" s="98"/>
      <c r="AZ564" s="98"/>
      <c r="BA564" s="98"/>
      <c r="BB564" s="292"/>
      <c r="BC564" s="292"/>
      <c r="BD564" s="271"/>
      <c r="BE564" s="271">
        <v>2019</v>
      </c>
      <c r="BF564" s="271">
        <v>2020</v>
      </c>
    </row>
    <row r="565" spans="1:58" s="204" customFormat="1" ht="24" customHeight="1">
      <c r="A565" s="160" t="s">
        <v>510</v>
      </c>
      <c r="B565" s="58" t="s">
        <v>208</v>
      </c>
      <c r="C565" s="55" t="s">
        <v>881</v>
      </c>
      <c r="D565" s="33" t="s">
        <v>860</v>
      </c>
      <c r="E565" s="33"/>
      <c r="F565" s="33"/>
      <c r="G565" s="33"/>
      <c r="H565" s="30" t="s">
        <v>720</v>
      </c>
      <c r="I565" s="228" t="s">
        <v>1538</v>
      </c>
      <c r="J565" s="215" t="s">
        <v>1537</v>
      </c>
      <c r="K565" s="81"/>
      <c r="L565" s="81"/>
      <c r="M565" s="81">
        <v>1</v>
      </c>
      <c r="N565" s="81">
        <v>1</v>
      </c>
      <c r="O565" s="81"/>
      <c r="P565" s="94">
        <v>62228505</v>
      </c>
      <c r="Q565" s="94"/>
      <c r="R565" s="158"/>
      <c r="S565" s="94"/>
      <c r="T565" s="586"/>
      <c r="U565" s="81"/>
      <c r="V565" s="311"/>
      <c r="W565" s="311"/>
      <c r="X565" s="311"/>
      <c r="Y565" s="94"/>
      <c r="Z565" s="220"/>
      <c r="AA565" s="311"/>
      <c r="AB565" s="329"/>
      <c r="AC565" s="233"/>
      <c r="AD565" s="158"/>
      <c r="AE565" s="158">
        <f>P565-T565-Y565</f>
        <v>62228505</v>
      </c>
      <c r="AF565" s="158"/>
      <c r="AG565" s="94">
        <v>0</v>
      </c>
      <c r="AH565" s="94"/>
      <c r="AI565" s="94"/>
      <c r="AJ565" s="158">
        <f>AE565+AG565</f>
        <v>62228505</v>
      </c>
      <c r="AK565" s="158">
        <v>877</v>
      </c>
      <c r="AL565" s="158">
        <v>20</v>
      </c>
      <c r="AM565" s="158"/>
      <c r="AN565" s="158">
        <v>1</v>
      </c>
      <c r="AO565" s="98"/>
      <c r="AP565" s="81"/>
      <c r="AQ565" s="81"/>
      <c r="AR565" s="81"/>
      <c r="AS565" s="98">
        <v>0.5857</v>
      </c>
      <c r="AT565" s="58" t="s">
        <v>38</v>
      </c>
      <c r="AU565" s="348"/>
      <c r="AV565" s="51"/>
      <c r="AW565" s="56"/>
      <c r="AX565" s="100"/>
      <c r="AY565" s="98"/>
      <c r="AZ565" s="98"/>
      <c r="BA565" s="98"/>
      <c r="BB565" s="292"/>
      <c r="BC565" s="292"/>
      <c r="BD565" s="271"/>
      <c r="BE565" s="271">
        <v>2019</v>
      </c>
      <c r="BF565" s="271">
        <v>2020</v>
      </c>
    </row>
    <row r="566" spans="1:58" s="204" customFormat="1" ht="18" hidden="1" customHeight="1">
      <c r="A566" s="230" t="s">
        <v>510</v>
      </c>
      <c r="B566" s="58" t="s">
        <v>197</v>
      </c>
      <c r="C566" s="148" t="s">
        <v>882</v>
      </c>
      <c r="D566" s="33" t="s">
        <v>871</v>
      </c>
      <c r="E566" s="33"/>
      <c r="F566" s="33"/>
      <c r="G566" s="33"/>
      <c r="H566" s="30" t="s">
        <v>731</v>
      </c>
      <c r="I566" s="115" t="s">
        <v>1461</v>
      </c>
      <c r="J566" s="215" t="s">
        <v>1460</v>
      </c>
      <c r="K566" s="81"/>
      <c r="L566" s="81">
        <v>9</v>
      </c>
      <c r="M566" s="81"/>
      <c r="N566" s="81"/>
      <c r="O566" s="81"/>
      <c r="P566" s="158">
        <f>620588310-61403629</f>
        <v>559184681</v>
      </c>
      <c r="Q566" s="158"/>
      <c r="R566" s="158"/>
      <c r="S566" s="158"/>
      <c r="T566" s="586">
        <v>249887376</v>
      </c>
      <c r="U566" s="81">
        <v>10</v>
      </c>
      <c r="V566" s="311"/>
      <c r="W566" s="311"/>
      <c r="X566" s="311"/>
      <c r="Y566" s="94">
        <v>309297305</v>
      </c>
      <c r="Z566" s="81">
        <v>10</v>
      </c>
      <c r="AA566" s="311">
        <v>43525</v>
      </c>
      <c r="AB566" s="329"/>
      <c r="AC566" s="277"/>
      <c r="AD566" s="158"/>
      <c r="AE566" s="158">
        <f t="shared" si="95"/>
        <v>0</v>
      </c>
      <c r="AF566" s="158"/>
      <c r="AG566" s="94">
        <v>0</v>
      </c>
      <c r="AH566" s="94"/>
      <c r="AI566" s="94"/>
      <c r="AJ566" s="158">
        <f t="shared" si="96"/>
        <v>0</v>
      </c>
      <c r="AK566" s="158">
        <v>877</v>
      </c>
      <c r="AL566" s="158">
        <v>10</v>
      </c>
      <c r="AM566" s="158"/>
      <c r="AN566" s="158"/>
      <c r="AO566" s="81"/>
      <c r="AP566" s="81"/>
      <c r="AQ566" s="81"/>
      <c r="AR566" s="81"/>
      <c r="AS566" s="98">
        <v>1</v>
      </c>
      <c r="AT566" s="58" t="s">
        <v>646</v>
      </c>
      <c r="AU566" s="348"/>
      <c r="AV566" s="51"/>
      <c r="AW566" s="56"/>
      <c r="AX566" s="56"/>
      <c r="AY566" s="81">
        <v>9</v>
      </c>
      <c r="AZ566" s="81"/>
      <c r="BA566" s="98"/>
      <c r="BB566" s="81">
        <v>9</v>
      </c>
      <c r="BC566" s="81"/>
      <c r="BD566" s="271">
        <v>2019</v>
      </c>
      <c r="BE566" s="271">
        <v>2019</v>
      </c>
      <c r="BF566" s="271"/>
    </row>
    <row r="567" spans="1:58" s="204" customFormat="1" ht="18" customHeight="1">
      <c r="A567" s="160" t="s">
        <v>510</v>
      </c>
      <c r="B567" s="58" t="s">
        <v>197</v>
      </c>
      <c r="C567" s="148" t="s">
        <v>882</v>
      </c>
      <c r="D567" s="33" t="s">
        <v>871</v>
      </c>
      <c r="E567" s="33"/>
      <c r="F567" s="33"/>
      <c r="G567" s="33"/>
      <c r="H567" s="30" t="s">
        <v>731</v>
      </c>
      <c r="I567" s="115" t="s">
        <v>1461</v>
      </c>
      <c r="J567" s="215" t="s">
        <v>1460</v>
      </c>
      <c r="K567" s="81"/>
      <c r="L567" s="81"/>
      <c r="M567" s="81">
        <v>1</v>
      </c>
      <c r="N567" s="81"/>
      <c r="O567" s="81">
        <v>1</v>
      </c>
      <c r="P567" s="94">
        <v>61403629</v>
      </c>
      <c r="Q567" s="94"/>
      <c r="R567" s="158"/>
      <c r="S567" s="94"/>
      <c r="T567" s="586"/>
      <c r="U567" s="81"/>
      <c r="V567" s="311"/>
      <c r="W567" s="311"/>
      <c r="X567" s="311"/>
      <c r="Y567" s="94"/>
      <c r="Z567" s="220"/>
      <c r="AA567" s="220"/>
      <c r="AB567" s="220"/>
      <c r="AC567" s="220"/>
      <c r="AD567" s="158"/>
      <c r="AE567" s="158">
        <f t="shared" si="95"/>
        <v>61403629</v>
      </c>
      <c r="AF567" s="158"/>
      <c r="AG567" s="94">
        <v>0</v>
      </c>
      <c r="AH567" s="94"/>
      <c r="AI567" s="94"/>
      <c r="AJ567" s="158">
        <f>AE567+AG567</f>
        <v>61403629</v>
      </c>
      <c r="AK567" s="158">
        <v>877</v>
      </c>
      <c r="AL567" s="158">
        <v>20</v>
      </c>
      <c r="AM567" s="158">
        <v>1</v>
      </c>
      <c r="AN567" s="158"/>
      <c r="AO567" s="98"/>
      <c r="AP567" s="81"/>
      <c r="AQ567" s="81"/>
      <c r="AR567" s="81"/>
      <c r="AS567" s="98">
        <v>0</v>
      </c>
      <c r="AT567" s="58" t="s">
        <v>521</v>
      </c>
      <c r="AU567" s="453" t="s">
        <v>1295</v>
      </c>
      <c r="AV567" s="51"/>
      <c r="AW567" s="56"/>
      <c r="AX567" s="56"/>
      <c r="AY567" s="98"/>
      <c r="AZ567" s="98"/>
      <c r="BA567" s="98"/>
      <c r="BB567" s="292"/>
      <c r="BC567" s="292"/>
      <c r="BD567" s="271"/>
      <c r="BE567" s="271">
        <v>2019</v>
      </c>
      <c r="BF567" s="271">
        <v>2020</v>
      </c>
    </row>
    <row r="568" spans="1:58" s="204" customFormat="1" ht="18" hidden="1" customHeight="1">
      <c r="A568" s="248" t="s">
        <v>510</v>
      </c>
      <c r="B568" s="58" t="s">
        <v>546</v>
      </c>
      <c r="C568" s="148" t="s">
        <v>1379</v>
      </c>
      <c r="D568" s="33" t="s">
        <v>858</v>
      </c>
      <c r="E568" s="33"/>
      <c r="F568" s="33"/>
      <c r="G568" s="33"/>
      <c r="H568" s="30" t="s">
        <v>968</v>
      </c>
      <c r="I568" s="30">
        <v>565</v>
      </c>
      <c r="J568" s="212">
        <v>43175</v>
      </c>
      <c r="K568" s="158">
        <v>4</v>
      </c>
      <c r="L568" s="158">
        <v>4</v>
      </c>
      <c r="M568" s="158"/>
      <c r="N568" s="158"/>
      <c r="O568" s="158"/>
      <c r="P568" s="158">
        <v>250879673</v>
      </c>
      <c r="Q568" s="275"/>
      <c r="R568" s="158"/>
      <c r="S568" s="158"/>
      <c r="T568" s="586">
        <v>108049742</v>
      </c>
      <c r="U568" s="158">
        <v>10</v>
      </c>
      <c r="V568" s="311"/>
      <c r="W568" s="311"/>
      <c r="X568" s="311"/>
      <c r="Y568" s="94">
        <v>142829931</v>
      </c>
      <c r="Z568" s="158">
        <v>10</v>
      </c>
      <c r="AA568" s="311">
        <v>43497</v>
      </c>
      <c r="AB568" s="583"/>
      <c r="AC568" s="92"/>
      <c r="AD568" s="158"/>
      <c r="AE568" s="158">
        <f t="shared" si="95"/>
        <v>0</v>
      </c>
      <c r="AF568" s="158"/>
      <c r="AG568" s="94">
        <v>0</v>
      </c>
      <c r="AH568" s="94"/>
      <c r="AI568" s="94"/>
      <c r="AJ568" s="158">
        <f t="shared" si="96"/>
        <v>0</v>
      </c>
      <c r="AK568" s="158">
        <v>877</v>
      </c>
      <c r="AL568" s="158">
        <v>10</v>
      </c>
      <c r="AM568" s="158"/>
      <c r="AN568" s="158"/>
      <c r="AO568" s="81"/>
      <c r="AP568" s="81"/>
      <c r="AQ568" s="81"/>
      <c r="AR568" s="81"/>
      <c r="AS568" s="2">
        <v>1</v>
      </c>
      <c r="AT568" s="58" t="s">
        <v>646</v>
      </c>
      <c r="AU568" s="453"/>
      <c r="AV568" s="51"/>
      <c r="AW568" s="56"/>
      <c r="AX568" s="56"/>
      <c r="AY568" s="81">
        <v>4</v>
      </c>
      <c r="AZ568" s="81"/>
      <c r="BA568" s="98"/>
      <c r="BB568" s="81">
        <v>4</v>
      </c>
      <c r="BC568" s="81"/>
      <c r="BD568" s="271">
        <v>2019</v>
      </c>
      <c r="BE568" s="271">
        <v>2019</v>
      </c>
      <c r="BF568" s="271"/>
    </row>
    <row r="569" spans="1:58" s="204" customFormat="1" ht="15" hidden="1" customHeight="1">
      <c r="A569" s="160" t="s">
        <v>510</v>
      </c>
      <c r="B569" s="58" t="s">
        <v>280</v>
      </c>
      <c r="C569" s="148" t="s">
        <v>946</v>
      </c>
      <c r="D569" s="33" t="s">
        <v>61</v>
      </c>
      <c r="E569" s="33"/>
      <c r="F569" s="33"/>
      <c r="G569" s="33"/>
      <c r="H569" s="30" t="s">
        <v>968</v>
      </c>
      <c r="I569" s="30">
        <v>736</v>
      </c>
      <c r="J569" s="212">
        <v>43453</v>
      </c>
      <c r="K569" s="158"/>
      <c r="L569" s="96"/>
      <c r="M569" s="96"/>
      <c r="N569" s="96"/>
      <c r="O569" s="96"/>
      <c r="P569" s="96"/>
      <c r="Q569" s="96"/>
      <c r="R569" s="158"/>
      <c r="S569" s="96"/>
      <c r="T569" s="586"/>
      <c r="U569" s="96"/>
      <c r="V569" s="311"/>
      <c r="W569" s="311"/>
      <c r="X569" s="311"/>
      <c r="Y569" s="94"/>
      <c r="Z569" s="96"/>
      <c r="AA569" s="96"/>
      <c r="AB569" s="96"/>
      <c r="AC569" s="96"/>
      <c r="AD569" s="158"/>
      <c r="AE569" s="158"/>
      <c r="AF569" s="158"/>
      <c r="AG569" s="158"/>
      <c r="AH569" s="158"/>
      <c r="AI569" s="158"/>
      <c r="AJ569" s="158"/>
      <c r="AK569" s="158"/>
      <c r="AL569" s="158"/>
      <c r="AM569" s="158"/>
      <c r="AN569" s="158"/>
      <c r="AO569" s="51"/>
      <c r="AP569" s="51"/>
      <c r="AQ569" s="51"/>
      <c r="AR569" s="51"/>
      <c r="AS569" s="56">
        <v>1</v>
      </c>
      <c r="AT569" s="58" t="s">
        <v>646</v>
      </c>
      <c r="AU569" s="453"/>
      <c r="AV569" s="51"/>
      <c r="AW569" s="56"/>
      <c r="AX569" s="51">
        <v>56</v>
      </c>
      <c r="AY569" s="51"/>
      <c r="AZ569" s="51"/>
      <c r="BA569" s="51"/>
      <c r="BB569" s="71">
        <v>56</v>
      </c>
      <c r="BC569" s="71"/>
      <c r="BD569" s="271">
        <v>2018</v>
      </c>
      <c r="BE569" s="271"/>
      <c r="BF569" s="271"/>
    </row>
    <row r="570" spans="1:58" s="204" customFormat="1" ht="18" hidden="1" customHeight="1">
      <c r="A570" s="160" t="s">
        <v>510</v>
      </c>
      <c r="B570" s="58" t="s">
        <v>546</v>
      </c>
      <c r="C570" s="148" t="s">
        <v>947</v>
      </c>
      <c r="D570" s="33" t="s">
        <v>565</v>
      </c>
      <c r="E570" s="33"/>
      <c r="F570" s="33"/>
      <c r="G570" s="33"/>
      <c r="H570" s="30" t="s">
        <v>968</v>
      </c>
      <c r="I570" s="30">
        <v>603</v>
      </c>
      <c r="J570" s="212">
        <v>43180</v>
      </c>
      <c r="K570" s="158">
        <v>16</v>
      </c>
      <c r="L570" s="158">
        <v>16</v>
      </c>
      <c r="M570" s="158"/>
      <c r="N570" s="158"/>
      <c r="O570" s="158"/>
      <c r="P570" s="158">
        <v>996344800</v>
      </c>
      <c r="Q570" s="302"/>
      <c r="R570" s="158"/>
      <c r="S570" s="158"/>
      <c r="T570" s="586">
        <v>413668352</v>
      </c>
      <c r="U570" s="158">
        <v>10</v>
      </c>
      <c r="V570" s="311"/>
      <c r="W570" s="311"/>
      <c r="X570" s="311"/>
      <c r="Y570" s="94">
        <v>582676448</v>
      </c>
      <c r="Z570" s="158">
        <v>10</v>
      </c>
      <c r="AA570" s="311">
        <v>43497</v>
      </c>
      <c r="AB570" s="311"/>
      <c r="AC570" s="158"/>
      <c r="AD570" s="158"/>
      <c r="AE570" s="158">
        <f t="shared" ref="AE570:AE600" si="97">P570-T570-Y570</f>
        <v>0</v>
      </c>
      <c r="AF570" s="158"/>
      <c r="AG570" s="94">
        <v>0</v>
      </c>
      <c r="AH570" s="94"/>
      <c r="AI570" s="94"/>
      <c r="AJ570" s="158">
        <f t="shared" si="96"/>
        <v>0</v>
      </c>
      <c r="AK570" s="158">
        <v>877</v>
      </c>
      <c r="AL570" s="158">
        <v>10</v>
      </c>
      <c r="AM570" s="158"/>
      <c r="AN570" s="158"/>
      <c r="AO570" s="81"/>
      <c r="AP570" s="81"/>
      <c r="AQ570" s="81"/>
      <c r="AR570" s="81"/>
      <c r="AS570" s="98">
        <v>1</v>
      </c>
      <c r="AT570" s="58" t="s">
        <v>646</v>
      </c>
      <c r="AU570" s="453" t="s">
        <v>1343</v>
      </c>
      <c r="AV570" s="51"/>
      <c r="AW570" s="56"/>
      <c r="AX570" s="56"/>
      <c r="AY570" s="81">
        <v>16</v>
      </c>
      <c r="AZ570" s="81"/>
      <c r="BA570" s="81"/>
      <c r="BB570" s="220">
        <v>16</v>
      </c>
      <c r="BC570" s="220"/>
      <c r="BD570" s="271">
        <v>2019</v>
      </c>
      <c r="BE570" s="271">
        <v>2019</v>
      </c>
      <c r="BF570" s="271"/>
    </row>
    <row r="571" spans="1:58" s="204" customFormat="1" ht="18" hidden="1" customHeight="1">
      <c r="A571" s="160" t="s">
        <v>510</v>
      </c>
      <c r="B571" s="58" t="s">
        <v>197</v>
      </c>
      <c r="C571" s="148" t="s">
        <v>259</v>
      </c>
      <c r="D571" s="33" t="s">
        <v>1078</v>
      </c>
      <c r="E571" s="33"/>
      <c r="F571" s="33"/>
      <c r="G571" s="33"/>
      <c r="H571" s="30" t="s">
        <v>968</v>
      </c>
      <c r="I571" s="30">
        <v>564</v>
      </c>
      <c r="J571" s="212">
        <v>43175</v>
      </c>
      <c r="K571" s="158">
        <v>54</v>
      </c>
      <c r="L571" s="158">
        <v>54</v>
      </c>
      <c r="M571" s="158"/>
      <c r="N571" s="158"/>
      <c r="O571" s="158"/>
      <c r="P571" s="158"/>
      <c r="Q571" s="158"/>
      <c r="R571" s="158"/>
      <c r="S571" s="158"/>
      <c r="T571" s="586"/>
      <c r="U571" s="158"/>
      <c r="V571" s="311"/>
      <c r="W571" s="311"/>
      <c r="X571" s="311"/>
      <c r="Y571" s="94"/>
      <c r="Z571" s="158"/>
      <c r="AA571" s="158"/>
      <c r="AB571" s="158"/>
      <c r="AC571" s="158"/>
      <c r="AD571" s="158"/>
      <c r="AE571" s="158">
        <f t="shared" si="97"/>
        <v>0</v>
      </c>
      <c r="AF571" s="158"/>
      <c r="AG571" s="94">
        <v>0</v>
      </c>
      <c r="AH571" s="94"/>
      <c r="AI571" s="94"/>
      <c r="AJ571" s="158">
        <f t="shared" si="96"/>
        <v>0</v>
      </c>
      <c r="AK571" s="158"/>
      <c r="AL571" s="158"/>
      <c r="AM571" s="158"/>
      <c r="AN571" s="158"/>
      <c r="AO571" s="81"/>
      <c r="AP571" s="81"/>
      <c r="AQ571" s="81"/>
      <c r="AR571" s="81"/>
      <c r="AS571" s="98">
        <v>1</v>
      </c>
      <c r="AT571" s="58" t="s">
        <v>646</v>
      </c>
      <c r="AU571" s="453" t="s">
        <v>1378</v>
      </c>
      <c r="AV571" s="51"/>
      <c r="AW571" s="56"/>
      <c r="AX571" s="56"/>
      <c r="AY571" s="81">
        <v>54</v>
      </c>
      <c r="AZ571" s="81"/>
      <c r="BA571" s="98"/>
      <c r="BB571" s="220">
        <v>54</v>
      </c>
      <c r="BC571" s="220"/>
      <c r="BD571" s="271">
        <v>2019</v>
      </c>
      <c r="BE571" s="271">
        <v>2019</v>
      </c>
      <c r="BF571" s="271"/>
    </row>
    <row r="572" spans="1:58" s="204" customFormat="1" ht="18" hidden="1" customHeight="1">
      <c r="A572" s="160" t="s">
        <v>510</v>
      </c>
      <c r="B572" s="58" t="s">
        <v>203</v>
      </c>
      <c r="C572" s="148" t="s">
        <v>948</v>
      </c>
      <c r="D572" s="33" t="s">
        <v>61</v>
      </c>
      <c r="E572" s="33"/>
      <c r="F572" s="33"/>
      <c r="G572" s="33"/>
      <c r="H572" s="30" t="s">
        <v>968</v>
      </c>
      <c r="I572" s="30">
        <v>635</v>
      </c>
      <c r="J572" s="212">
        <v>43182</v>
      </c>
      <c r="K572" s="158">
        <v>10</v>
      </c>
      <c r="L572" s="158">
        <v>10</v>
      </c>
      <c r="M572" s="158"/>
      <c r="N572" s="158"/>
      <c r="O572" s="158"/>
      <c r="P572" s="158"/>
      <c r="Q572" s="158"/>
      <c r="R572" s="158"/>
      <c r="S572" s="158"/>
      <c r="T572" s="586"/>
      <c r="U572" s="158"/>
      <c r="V572" s="311"/>
      <c r="W572" s="311"/>
      <c r="X572" s="311"/>
      <c r="Y572" s="94"/>
      <c r="Z572" s="158"/>
      <c r="AA572" s="158"/>
      <c r="AB572" s="158"/>
      <c r="AC572" s="158"/>
      <c r="AD572" s="158"/>
      <c r="AE572" s="158">
        <f t="shared" si="97"/>
        <v>0</v>
      </c>
      <c r="AF572" s="158"/>
      <c r="AG572" s="94">
        <v>0</v>
      </c>
      <c r="AH572" s="94"/>
      <c r="AI572" s="94"/>
      <c r="AJ572" s="158">
        <f t="shared" si="96"/>
        <v>0</v>
      </c>
      <c r="AK572" s="158"/>
      <c r="AL572" s="158"/>
      <c r="AM572" s="158"/>
      <c r="AN572" s="158"/>
      <c r="AO572" s="81"/>
      <c r="AP572" s="81"/>
      <c r="AQ572" s="81"/>
      <c r="AR572" s="81"/>
      <c r="AS572" s="98">
        <v>1</v>
      </c>
      <c r="AT572" s="58" t="s">
        <v>646</v>
      </c>
      <c r="AU572" s="453"/>
      <c r="AV572" s="51"/>
      <c r="AW572" s="56"/>
      <c r="AX572" s="56"/>
      <c r="AY572" s="81">
        <v>10</v>
      </c>
      <c r="AZ572" s="81"/>
      <c r="BA572" s="81"/>
      <c r="BB572" s="220">
        <v>10</v>
      </c>
      <c r="BC572" s="220"/>
      <c r="BD572" s="271">
        <v>2019</v>
      </c>
      <c r="BE572" s="271">
        <v>2019</v>
      </c>
      <c r="BF572" s="271"/>
    </row>
    <row r="573" spans="1:58" s="204" customFormat="1" ht="18" hidden="1" customHeight="1">
      <c r="A573" s="160" t="s">
        <v>510</v>
      </c>
      <c r="B573" s="58" t="s">
        <v>262</v>
      </c>
      <c r="C573" s="148" t="s">
        <v>261</v>
      </c>
      <c r="D573" s="33" t="s">
        <v>7</v>
      </c>
      <c r="E573" s="33"/>
      <c r="F573" s="33"/>
      <c r="G573" s="33"/>
      <c r="H573" s="30" t="s">
        <v>968</v>
      </c>
      <c r="I573" s="30">
        <v>804</v>
      </c>
      <c r="J573" s="212">
        <v>43202</v>
      </c>
      <c r="K573" s="158">
        <v>12</v>
      </c>
      <c r="L573" s="158">
        <v>12</v>
      </c>
      <c r="M573" s="158"/>
      <c r="N573" s="158"/>
      <c r="O573" s="158"/>
      <c r="P573" s="158"/>
      <c r="Q573" s="158"/>
      <c r="R573" s="158"/>
      <c r="S573" s="158"/>
      <c r="T573" s="586"/>
      <c r="U573" s="158"/>
      <c r="V573" s="311"/>
      <c r="W573" s="311"/>
      <c r="X573" s="311"/>
      <c r="Y573" s="94"/>
      <c r="Z573" s="158"/>
      <c r="AA573" s="158"/>
      <c r="AB573" s="158"/>
      <c r="AC573" s="158"/>
      <c r="AD573" s="158"/>
      <c r="AE573" s="158">
        <f t="shared" si="97"/>
        <v>0</v>
      </c>
      <c r="AF573" s="158"/>
      <c r="AG573" s="94">
        <v>0</v>
      </c>
      <c r="AH573" s="94"/>
      <c r="AI573" s="94"/>
      <c r="AJ573" s="158">
        <f t="shared" si="96"/>
        <v>0</v>
      </c>
      <c r="AK573" s="158"/>
      <c r="AL573" s="158"/>
      <c r="AM573" s="158"/>
      <c r="AN573" s="158"/>
      <c r="AO573" s="81"/>
      <c r="AP573" s="81"/>
      <c r="AQ573" s="81"/>
      <c r="AR573" s="81"/>
      <c r="AS573" s="98">
        <v>1</v>
      </c>
      <c r="AT573" s="58" t="s">
        <v>646</v>
      </c>
      <c r="AU573" s="453"/>
      <c r="AV573" s="51"/>
      <c r="AW573" s="56"/>
      <c r="AX573" s="56"/>
      <c r="AY573" s="81">
        <v>12</v>
      </c>
      <c r="AZ573" s="81"/>
      <c r="BA573" s="158"/>
      <c r="BB573" s="69">
        <f>+AY573</f>
        <v>12</v>
      </c>
      <c r="BC573" s="69"/>
      <c r="BD573" s="271">
        <v>2019</v>
      </c>
      <c r="BE573" s="271">
        <v>2019</v>
      </c>
      <c r="BF573" s="271"/>
    </row>
    <row r="574" spans="1:58" s="204" customFormat="1" ht="18" hidden="1" customHeight="1">
      <c r="A574" s="160" t="s">
        <v>510</v>
      </c>
      <c r="B574" s="58" t="s">
        <v>280</v>
      </c>
      <c r="C574" s="148" t="s">
        <v>951</v>
      </c>
      <c r="D574" s="33" t="s">
        <v>1005</v>
      </c>
      <c r="E574" s="33"/>
      <c r="F574" s="33"/>
      <c r="G574" s="33"/>
      <c r="H574" s="30" t="s">
        <v>968</v>
      </c>
      <c r="I574" s="30">
        <v>906</v>
      </c>
      <c r="J574" s="212">
        <v>43215</v>
      </c>
      <c r="K574" s="158">
        <v>69</v>
      </c>
      <c r="L574" s="158">
        <v>69</v>
      </c>
      <c r="M574" s="158"/>
      <c r="N574" s="158"/>
      <c r="O574" s="158"/>
      <c r="P574" s="158"/>
      <c r="Q574" s="158"/>
      <c r="R574" s="158"/>
      <c r="S574" s="158"/>
      <c r="T574" s="586"/>
      <c r="U574" s="158"/>
      <c r="V574" s="311"/>
      <c r="W574" s="311"/>
      <c r="X574" s="311"/>
      <c r="Y574" s="94"/>
      <c r="Z574" s="158"/>
      <c r="AA574" s="158"/>
      <c r="AB574" s="158"/>
      <c r="AC574" s="158"/>
      <c r="AD574" s="158"/>
      <c r="AE574" s="158">
        <f t="shared" si="97"/>
        <v>0</v>
      </c>
      <c r="AF574" s="158"/>
      <c r="AG574" s="94">
        <v>0</v>
      </c>
      <c r="AH574" s="94"/>
      <c r="AI574" s="94"/>
      <c r="AJ574" s="158">
        <f t="shared" si="96"/>
        <v>0</v>
      </c>
      <c r="AK574" s="158"/>
      <c r="AL574" s="158"/>
      <c r="AM574" s="158"/>
      <c r="AN574" s="158"/>
      <c r="AO574" s="81"/>
      <c r="AP574" s="81"/>
      <c r="AQ574" s="81"/>
      <c r="AR574" s="81"/>
      <c r="AS574" s="98">
        <v>1</v>
      </c>
      <c r="AT574" s="58" t="s">
        <v>646</v>
      </c>
      <c r="AU574" s="453"/>
      <c r="AV574" s="51"/>
      <c r="AW574" s="56"/>
      <c r="AX574" s="56"/>
      <c r="AY574" s="81">
        <v>69</v>
      </c>
      <c r="AZ574" s="81"/>
      <c r="BA574" s="158"/>
      <c r="BB574" s="69">
        <f>+AY574</f>
        <v>69</v>
      </c>
      <c r="BC574" s="69"/>
      <c r="BD574" s="271">
        <v>2019</v>
      </c>
      <c r="BE574" s="271">
        <v>2019</v>
      </c>
      <c r="BF574" s="271"/>
    </row>
    <row r="575" spans="1:58" s="204" customFormat="1" ht="18" hidden="1" customHeight="1">
      <c r="A575" s="160" t="s">
        <v>510</v>
      </c>
      <c r="B575" s="58" t="s">
        <v>197</v>
      </c>
      <c r="C575" s="148" t="s">
        <v>952</v>
      </c>
      <c r="D575" s="33" t="s">
        <v>1006</v>
      </c>
      <c r="E575" s="33"/>
      <c r="F575" s="33"/>
      <c r="G575" s="33"/>
      <c r="H575" s="30" t="s">
        <v>968</v>
      </c>
      <c r="I575" s="30">
        <v>981</v>
      </c>
      <c r="J575" s="212">
        <v>43224</v>
      </c>
      <c r="K575" s="158">
        <v>14</v>
      </c>
      <c r="L575" s="158">
        <v>14</v>
      </c>
      <c r="M575" s="158"/>
      <c r="N575" s="158"/>
      <c r="O575" s="158"/>
      <c r="P575" s="158">
        <f>977550191-122193774</f>
        <v>855356417</v>
      </c>
      <c r="Q575" s="158"/>
      <c r="R575" s="158"/>
      <c r="S575" s="158"/>
      <c r="T575" s="586">
        <v>378298742</v>
      </c>
      <c r="U575" s="158">
        <v>20</v>
      </c>
      <c r="V575" s="311"/>
      <c r="W575" s="311"/>
      <c r="X575" s="311"/>
      <c r="Y575" s="94">
        <v>477057675</v>
      </c>
      <c r="Z575" s="158">
        <v>20</v>
      </c>
      <c r="AA575" s="158"/>
      <c r="AB575" s="158"/>
      <c r="AC575" s="158"/>
      <c r="AD575" s="158"/>
      <c r="AE575" s="158">
        <f t="shared" si="97"/>
        <v>0</v>
      </c>
      <c r="AF575" s="158"/>
      <c r="AG575" s="94">
        <v>0</v>
      </c>
      <c r="AH575" s="94"/>
      <c r="AI575" s="94"/>
      <c r="AJ575" s="158">
        <f t="shared" si="96"/>
        <v>0</v>
      </c>
      <c r="AK575" s="158">
        <v>877</v>
      </c>
      <c r="AL575" s="158">
        <v>20</v>
      </c>
      <c r="AM575" s="158"/>
      <c r="AN575" s="158"/>
      <c r="AO575" s="81"/>
      <c r="AP575" s="81"/>
      <c r="AQ575" s="81"/>
      <c r="AR575" s="81"/>
      <c r="AS575" s="98">
        <v>1</v>
      </c>
      <c r="AT575" s="58" t="s">
        <v>646</v>
      </c>
      <c r="AU575" s="453"/>
      <c r="AV575" s="51"/>
      <c r="AW575" s="56"/>
      <c r="AX575" s="56"/>
      <c r="AY575" s="81">
        <v>14</v>
      </c>
      <c r="AZ575" s="81"/>
      <c r="BA575" s="81"/>
      <c r="BB575" s="220">
        <f>+AY575</f>
        <v>14</v>
      </c>
      <c r="BC575" s="220"/>
      <c r="BD575" s="271">
        <v>2019</v>
      </c>
      <c r="BE575" s="271">
        <v>2019</v>
      </c>
      <c r="BF575" s="271"/>
    </row>
    <row r="576" spans="1:58" s="204" customFormat="1" ht="18" customHeight="1">
      <c r="A576" s="160" t="s">
        <v>510</v>
      </c>
      <c r="B576" s="58" t="s">
        <v>197</v>
      </c>
      <c r="C576" s="148" t="s">
        <v>952</v>
      </c>
      <c r="D576" s="33" t="s">
        <v>1006</v>
      </c>
      <c r="E576" s="33"/>
      <c r="F576" s="33"/>
      <c r="G576" s="33"/>
      <c r="H576" s="30" t="s">
        <v>968</v>
      </c>
      <c r="I576" s="30">
        <v>981</v>
      </c>
      <c r="J576" s="212">
        <v>43224</v>
      </c>
      <c r="K576" s="158"/>
      <c r="L576" s="158"/>
      <c r="M576" s="158">
        <v>2</v>
      </c>
      <c r="N576" s="158"/>
      <c r="O576" s="158">
        <v>2</v>
      </c>
      <c r="P576" s="158">
        <v>122193774</v>
      </c>
      <c r="Q576" s="158"/>
      <c r="R576" s="158"/>
      <c r="S576" s="158"/>
      <c r="T576" s="586"/>
      <c r="U576" s="158"/>
      <c r="V576" s="311"/>
      <c r="W576" s="311"/>
      <c r="X576" s="311"/>
      <c r="Y576" s="94"/>
      <c r="Z576" s="158"/>
      <c r="AA576" s="158"/>
      <c r="AB576" s="158"/>
      <c r="AC576" s="158"/>
      <c r="AD576" s="158"/>
      <c r="AE576" s="158">
        <f t="shared" si="97"/>
        <v>122193774</v>
      </c>
      <c r="AF576" s="158"/>
      <c r="AG576" s="94">
        <v>0</v>
      </c>
      <c r="AH576" s="94"/>
      <c r="AI576" s="94"/>
      <c r="AJ576" s="158">
        <f>AE576+AG576</f>
        <v>122193774</v>
      </c>
      <c r="AK576" s="158">
        <v>877</v>
      </c>
      <c r="AL576" s="158">
        <v>20</v>
      </c>
      <c r="AM576" s="158">
        <v>2</v>
      </c>
      <c r="AN576" s="158"/>
      <c r="AO576" s="98"/>
      <c r="AP576" s="81"/>
      <c r="AQ576" s="81"/>
      <c r="AR576" s="81"/>
      <c r="AS576" s="98">
        <v>0</v>
      </c>
      <c r="AT576" s="58" t="s">
        <v>521</v>
      </c>
      <c r="AU576" s="453" t="s">
        <v>1295</v>
      </c>
      <c r="AV576" s="51"/>
      <c r="AW576" s="56"/>
      <c r="AX576" s="56"/>
      <c r="AY576" s="98"/>
      <c r="AZ576" s="98"/>
      <c r="BA576" s="98"/>
      <c r="BB576" s="292"/>
      <c r="BC576" s="292"/>
      <c r="BD576" s="271"/>
      <c r="BE576" s="271">
        <v>2019</v>
      </c>
      <c r="BF576" s="271">
        <v>2020</v>
      </c>
    </row>
    <row r="577" spans="1:58" s="204" customFormat="1" ht="18" hidden="1" customHeight="1">
      <c r="A577" s="160" t="s">
        <v>510</v>
      </c>
      <c r="B577" s="58" t="s">
        <v>280</v>
      </c>
      <c r="C577" s="148" t="s">
        <v>997</v>
      </c>
      <c r="D577" s="33" t="s">
        <v>998</v>
      </c>
      <c r="E577" s="33"/>
      <c r="F577" s="33"/>
      <c r="G577" s="33"/>
      <c r="H577" s="30" t="s">
        <v>968</v>
      </c>
      <c r="I577" s="30">
        <v>1382</v>
      </c>
      <c r="J577" s="212">
        <v>43271</v>
      </c>
      <c r="K577" s="158">
        <v>9</v>
      </c>
      <c r="L577" s="158">
        <v>9</v>
      </c>
      <c r="M577" s="158"/>
      <c r="N577" s="158"/>
      <c r="O577" s="158"/>
      <c r="P577" s="158">
        <v>572317552</v>
      </c>
      <c r="Q577" s="158"/>
      <c r="R577" s="158"/>
      <c r="S577" s="158"/>
      <c r="T577" s="586">
        <f>33232270+197847320</f>
        <v>231079590</v>
      </c>
      <c r="U577" s="158" t="s">
        <v>1657</v>
      </c>
      <c r="V577" s="311"/>
      <c r="W577" s="311"/>
      <c r="X577" s="311"/>
      <c r="Y577" s="94">
        <v>341237962</v>
      </c>
      <c r="Z577" s="158">
        <v>10</v>
      </c>
      <c r="AA577" s="311">
        <v>43497</v>
      </c>
      <c r="AB577" s="311"/>
      <c r="AC577" s="158"/>
      <c r="AD577" s="158"/>
      <c r="AE577" s="158">
        <f t="shared" si="97"/>
        <v>0</v>
      </c>
      <c r="AF577" s="158"/>
      <c r="AG577" s="94">
        <v>0</v>
      </c>
      <c r="AH577" s="94"/>
      <c r="AI577" s="94"/>
      <c r="AJ577" s="158">
        <f t="shared" si="96"/>
        <v>0</v>
      </c>
      <c r="AK577" s="158">
        <v>877</v>
      </c>
      <c r="AL577" s="158">
        <v>10</v>
      </c>
      <c r="AM577" s="158"/>
      <c r="AN577" s="158"/>
      <c r="AO577" s="81"/>
      <c r="AP577" s="81"/>
      <c r="AQ577" s="81"/>
      <c r="AR577" s="81"/>
      <c r="AS577" s="98">
        <v>1</v>
      </c>
      <c r="AT577" s="58" t="s">
        <v>646</v>
      </c>
      <c r="AU577" s="453" t="s">
        <v>1709</v>
      </c>
      <c r="AV577" s="51"/>
      <c r="AW577" s="56"/>
      <c r="AX577" s="56"/>
      <c r="AY577" s="81">
        <v>9</v>
      </c>
      <c r="AZ577" s="81"/>
      <c r="BA577" s="98"/>
      <c r="BB577" s="81">
        <v>9</v>
      </c>
      <c r="BC577" s="81"/>
      <c r="BD577" s="271">
        <v>2019</v>
      </c>
      <c r="BE577" s="271">
        <v>2019</v>
      </c>
      <c r="BF577" s="271"/>
    </row>
    <row r="578" spans="1:58" s="204" customFormat="1" ht="18" hidden="1" customHeight="1">
      <c r="A578" s="160" t="s">
        <v>510</v>
      </c>
      <c r="B578" s="58" t="s">
        <v>211</v>
      </c>
      <c r="C578" s="148" t="s">
        <v>1040</v>
      </c>
      <c r="D578" s="33" t="s">
        <v>7</v>
      </c>
      <c r="E578" s="33"/>
      <c r="F578" s="33"/>
      <c r="G578" s="33"/>
      <c r="H578" s="30" t="s">
        <v>968</v>
      </c>
      <c r="I578" s="30">
        <v>1365</v>
      </c>
      <c r="J578" s="212">
        <v>43271</v>
      </c>
      <c r="K578" s="158">
        <v>16</v>
      </c>
      <c r="L578" s="158">
        <v>16</v>
      </c>
      <c r="M578" s="158"/>
      <c r="N578" s="158"/>
      <c r="O578" s="158"/>
      <c r="P578" s="158">
        <v>1004456052</v>
      </c>
      <c r="Q578" s="158"/>
      <c r="R578" s="158"/>
      <c r="S578" s="158"/>
      <c r="T578" s="586">
        <v>416955040</v>
      </c>
      <c r="U578" s="158">
        <v>20</v>
      </c>
      <c r="V578" s="311"/>
      <c r="W578" s="311"/>
      <c r="X578" s="311"/>
      <c r="Y578" s="94">
        <v>587501012</v>
      </c>
      <c r="Z578" s="158">
        <v>10</v>
      </c>
      <c r="AA578" s="311">
        <v>43497</v>
      </c>
      <c r="AB578" s="311"/>
      <c r="AC578" s="158"/>
      <c r="AD578" s="158"/>
      <c r="AE578" s="158">
        <f t="shared" si="97"/>
        <v>0</v>
      </c>
      <c r="AF578" s="158"/>
      <c r="AG578" s="94">
        <v>0</v>
      </c>
      <c r="AH578" s="94"/>
      <c r="AI578" s="94"/>
      <c r="AJ578" s="158">
        <f t="shared" si="96"/>
        <v>0</v>
      </c>
      <c r="AK578" s="158">
        <v>877</v>
      </c>
      <c r="AL578" s="158">
        <v>10</v>
      </c>
      <c r="AM578" s="158"/>
      <c r="AN578" s="158"/>
      <c r="AO578" s="81"/>
      <c r="AP578" s="81"/>
      <c r="AQ578" s="81"/>
      <c r="AR578" s="81"/>
      <c r="AS578" s="98">
        <v>1</v>
      </c>
      <c r="AT578" s="58" t="s">
        <v>646</v>
      </c>
      <c r="AU578" s="453"/>
      <c r="AV578" s="51"/>
      <c r="AW578" s="56"/>
      <c r="AX578" s="56"/>
      <c r="AY578" s="81">
        <v>16</v>
      </c>
      <c r="AZ578" s="81"/>
      <c r="BA578" s="81"/>
      <c r="BB578" s="220">
        <v>16</v>
      </c>
      <c r="BC578" s="220"/>
      <c r="BD578" s="271">
        <v>2019</v>
      </c>
      <c r="BE578" s="271">
        <v>2019</v>
      </c>
      <c r="BF578" s="271"/>
    </row>
    <row r="579" spans="1:58" s="204" customFormat="1" ht="18" hidden="1" customHeight="1">
      <c r="A579" s="160" t="s">
        <v>510</v>
      </c>
      <c r="B579" s="58" t="s">
        <v>197</v>
      </c>
      <c r="C579" s="148" t="s">
        <v>1091</v>
      </c>
      <c r="D579" s="33" t="s">
        <v>61</v>
      </c>
      <c r="E579" s="33"/>
      <c r="F579" s="33"/>
      <c r="G579" s="33"/>
      <c r="H579" s="30" t="s">
        <v>1058</v>
      </c>
      <c r="I579" s="30">
        <v>24</v>
      </c>
      <c r="J579" s="212">
        <v>43363</v>
      </c>
      <c r="K579" s="158">
        <v>23</v>
      </c>
      <c r="L579" s="158">
        <v>23</v>
      </c>
      <c r="M579" s="158"/>
      <c r="N579" s="158"/>
      <c r="O579" s="158"/>
      <c r="P579" s="158">
        <v>1462680130</v>
      </c>
      <c r="Q579" s="158"/>
      <c r="R579" s="158"/>
      <c r="S579" s="158"/>
      <c r="T579" s="586">
        <f>282969644+361828414</f>
        <v>644798058</v>
      </c>
      <c r="U579" s="158" t="s">
        <v>1657</v>
      </c>
      <c r="V579" s="311"/>
      <c r="W579" s="311"/>
      <c r="X579" s="311"/>
      <c r="Y579" s="94">
        <v>817882072</v>
      </c>
      <c r="Z579" s="158">
        <v>10</v>
      </c>
      <c r="AA579" s="311">
        <v>43556</v>
      </c>
      <c r="AB579" s="311"/>
      <c r="AC579" s="158"/>
      <c r="AD579" s="158"/>
      <c r="AE579" s="158">
        <f t="shared" si="97"/>
        <v>0</v>
      </c>
      <c r="AF579" s="158"/>
      <c r="AG579" s="94">
        <v>0</v>
      </c>
      <c r="AH579" s="94"/>
      <c r="AI579" s="94"/>
      <c r="AJ579" s="158">
        <f t="shared" si="96"/>
        <v>0</v>
      </c>
      <c r="AK579" s="158">
        <v>877</v>
      </c>
      <c r="AL579" s="158">
        <v>10</v>
      </c>
      <c r="AM579" s="158"/>
      <c r="AN579" s="158"/>
      <c r="AO579" s="81"/>
      <c r="AP579" s="81"/>
      <c r="AQ579" s="81"/>
      <c r="AR579" s="81"/>
      <c r="AS579" s="98">
        <v>1</v>
      </c>
      <c r="AT579" s="58" t="s">
        <v>646</v>
      </c>
      <c r="AU579" s="453"/>
      <c r="AV579" s="51"/>
      <c r="AW579" s="56"/>
      <c r="AX579" s="56"/>
      <c r="AY579" s="81">
        <v>23</v>
      </c>
      <c r="AZ579" s="81"/>
      <c r="BA579" s="98"/>
      <c r="BB579" s="81">
        <v>23</v>
      </c>
      <c r="BC579" s="81"/>
      <c r="BD579" s="271">
        <v>2019</v>
      </c>
      <c r="BE579" s="271">
        <v>2019</v>
      </c>
      <c r="BF579" s="271"/>
    </row>
    <row r="580" spans="1:58" s="204" customFormat="1" ht="25.5" hidden="1" customHeight="1">
      <c r="A580" s="230" t="s">
        <v>510</v>
      </c>
      <c r="B580" s="58" t="s">
        <v>197</v>
      </c>
      <c r="C580" s="55" t="s">
        <v>1092</v>
      </c>
      <c r="D580" s="33" t="s">
        <v>1093</v>
      </c>
      <c r="E580" s="33"/>
      <c r="F580" s="33"/>
      <c r="G580" s="33"/>
      <c r="H580" s="30" t="s">
        <v>1058</v>
      </c>
      <c r="I580" s="30">
        <v>30</v>
      </c>
      <c r="J580" s="212">
        <v>43363</v>
      </c>
      <c r="K580" s="158">
        <v>73</v>
      </c>
      <c r="L580" s="158">
        <f>75-1-1</f>
        <v>73</v>
      </c>
      <c r="M580" s="158"/>
      <c r="N580" s="158"/>
      <c r="O580" s="158"/>
      <c r="P580" s="158">
        <f>4936976625-65826355-65826355</f>
        <v>4805323915</v>
      </c>
      <c r="Q580" s="158"/>
      <c r="R580" s="158"/>
      <c r="S580" s="158"/>
      <c r="T580" s="586">
        <v>2136627030</v>
      </c>
      <c r="U580" s="158">
        <v>10</v>
      </c>
      <c r="V580" s="311"/>
      <c r="W580" s="311"/>
      <c r="X580" s="311"/>
      <c r="Y580" s="94">
        <v>2668696885</v>
      </c>
      <c r="Z580" s="158">
        <v>10</v>
      </c>
      <c r="AA580" s="311">
        <v>43556</v>
      </c>
      <c r="AB580" s="329"/>
      <c r="AC580" s="5"/>
      <c r="AD580" s="158"/>
      <c r="AE580" s="158">
        <f t="shared" si="97"/>
        <v>0</v>
      </c>
      <c r="AF580" s="158"/>
      <c r="AG580" s="94">
        <v>0</v>
      </c>
      <c r="AH580" s="94"/>
      <c r="AI580" s="94"/>
      <c r="AJ580" s="158">
        <f t="shared" si="96"/>
        <v>0</v>
      </c>
      <c r="AK580" s="158">
        <v>877</v>
      </c>
      <c r="AL580" s="158">
        <v>10</v>
      </c>
      <c r="AM580" s="158"/>
      <c r="AN580" s="158"/>
      <c r="AO580" s="81"/>
      <c r="AP580" s="81"/>
      <c r="AQ580" s="81"/>
      <c r="AR580" s="81"/>
      <c r="AS580" s="98">
        <v>1</v>
      </c>
      <c r="AT580" s="58" t="s">
        <v>646</v>
      </c>
      <c r="AU580" s="453">
        <v>65.64</v>
      </c>
      <c r="AV580" s="51"/>
      <c r="AW580" s="56"/>
      <c r="AX580" s="56"/>
      <c r="AY580" s="81">
        <v>73</v>
      </c>
      <c r="AZ580" s="81"/>
      <c r="BA580" s="98"/>
      <c r="BB580" s="81">
        <v>73</v>
      </c>
      <c r="BC580" s="81"/>
      <c r="BD580" s="271">
        <v>2019</v>
      </c>
      <c r="BE580" s="271">
        <v>2019</v>
      </c>
      <c r="BF580" s="271"/>
    </row>
    <row r="581" spans="1:58" s="204" customFormat="1" ht="25.5" hidden="1" customHeight="1">
      <c r="A581" s="160" t="s">
        <v>510</v>
      </c>
      <c r="B581" s="58" t="s">
        <v>197</v>
      </c>
      <c r="C581" s="55" t="s">
        <v>1092</v>
      </c>
      <c r="D581" s="33" t="s">
        <v>1093</v>
      </c>
      <c r="E581" s="33"/>
      <c r="F581" s="33"/>
      <c r="G581" s="33"/>
      <c r="H581" s="30" t="s">
        <v>1058</v>
      </c>
      <c r="I581" s="78">
        <v>30</v>
      </c>
      <c r="J581" s="212">
        <v>43363</v>
      </c>
      <c r="K581" s="158">
        <v>1</v>
      </c>
      <c r="L581" s="158">
        <v>1</v>
      </c>
      <c r="M581" s="158"/>
      <c r="N581" s="158"/>
      <c r="O581" s="158"/>
      <c r="P581" s="12">
        <v>65826355</v>
      </c>
      <c r="Q581" s="12"/>
      <c r="R581" s="158"/>
      <c r="S581" s="12"/>
      <c r="T581" s="586"/>
      <c r="U581" s="96"/>
      <c r="V581" s="311"/>
      <c r="W581" s="311"/>
      <c r="X581" s="311"/>
      <c r="Y581" s="94"/>
      <c r="Z581" s="222"/>
      <c r="AA581" s="222"/>
      <c r="AB581" s="222"/>
      <c r="AC581" s="158">
        <v>65826355</v>
      </c>
      <c r="AD581" s="158"/>
      <c r="AE581" s="158">
        <f>P581-T581-Y581-AC581</f>
        <v>0</v>
      </c>
      <c r="AF581" s="158"/>
      <c r="AG581" s="94">
        <v>0</v>
      </c>
      <c r="AH581" s="94"/>
      <c r="AI581" s="94"/>
      <c r="AJ581" s="158">
        <f t="shared" si="96"/>
        <v>0</v>
      </c>
      <c r="AK581" s="158">
        <v>877</v>
      </c>
      <c r="AL581" s="158">
        <v>20</v>
      </c>
      <c r="AM581" s="158"/>
      <c r="AN581" s="158"/>
      <c r="AO581" s="98"/>
      <c r="AP581" s="81"/>
      <c r="AQ581" s="81"/>
      <c r="AR581" s="81"/>
      <c r="AS581" s="98">
        <v>0</v>
      </c>
      <c r="AT581" s="58" t="s">
        <v>687</v>
      </c>
      <c r="AU581" s="453" t="s">
        <v>1357</v>
      </c>
      <c r="AV581" s="51"/>
      <c r="AW581" s="56"/>
      <c r="AX581" s="56"/>
      <c r="AY581" s="56"/>
      <c r="AZ581" s="56"/>
      <c r="BA581" s="56"/>
      <c r="BB581" s="291"/>
      <c r="BC581" s="69">
        <v>1</v>
      </c>
      <c r="BD581" s="271" t="s">
        <v>1706</v>
      </c>
      <c r="BE581" s="271">
        <v>2019</v>
      </c>
      <c r="BF581" s="271"/>
    </row>
    <row r="582" spans="1:58" s="204" customFormat="1" ht="18" customHeight="1">
      <c r="A582" s="160" t="s">
        <v>510</v>
      </c>
      <c r="B582" s="58" t="s">
        <v>197</v>
      </c>
      <c r="C582" s="148" t="s">
        <v>1092</v>
      </c>
      <c r="D582" s="33" t="s">
        <v>1093</v>
      </c>
      <c r="E582" s="33"/>
      <c r="F582" s="33"/>
      <c r="G582" s="33"/>
      <c r="H582" s="30" t="s">
        <v>1058</v>
      </c>
      <c r="I582" s="78">
        <v>30</v>
      </c>
      <c r="J582" s="212">
        <v>43363</v>
      </c>
      <c r="K582" s="158">
        <v>1</v>
      </c>
      <c r="L582" s="158">
        <v>1</v>
      </c>
      <c r="M582" s="158"/>
      <c r="N582" s="158">
        <v>0</v>
      </c>
      <c r="O582" s="158"/>
      <c r="P582" s="12">
        <v>65826355</v>
      </c>
      <c r="Q582" s="12"/>
      <c r="R582" s="158"/>
      <c r="S582" s="12"/>
      <c r="T582" s="586"/>
      <c r="U582" s="96"/>
      <c r="V582" s="311"/>
      <c r="W582" s="311"/>
      <c r="X582" s="311"/>
      <c r="Y582" s="94"/>
      <c r="Z582" s="222"/>
      <c r="AA582" s="222"/>
      <c r="AB582" s="222"/>
      <c r="AC582" s="222"/>
      <c r="AD582" s="158"/>
      <c r="AE582" s="158">
        <f t="shared" si="97"/>
        <v>65826355</v>
      </c>
      <c r="AF582" s="158"/>
      <c r="AG582" s="94">
        <v>0</v>
      </c>
      <c r="AH582" s="94"/>
      <c r="AI582" s="94"/>
      <c r="AJ582" s="158">
        <f>AE582+AG582</f>
        <v>65826355</v>
      </c>
      <c r="AK582" s="158">
        <v>877</v>
      </c>
      <c r="AL582" s="158">
        <v>10</v>
      </c>
      <c r="AM582" s="158"/>
      <c r="AN582" s="158"/>
      <c r="AO582" s="227"/>
      <c r="AP582" s="81"/>
      <c r="AQ582" s="81"/>
      <c r="AR582" s="81"/>
      <c r="AS582" s="98">
        <v>1</v>
      </c>
      <c r="AT582" s="58" t="s">
        <v>646</v>
      </c>
      <c r="AU582" s="348"/>
      <c r="AV582" s="51"/>
      <c r="AW582" s="56"/>
      <c r="AX582" s="56"/>
      <c r="AY582" s="60">
        <v>1</v>
      </c>
      <c r="AZ582" s="60"/>
      <c r="BA582" s="56"/>
      <c r="BB582" s="60">
        <v>1</v>
      </c>
      <c r="BC582" s="60"/>
      <c r="BD582" s="271">
        <v>2019</v>
      </c>
      <c r="BE582" s="271">
        <v>2019</v>
      </c>
      <c r="BF582" s="271" t="s">
        <v>2194</v>
      </c>
    </row>
    <row r="583" spans="1:58" s="204" customFormat="1" ht="18" hidden="1" customHeight="1">
      <c r="A583" s="160" t="s">
        <v>510</v>
      </c>
      <c r="B583" s="58" t="s">
        <v>546</v>
      </c>
      <c r="C583" s="148" t="s">
        <v>1126</v>
      </c>
      <c r="D583" s="33" t="s">
        <v>7</v>
      </c>
      <c r="E583" s="33"/>
      <c r="F583" s="33"/>
      <c r="G583" s="33"/>
      <c r="H583" s="30" t="s">
        <v>1116</v>
      </c>
      <c r="I583" s="30">
        <v>337</v>
      </c>
      <c r="J583" s="212">
        <v>43406</v>
      </c>
      <c r="K583" s="158">
        <v>20</v>
      </c>
      <c r="L583" s="158">
        <v>20</v>
      </c>
      <c r="M583" s="158"/>
      <c r="N583" s="158"/>
      <c r="O583" s="158"/>
      <c r="P583" s="158">
        <v>1287513236</v>
      </c>
      <c r="Q583" s="158"/>
      <c r="R583" s="158"/>
      <c r="S583" s="158"/>
      <c r="T583" s="586">
        <v>534679260</v>
      </c>
      <c r="U583" s="158">
        <v>10</v>
      </c>
      <c r="V583" s="311"/>
      <c r="W583" s="311"/>
      <c r="X583" s="311"/>
      <c r="Y583" s="94">
        <v>752833976</v>
      </c>
      <c r="Z583" s="214">
        <v>10</v>
      </c>
      <c r="AA583" s="311">
        <v>43556</v>
      </c>
      <c r="AB583" s="311"/>
      <c r="AC583" s="214"/>
      <c r="AD583" s="158"/>
      <c r="AE583" s="158">
        <f t="shared" si="97"/>
        <v>0</v>
      </c>
      <c r="AF583" s="158"/>
      <c r="AG583" s="94">
        <v>0</v>
      </c>
      <c r="AH583" s="94"/>
      <c r="AI583" s="94"/>
      <c r="AJ583" s="158">
        <f t="shared" si="96"/>
        <v>0</v>
      </c>
      <c r="AK583" s="158">
        <v>877</v>
      </c>
      <c r="AL583" s="158">
        <v>10</v>
      </c>
      <c r="AM583" s="158"/>
      <c r="AN583" s="158"/>
      <c r="AO583" s="81"/>
      <c r="AP583" s="81"/>
      <c r="AQ583" s="81"/>
      <c r="AR583" s="81"/>
      <c r="AS583" s="98">
        <v>1</v>
      </c>
      <c r="AT583" s="58" t="s">
        <v>646</v>
      </c>
      <c r="AU583" s="348"/>
      <c r="AV583" s="51"/>
      <c r="AW583" s="56"/>
      <c r="AX583" s="56"/>
      <c r="AY583" s="51">
        <v>20</v>
      </c>
      <c r="AZ583" s="51"/>
      <c r="BA583" s="56"/>
      <c r="BB583" s="71">
        <v>20</v>
      </c>
      <c r="BC583" s="71"/>
      <c r="BD583" s="271">
        <v>2019</v>
      </c>
      <c r="BE583" s="271">
        <v>2019</v>
      </c>
      <c r="BF583" s="271"/>
    </row>
    <row r="584" spans="1:58" s="204" customFormat="1" ht="18" customHeight="1">
      <c r="A584" s="160" t="s">
        <v>510</v>
      </c>
      <c r="B584" s="58" t="s">
        <v>264</v>
      </c>
      <c r="C584" s="489" t="s">
        <v>263</v>
      </c>
      <c r="D584" s="483" t="s">
        <v>7</v>
      </c>
      <c r="E584" s="483"/>
      <c r="F584" s="483"/>
      <c r="G584" s="483"/>
      <c r="H584" s="30" t="s">
        <v>1116</v>
      </c>
      <c r="I584" s="78">
        <v>336</v>
      </c>
      <c r="J584" s="212">
        <v>43406</v>
      </c>
      <c r="K584" s="158">
        <v>10</v>
      </c>
      <c r="L584" s="158">
        <v>10</v>
      </c>
      <c r="M584" s="158"/>
      <c r="N584" s="158">
        <v>10</v>
      </c>
      <c r="O584" s="158"/>
      <c r="P584" s="158">
        <v>647087621</v>
      </c>
      <c r="Q584" s="158"/>
      <c r="R584" s="158"/>
      <c r="S584" s="158"/>
      <c r="T584" s="624">
        <v>259620986</v>
      </c>
      <c r="U584" s="72">
        <v>10</v>
      </c>
      <c r="V584" s="484">
        <v>43917</v>
      </c>
      <c r="W584" s="484"/>
      <c r="X584" s="484"/>
      <c r="Y584" s="94">
        <v>0</v>
      </c>
      <c r="Z584" s="221"/>
      <c r="AA584" s="221"/>
      <c r="AB584" s="629"/>
      <c r="AC584" s="221"/>
      <c r="AD584" s="158"/>
      <c r="AE584" s="158">
        <f t="shared" si="97"/>
        <v>387466635</v>
      </c>
      <c r="AF584" s="158"/>
      <c r="AG584" s="94">
        <v>0</v>
      </c>
      <c r="AH584" s="94"/>
      <c r="AI584" s="94"/>
      <c r="AJ584" s="158">
        <f>AE584+AG584</f>
        <v>387466635</v>
      </c>
      <c r="AK584" s="158">
        <v>877</v>
      </c>
      <c r="AL584" s="158">
        <v>10</v>
      </c>
      <c r="AM584" s="599"/>
      <c r="AN584" s="72">
        <v>10</v>
      </c>
      <c r="AO584" s="98"/>
      <c r="AP584" s="81"/>
      <c r="AQ584" s="81"/>
      <c r="AR584" s="81"/>
      <c r="AS584" s="98">
        <v>0</v>
      </c>
      <c r="AT584" s="485" t="s">
        <v>38</v>
      </c>
      <c r="AU584" s="511" t="s">
        <v>2233</v>
      </c>
      <c r="AV584" s="51"/>
      <c r="AW584" s="56"/>
      <c r="AX584" s="56"/>
      <c r="AY584" s="56"/>
      <c r="AZ584" s="56"/>
      <c r="BA584" s="56"/>
      <c r="BB584" s="291"/>
      <c r="BC584" s="291"/>
      <c r="BD584" s="271"/>
      <c r="BE584" s="271">
        <v>2019</v>
      </c>
      <c r="BF584" s="271">
        <v>2020</v>
      </c>
    </row>
    <row r="585" spans="1:58" s="204" customFormat="1" ht="18" customHeight="1">
      <c r="A585" s="160" t="s">
        <v>510</v>
      </c>
      <c r="B585" s="58" t="s">
        <v>264</v>
      </c>
      <c r="C585" s="489" t="s">
        <v>263</v>
      </c>
      <c r="D585" s="483" t="s">
        <v>566</v>
      </c>
      <c r="E585" s="483"/>
      <c r="F585" s="483"/>
      <c r="G585" s="483"/>
      <c r="H585" s="30" t="s">
        <v>1605</v>
      </c>
      <c r="I585" s="30">
        <v>1376</v>
      </c>
      <c r="J585" s="212">
        <v>43685</v>
      </c>
      <c r="K585" s="158"/>
      <c r="L585" s="158"/>
      <c r="M585" s="158">
        <v>1</v>
      </c>
      <c r="N585" s="158">
        <v>1</v>
      </c>
      <c r="O585" s="158"/>
      <c r="P585" s="158">
        <v>64541123</v>
      </c>
      <c r="Q585" s="158"/>
      <c r="R585" s="158"/>
      <c r="S585" s="158"/>
      <c r="T585" s="624">
        <v>34734582</v>
      </c>
      <c r="U585" s="72">
        <v>10</v>
      </c>
      <c r="V585" s="484">
        <v>43917</v>
      </c>
      <c r="W585" s="484"/>
      <c r="X585" s="484"/>
      <c r="Y585" s="94"/>
      <c r="Z585" s="69"/>
      <c r="AA585" s="284"/>
      <c r="AB585" s="614"/>
      <c r="AC585" s="284"/>
      <c r="AD585" s="158"/>
      <c r="AE585" s="158">
        <f>P585-T585-Y585-AG585</f>
        <v>0</v>
      </c>
      <c r="AF585" s="158"/>
      <c r="AG585" s="158">
        <f>P585-T585-Y585</f>
        <v>29806541</v>
      </c>
      <c r="AH585" s="158"/>
      <c r="AI585" s="158"/>
      <c r="AJ585" s="158">
        <f>AE585+AG585</f>
        <v>29806541</v>
      </c>
      <c r="AK585" s="158">
        <v>877</v>
      </c>
      <c r="AL585" s="158">
        <v>10</v>
      </c>
      <c r="AM585" s="599"/>
      <c r="AN585" s="72">
        <v>1</v>
      </c>
      <c r="AO585" s="98"/>
      <c r="AP585" s="81"/>
      <c r="AQ585" s="81"/>
      <c r="AR585" s="81"/>
      <c r="AS585" s="98">
        <v>0</v>
      </c>
      <c r="AT585" s="485" t="s">
        <v>38</v>
      </c>
      <c r="AU585" s="386" t="s">
        <v>2174</v>
      </c>
      <c r="AV585" s="51"/>
      <c r="AW585" s="56"/>
      <c r="AX585" s="56"/>
      <c r="AY585" s="56"/>
      <c r="AZ585" s="56"/>
      <c r="BA585" s="56"/>
      <c r="BB585" s="291"/>
      <c r="BC585" s="291"/>
      <c r="BD585" s="271"/>
      <c r="BE585" s="271">
        <v>2019</v>
      </c>
      <c r="BF585" s="271">
        <v>2020</v>
      </c>
    </row>
    <row r="586" spans="1:58" s="204" customFormat="1" ht="18" customHeight="1">
      <c r="A586" s="160" t="s">
        <v>510</v>
      </c>
      <c r="B586" s="58" t="s">
        <v>197</v>
      </c>
      <c r="C586" s="148" t="s">
        <v>1211</v>
      </c>
      <c r="D586" s="33" t="s">
        <v>222</v>
      </c>
      <c r="E586" s="33"/>
      <c r="F586" s="33"/>
      <c r="G586" s="33"/>
      <c r="H586" s="30" t="s">
        <v>1113</v>
      </c>
      <c r="I586" s="78">
        <v>783</v>
      </c>
      <c r="J586" s="212">
        <v>43455</v>
      </c>
      <c r="K586" s="158">
        <v>68</v>
      </c>
      <c r="L586" s="158">
        <v>68</v>
      </c>
      <c r="M586" s="158"/>
      <c r="N586" s="158">
        <v>68</v>
      </c>
      <c r="O586" s="158"/>
      <c r="P586" s="12">
        <v>4476265319</v>
      </c>
      <c r="Q586" s="12"/>
      <c r="R586" s="158"/>
      <c r="S586" s="12"/>
      <c r="T586" s="586">
        <v>2434466702</v>
      </c>
      <c r="U586" s="158">
        <v>10</v>
      </c>
      <c r="V586" s="311">
        <v>43497</v>
      </c>
      <c r="W586" s="311"/>
      <c r="X586" s="311"/>
      <c r="Y586" s="94">
        <v>2041798617</v>
      </c>
      <c r="Z586" s="221">
        <v>10</v>
      </c>
      <c r="AA586" s="311">
        <v>43647</v>
      </c>
      <c r="AB586" s="577"/>
      <c r="AC586" s="221"/>
      <c r="AD586" s="158"/>
      <c r="AE586" s="158">
        <f t="shared" si="97"/>
        <v>0</v>
      </c>
      <c r="AF586" s="158"/>
      <c r="AG586" s="94">
        <v>0</v>
      </c>
      <c r="AH586" s="94"/>
      <c r="AI586" s="94"/>
      <c r="AJ586" s="158">
        <f t="shared" si="96"/>
        <v>0</v>
      </c>
      <c r="AK586" s="158">
        <v>877</v>
      </c>
      <c r="AL586" s="158">
        <v>10</v>
      </c>
      <c r="AM586" s="158"/>
      <c r="AN586" s="158">
        <v>68</v>
      </c>
      <c r="AO586" s="98"/>
      <c r="AP586" s="81"/>
      <c r="AQ586" s="81"/>
      <c r="AR586" s="81"/>
      <c r="AS586" s="98">
        <v>0.6925</v>
      </c>
      <c r="AT586" s="58" t="s">
        <v>38</v>
      </c>
      <c r="AU586" s="348" t="s">
        <v>1420</v>
      </c>
      <c r="AV586" s="51"/>
      <c r="AW586" s="56"/>
      <c r="AX586" s="56"/>
      <c r="AY586" s="56"/>
      <c r="AZ586" s="56"/>
      <c r="BA586" s="56"/>
      <c r="BB586" s="291"/>
      <c r="BC586" s="291"/>
      <c r="BD586" s="271"/>
      <c r="BE586" s="271">
        <v>2019</v>
      </c>
      <c r="BF586" s="271">
        <v>2020</v>
      </c>
    </row>
    <row r="587" spans="1:58" s="204" customFormat="1" ht="18" customHeight="1">
      <c r="A587" s="160" t="s">
        <v>510</v>
      </c>
      <c r="B587" s="58" t="s">
        <v>216</v>
      </c>
      <c r="C587" s="148" t="s">
        <v>1212</v>
      </c>
      <c r="D587" s="33" t="s">
        <v>772</v>
      </c>
      <c r="E587" s="33"/>
      <c r="F587" s="33"/>
      <c r="G587" s="33"/>
      <c r="H587" s="30" t="s">
        <v>1116</v>
      </c>
      <c r="I587" s="78">
        <v>348</v>
      </c>
      <c r="J587" s="212">
        <v>43410</v>
      </c>
      <c r="K587" s="158">
        <f>39-2</f>
        <v>37</v>
      </c>
      <c r="L587" s="158">
        <v>37</v>
      </c>
      <c r="M587" s="158"/>
      <c r="N587" s="158">
        <v>37</v>
      </c>
      <c r="O587" s="158"/>
      <c r="P587" s="158">
        <f>2554566991-122346883</f>
        <v>2432220108</v>
      </c>
      <c r="Q587" s="158"/>
      <c r="R587" s="158"/>
      <c r="S587" s="158"/>
      <c r="T587" s="586">
        <v>1079687017</v>
      </c>
      <c r="U587" s="158">
        <v>10</v>
      </c>
      <c r="V587" s="311"/>
      <c r="W587" s="311"/>
      <c r="X587" s="311"/>
      <c r="Y587" s="94">
        <v>1352533091</v>
      </c>
      <c r="Z587" s="221">
        <v>20</v>
      </c>
      <c r="AA587" s="311">
        <v>43739</v>
      </c>
      <c r="AB587" s="577"/>
      <c r="AC587" s="221"/>
      <c r="AD587" s="158"/>
      <c r="AE587" s="158">
        <f t="shared" si="97"/>
        <v>0</v>
      </c>
      <c r="AF587" s="158"/>
      <c r="AG587" s="94">
        <v>0</v>
      </c>
      <c r="AH587" s="94"/>
      <c r="AI587" s="94"/>
      <c r="AJ587" s="158">
        <f t="shared" si="96"/>
        <v>0</v>
      </c>
      <c r="AK587" s="158">
        <v>877</v>
      </c>
      <c r="AL587" s="158">
        <v>20</v>
      </c>
      <c r="AM587" s="158"/>
      <c r="AN587" s="158">
        <v>37</v>
      </c>
      <c r="AO587" s="98"/>
      <c r="AP587" s="81"/>
      <c r="AQ587" s="81"/>
      <c r="AR587" s="81"/>
      <c r="AS587" s="98">
        <v>0.60440000000000005</v>
      </c>
      <c r="AT587" s="58" t="s">
        <v>38</v>
      </c>
      <c r="AU587" s="348"/>
      <c r="AV587" s="51"/>
      <c r="AW587" s="56"/>
      <c r="AX587" s="56"/>
      <c r="AY587" s="56"/>
      <c r="AZ587" s="56"/>
      <c r="BA587" s="56"/>
      <c r="BB587" s="291"/>
      <c r="BC587" s="291"/>
      <c r="BD587" s="271"/>
      <c r="BE587" s="271">
        <v>2019</v>
      </c>
      <c r="BF587" s="271">
        <v>2020</v>
      </c>
    </row>
    <row r="588" spans="1:58" s="204" customFormat="1" ht="18" customHeight="1">
      <c r="A588" s="160" t="s">
        <v>510</v>
      </c>
      <c r="B588" s="58" t="s">
        <v>216</v>
      </c>
      <c r="C588" s="148" t="s">
        <v>1212</v>
      </c>
      <c r="D588" s="33" t="s">
        <v>772</v>
      </c>
      <c r="E588" s="33"/>
      <c r="F588" s="33"/>
      <c r="G588" s="33"/>
      <c r="H588" s="30" t="s">
        <v>1116</v>
      </c>
      <c r="I588" s="78">
        <v>348</v>
      </c>
      <c r="J588" s="212">
        <v>43410</v>
      </c>
      <c r="K588" s="158">
        <v>2</v>
      </c>
      <c r="L588" s="158">
        <v>2</v>
      </c>
      <c r="M588" s="158"/>
      <c r="N588" s="158">
        <v>2</v>
      </c>
      <c r="O588" s="158"/>
      <c r="P588" s="158">
        <v>122346883</v>
      </c>
      <c r="Q588" s="158"/>
      <c r="R588" s="158"/>
      <c r="S588" s="158"/>
      <c r="T588" s="586"/>
      <c r="U588" s="158"/>
      <c r="V588" s="311"/>
      <c r="W588" s="311"/>
      <c r="X588" s="311"/>
      <c r="Y588" s="94"/>
      <c r="Z588" s="221"/>
      <c r="AA588" s="221"/>
      <c r="AB588" s="221"/>
      <c r="AC588" s="221"/>
      <c r="AD588" s="158"/>
      <c r="AE588" s="158">
        <f t="shared" si="97"/>
        <v>122346883</v>
      </c>
      <c r="AF588" s="158"/>
      <c r="AG588" s="94">
        <v>0</v>
      </c>
      <c r="AH588" s="94"/>
      <c r="AI588" s="94"/>
      <c r="AJ588" s="158">
        <f>AE588+AG588</f>
        <v>122346883</v>
      </c>
      <c r="AK588" s="158">
        <v>877</v>
      </c>
      <c r="AL588" s="158">
        <v>20</v>
      </c>
      <c r="AM588" s="158">
        <v>2</v>
      </c>
      <c r="AN588" s="158"/>
      <c r="AO588" s="98"/>
      <c r="AP588" s="81"/>
      <c r="AQ588" s="81"/>
      <c r="AR588" s="81"/>
      <c r="AS588" s="98">
        <v>0</v>
      </c>
      <c r="AT588" s="58" t="s">
        <v>521</v>
      </c>
      <c r="AU588" s="348"/>
      <c r="AV588" s="51"/>
      <c r="AW588" s="56"/>
      <c r="AX588" s="56"/>
      <c r="AY588" s="56"/>
      <c r="AZ588" s="56"/>
      <c r="BA588" s="56"/>
      <c r="BB588" s="291"/>
      <c r="BC588" s="291"/>
      <c r="BD588" s="271"/>
      <c r="BE588" s="271">
        <v>2019</v>
      </c>
      <c r="BF588" s="271">
        <v>2020</v>
      </c>
    </row>
    <row r="589" spans="1:58" s="204" customFormat="1" ht="18" hidden="1" customHeight="1">
      <c r="A589" s="248" t="s">
        <v>510</v>
      </c>
      <c r="B589" s="58" t="s">
        <v>280</v>
      </c>
      <c r="C589" s="148" t="s">
        <v>1157</v>
      </c>
      <c r="D589" s="33" t="s">
        <v>57</v>
      </c>
      <c r="E589" s="33"/>
      <c r="F589" s="33"/>
      <c r="G589" s="33"/>
      <c r="H589" s="30" t="s">
        <v>1113</v>
      </c>
      <c r="I589" s="30">
        <v>736</v>
      </c>
      <c r="J589" s="212">
        <v>43453</v>
      </c>
      <c r="K589" s="158">
        <v>21</v>
      </c>
      <c r="L589" s="158">
        <v>21</v>
      </c>
      <c r="M589" s="158"/>
      <c r="N589" s="158"/>
      <c r="O589" s="158"/>
      <c r="P589" s="158">
        <v>1381517520</v>
      </c>
      <c r="Q589" s="158"/>
      <c r="R589" s="158"/>
      <c r="S589" s="158"/>
      <c r="T589" s="586">
        <v>717358060</v>
      </c>
      <c r="U589" s="158">
        <v>10</v>
      </c>
      <c r="V589" s="311">
        <v>43497</v>
      </c>
      <c r="W589" s="311"/>
      <c r="X589" s="311"/>
      <c r="Y589" s="94">
        <v>664159460</v>
      </c>
      <c r="Z589" s="158">
        <v>10</v>
      </c>
      <c r="AA589" s="311">
        <v>43617</v>
      </c>
      <c r="AB589" s="583"/>
      <c r="AC589" s="92"/>
      <c r="AD589" s="158"/>
      <c r="AE589" s="158">
        <f t="shared" si="97"/>
        <v>0</v>
      </c>
      <c r="AF589" s="158"/>
      <c r="AG589" s="94">
        <v>0</v>
      </c>
      <c r="AH589" s="94"/>
      <c r="AI589" s="94"/>
      <c r="AJ589" s="158">
        <f t="shared" si="96"/>
        <v>0</v>
      </c>
      <c r="AK589" s="158">
        <v>877</v>
      </c>
      <c r="AL589" s="158">
        <v>10</v>
      </c>
      <c r="AM589" s="158"/>
      <c r="AN589" s="158"/>
      <c r="AO589" s="158"/>
      <c r="AP589" s="81"/>
      <c r="AQ589" s="81"/>
      <c r="AR589" s="81"/>
      <c r="AS589" s="98">
        <v>1</v>
      </c>
      <c r="AT589" s="58" t="s">
        <v>646</v>
      </c>
      <c r="AU589" s="348"/>
      <c r="AV589" s="51"/>
      <c r="AW589" s="56"/>
      <c r="AX589" s="56"/>
      <c r="AY589" s="81">
        <v>21</v>
      </c>
      <c r="AZ589" s="81"/>
      <c r="BA589" s="56"/>
      <c r="BB589" s="81">
        <v>21</v>
      </c>
      <c r="BC589" s="81"/>
      <c r="BD589" s="271">
        <v>2019</v>
      </c>
      <c r="BE589" s="271">
        <v>2019</v>
      </c>
      <c r="BF589" s="271"/>
    </row>
    <row r="590" spans="1:58" s="204" customFormat="1" ht="18" hidden="1" customHeight="1">
      <c r="A590" s="160" t="s">
        <v>510</v>
      </c>
      <c r="B590" s="58" t="s">
        <v>211</v>
      </c>
      <c r="C590" s="148" t="s">
        <v>1158</v>
      </c>
      <c r="D590" s="33" t="s">
        <v>7</v>
      </c>
      <c r="E590" s="33"/>
      <c r="F590" s="33"/>
      <c r="G590" s="33"/>
      <c r="H590" s="30" t="s">
        <v>1113</v>
      </c>
      <c r="I590" s="30">
        <v>730</v>
      </c>
      <c r="J590" s="212">
        <v>43453</v>
      </c>
      <c r="K590" s="158">
        <v>7</v>
      </c>
      <c r="L590" s="158">
        <v>7</v>
      </c>
      <c r="M590" s="158"/>
      <c r="N590" s="158"/>
      <c r="O590" s="158"/>
      <c r="P590" s="158">
        <v>459433662</v>
      </c>
      <c r="Q590" s="158"/>
      <c r="R590" s="158"/>
      <c r="S590" s="158"/>
      <c r="T590" s="586">
        <v>237999156</v>
      </c>
      <c r="U590" s="158">
        <v>10</v>
      </c>
      <c r="V590" s="311"/>
      <c r="W590" s="311"/>
      <c r="X590" s="311"/>
      <c r="Y590" s="94">
        <v>221434506</v>
      </c>
      <c r="Z590" s="158">
        <v>10</v>
      </c>
      <c r="AA590" s="311">
        <v>43586</v>
      </c>
      <c r="AB590" s="311"/>
      <c r="AC590" s="158"/>
      <c r="AD590" s="158"/>
      <c r="AE590" s="158">
        <f t="shared" si="97"/>
        <v>0</v>
      </c>
      <c r="AF590" s="158"/>
      <c r="AG590" s="94">
        <v>0</v>
      </c>
      <c r="AH590" s="94"/>
      <c r="AI590" s="94"/>
      <c r="AJ590" s="158">
        <f t="shared" si="96"/>
        <v>0</v>
      </c>
      <c r="AK590" s="158">
        <v>877</v>
      </c>
      <c r="AL590" s="158">
        <v>10</v>
      </c>
      <c r="AM590" s="158"/>
      <c r="AN590" s="158"/>
      <c r="AO590" s="158"/>
      <c r="AP590" s="81"/>
      <c r="AQ590" s="81"/>
      <c r="AR590" s="81"/>
      <c r="AS590" s="98">
        <v>1</v>
      </c>
      <c r="AT590" s="58" t="s">
        <v>646</v>
      </c>
      <c r="AU590" s="348"/>
      <c r="AV590" s="51"/>
      <c r="AW590" s="56"/>
      <c r="AX590" s="56"/>
      <c r="AY590" s="81">
        <v>7</v>
      </c>
      <c r="AZ590" s="81"/>
      <c r="BA590" s="56"/>
      <c r="BB590" s="81">
        <v>7</v>
      </c>
      <c r="BC590" s="81"/>
      <c r="BD590" s="271">
        <v>2019</v>
      </c>
      <c r="BE590" s="271">
        <v>2019</v>
      </c>
      <c r="BF590" s="271"/>
    </row>
    <row r="591" spans="1:58" s="204" customFormat="1" ht="18" hidden="1" customHeight="1">
      <c r="A591" s="230" t="s">
        <v>510</v>
      </c>
      <c r="B591" s="58" t="s">
        <v>203</v>
      </c>
      <c r="C591" s="148" t="s">
        <v>1159</v>
      </c>
      <c r="D591" s="33" t="s">
        <v>1005</v>
      </c>
      <c r="E591" s="33"/>
      <c r="F591" s="33"/>
      <c r="G591" s="33"/>
      <c r="H591" s="30" t="s">
        <v>1113</v>
      </c>
      <c r="I591" s="30">
        <v>741</v>
      </c>
      <c r="J591" s="212">
        <v>43453</v>
      </c>
      <c r="K591" s="158">
        <v>32</v>
      </c>
      <c r="L591" s="158">
        <v>32</v>
      </c>
      <c r="M591" s="158"/>
      <c r="N591" s="158"/>
      <c r="O591" s="158"/>
      <c r="P591" s="158">
        <v>2102158100</v>
      </c>
      <c r="Q591" s="158"/>
      <c r="R591" s="158"/>
      <c r="S591" s="158"/>
      <c r="T591" s="586">
        <v>1141235649</v>
      </c>
      <c r="U591" s="158">
        <v>10</v>
      </c>
      <c r="V591" s="311"/>
      <c r="W591" s="311"/>
      <c r="X591" s="311"/>
      <c r="Y591" s="94">
        <v>960922451</v>
      </c>
      <c r="Z591" s="158">
        <v>10</v>
      </c>
      <c r="AA591" s="311">
        <v>43617</v>
      </c>
      <c r="AB591" s="329"/>
      <c r="AC591" s="5"/>
      <c r="AD591" s="158"/>
      <c r="AE591" s="158">
        <f t="shared" si="97"/>
        <v>0</v>
      </c>
      <c r="AF591" s="158"/>
      <c r="AG591" s="94">
        <v>0</v>
      </c>
      <c r="AH591" s="94"/>
      <c r="AI591" s="94"/>
      <c r="AJ591" s="158">
        <f t="shared" si="96"/>
        <v>0</v>
      </c>
      <c r="AK591" s="158">
        <v>877</v>
      </c>
      <c r="AL591" s="158">
        <v>10</v>
      </c>
      <c r="AM591" s="158"/>
      <c r="AN591" s="158"/>
      <c r="AO591" s="158"/>
      <c r="AP591" s="81"/>
      <c r="AQ591" s="81"/>
      <c r="AR591" s="81"/>
      <c r="AS591" s="2">
        <v>1</v>
      </c>
      <c r="AT591" s="58" t="s">
        <v>646</v>
      </c>
      <c r="AU591" s="348"/>
      <c r="AV591" s="51"/>
      <c r="AW591" s="56"/>
      <c r="AX591" s="56"/>
      <c r="AY591" s="81">
        <v>32</v>
      </c>
      <c r="AZ591" s="81"/>
      <c r="BA591" s="56"/>
      <c r="BB591" s="81">
        <v>32</v>
      </c>
      <c r="BC591" s="81"/>
      <c r="BD591" s="271">
        <v>2019</v>
      </c>
      <c r="BE591" s="271">
        <v>2019</v>
      </c>
      <c r="BF591" s="271"/>
    </row>
    <row r="592" spans="1:58" s="204" customFormat="1" ht="18" hidden="1" customHeight="1">
      <c r="A592" s="160" t="s">
        <v>510</v>
      </c>
      <c r="B592" s="58" t="s">
        <v>280</v>
      </c>
      <c r="C592" s="148" t="s">
        <v>1160</v>
      </c>
      <c r="D592" s="33" t="s">
        <v>1161</v>
      </c>
      <c r="E592" s="33"/>
      <c r="F592" s="33"/>
      <c r="G592" s="33"/>
      <c r="H592" s="30" t="s">
        <v>1113</v>
      </c>
      <c r="I592" s="78">
        <v>778</v>
      </c>
      <c r="J592" s="212">
        <v>43455</v>
      </c>
      <c r="K592" s="158">
        <v>10</v>
      </c>
      <c r="L592" s="158">
        <v>10</v>
      </c>
      <c r="M592" s="158"/>
      <c r="N592" s="158"/>
      <c r="O592" s="158"/>
      <c r="P592" s="158">
        <v>657833375</v>
      </c>
      <c r="Q592" s="158"/>
      <c r="R592" s="158"/>
      <c r="S592" s="158"/>
      <c r="T592" s="586">
        <v>354546942</v>
      </c>
      <c r="U592" s="158">
        <v>10</v>
      </c>
      <c r="V592" s="311">
        <v>43497</v>
      </c>
      <c r="W592" s="311"/>
      <c r="X592" s="311"/>
      <c r="Y592" s="94">
        <v>303286433</v>
      </c>
      <c r="Z592" s="69">
        <v>10</v>
      </c>
      <c r="AA592" s="311">
        <v>43647</v>
      </c>
      <c r="AB592" s="577"/>
      <c r="AC592" s="69"/>
      <c r="AD592" s="158"/>
      <c r="AE592" s="158">
        <f t="shared" si="97"/>
        <v>0</v>
      </c>
      <c r="AF592" s="158"/>
      <c r="AG592" s="94">
        <v>0</v>
      </c>
      <c r="AH592" s="94"/>
      <c r="AI592" s="94"/>
      <c r="AJ592" s="158">
        <f t="shared" si="96"/>
        <v>0</v>
      </c>
      <c r="AK592" s="158">
        <v>877</v>
      </c>
      <c r="AL592" s="158">
        <v>10</v>
      </c>
      <c r="AM592" s="158"/>
      <c r="AN592" s="158"/>
      <c r="AO592" s="81"/>
      <c r="AP592" s="81"/>
      <c r="AQ592" s="81"/>
      <c r="AR592" s="81"/>
      <c r="AS592" s="98">
        <v>1</v>
      </c>
      <c r="AT592" s="58" t="s">
        <v>646</v>
      </c>
      <c r="AU592" s="348"/>
      <c r="AV592" s="51"/>
      <c r="AW592" s="56"/>
      <c r="AX592" s="56"/>
      <c r="AY592" s="81">
        <v>10</v>
      </c>
      <c r="AZ592" s="81"/>
      <c r="BA592" s="56"/>
      <c r="BB592" s="81">
        <v>10</v>
      </c>
      <c r="BC592" s="81"/>
      <c r="BD592" s="271">
        <v>2019</v>
      </c>
      <c r="BE592" s="271">
        <v>2019</v>
      </c>
      <c r="BF592" s="271"/>
    </row>
    <row r="593" spans="1:58" s="204" customFormat="1" ht="18" hidden="1" customHeight="1">
      <c r="A593" s="248" t="s">
        <v>510</v>
      </c>
      <c r="B593" s="58" t="s">
        <v>211</v>
      </c>
      <c r="C593" s="148" t="s">
        <v>257</v>
      </c>
      <c r="D593" s="33" t="s">
        <v>7</v>
      </c>
      <c r="E593" s="33"/>
      <c r="F593" s="33"/>
      <c r="G593" s="33"/>
      <c r="H593" s="30" t="s">
        <v>1113</v>
      </c>
      <c r="I593" s="30">
        <v>709</v>
      </c>
      <c r="J593" s="212">
        <v>43452</v>
      </c>
      <c r="K593" s="158">
        <v>55</v>
      </c>
      <c r="L593" s="158">
        <v>55</v>
      </c>
      <c r="M593" s="158"/>
      <c r="N593" s="158"/>
      <c r="O593" s="158"/>
      <c r="P593" s="158">
        <v>3620436919</v>
      </c>
      <c r="Q593" s="158"/>
      <c r="R593" s="158"/>
      <c r="S593" s="158"/>
      <c r="T593" s="586">
        <v>1882382720</v>
      </c>
      <c r="U593" s="158">
        <v>20</v>
      </c>
      <c r="V593" s="311">
        <v>43586</v>
      </c>
      <c r="W593" s="311"/>
      <c r="X593" s="311"/>
      <c r="Y593" s="94">
        <f>1738054199-1738054199+1738054199</f>
        <v>1738054199</v>
      </c>
      <c r="Z593" s="158">
        <v>20</v>
      </c>
      <c r="AA593" s="311">
        <v>43678</v>
      </c>
      <c r="AB593" s="311"/>
      <c r="AC593" s="158"/>
      <c r="AD593" s="158"/>
      <c r="AE593" s="158">
        <f t="shared" si="97"/>
        <v>0</v>
      </c>
      <c r="AF593" s="158"/>
      <c r="AG593" s="94">
        <v>0</v>
      </c>
      <c r="AH593" s="94"/>
      <c r="AI593" s="94"/>
      <c r="AJ593" s="158">
        <f t="shared" si="96"/>
        <v>0</v>
      </c>
      <c r="AK593" s="158">
        <v>877</v>
      </c>
      <c r="AL593" s="158">
        <v>20</v>
      </c>
      <c r="AM593" s="158"/>
      <c r="AN593" s="158"/>
      <c r="AO593" s="158"/>
      <c r="AP593" s="81"/>
      <c r="AQ593" s="81"/>
      <c r="AR593" s="81"/>
      <c r="AS593" s="2">
        <v>1</v>
      </c>
      <c r="AT593" s="58" t="s">
        <v>646</v>
      </c>
      <c r="AU593" s="348"/>
      <c r="AV593" s="51"/>
      <c r="AW593" s="56"/>
      <c r="AX593" s="56"/>
      <c r="AY593" s="158">
        <v>55</v>
      </c>
      <c r="AZ593" s="158"/>
      <c r="BA593" s="56"/>
      <c r="BB593" s="158">
        <v>55</v>
      </c>
      <c r="BC593" s="158"/>
      <c r="BD593" s="271">
        <v>2019</v>
      </c>
      <c r="BE593" s="271">
        <v>2019</v>
      </c>
      <c r="BF593" s="271"/>
    </row>
    <row r="594" spans="1:58" s="204" customFormat="1" ht="18" hidden="1" customHeight="1">
      <c r="A594" s="160" t="s">
        <v>510</v>
      </c>
      <c r="B594" s="58" t="s">
        <v>197</v>
      </c>
      <c r="C594" s="148" t="s">
        <v>1168</v>
      </c>
      <c r="D594" s="33" t="s">
        <v>1169</v>
      </c>
      <c r="E594" s="33"/>
      <c r="F594" s="33"/>
      <c r="G594" s="33"/>
      <c r="H594" s="30" t="s">
        <v>1113</v>
      </c>
      <c r="I594" s="30">
        <v>710</v>
      </c>
      <c r="J594" s="212">
        <v>43452</v>
      </c>
      <c r="K594" s="158">
        <v>41</v>
      </c>
      <c r="L594" s="158">
        <v>41</v>
      </c>
      <c r="M594" s="158"/>
      <c r="N594" s="158"/>
      <c r="O594" s="158"/>
      <c r="P594" s="158">
        <v>2691876371</v>
      </c>
      <c r="Q594" s="158"/>
      <c r="R594" s="158"/>
      <c r="S594" s="158"/>
      <c r="T594" s="586">
        <v>1426649361</v>
      </c>
      <c r="U594" s="158">
        <v>30</v>
      </c>
      <c r="V594" s="311"/>
      <c r="W594" s="311"/>
      <c r="X594" s="311"/>
      <c r="Y594" s="94">
        <v>1265227010</v>
      </c>
      <c r="Z594" s="158">
        <v>20</v>
      </c>
      <c r="AA594" s="311">
        <v>43586</v>
      </c>
      <c r="AB594" s="311"/>
      <c r="AC594" s="158"/>
      <c r="AD594" s="158"/>
      <c r="AE594" s="158">
        <f t="shared" si="97"/>
        <v>0</v>
      </c>
      <c r="AF594" s="158"/>
      <c r="AG594" s="94">
        <v>0</v>
      </c>
      <c r="AH594" s="94"/>
      <c r="AI594" s="94"/>
      <c r="AJ594" s="158">
        <f t="shared" si="96"/>
        <v>0</v>
      </c>
      <c r="AK594" s="158">
        <v>877</v>
      </c>
      <c r="AL594" s="158">
        <v>20</v>
      </c>
      <c r="AM594" s="158"/>
      <c r="AN594" s="158"/>
      <c r="AO594" s="158"/>
      <c r="AP594" s="81"/>
      <c r="AQ594" s="81"/>
      <c r="AR594" s="81"/>
      <c r="AS594" s="98">
        <v>1</v>
      </c>
      <c r="AT594" s="58" t="s">
        <v>646</v>
      </c>
      <c r="AU594" s="348"/>
      <c r="AV594" s="51"/>
      <c r="AW594" s="56"/>
      <c r="AX594" s="56"/>
      <c r="AY594" s="81">
        <v>41</v>
      </c>
      <c r="AZ594" s="81"/>
      <c r="BA594" s="56"/>
      <c r="BB594" s="81">
        <v>41</v>
      </c>
      <c r="BC594" s="81"/>
      <c r="BD594" s="271">
        <v>2019</v>
      </c>
      <c r="BE594" s="271">
        <v>2019</v>
      </c>
      <c r="BF594" s="271"/>
    </row>
    <row r="595" spans="1:58" s="204" customFormat="1" ht="18" hidden="1" customHeight="1">
      <c r="A595" s="230" t="s">
        <v>510</v>
      </c>
      <c r="B595" s="58" t="s">
        <v>203</v>
      </c>
      <c r="C595" s="148" t="s">
        <v>1170</v>
      </c>
      <c r="D595" s="33" t="s">
        <v>524</v>
      </c>
      <c r="E595" s="33"/>
      <c r="F595" s="33"/>
      <c r="G595" s="33"/>
      <c r="H595" s="30" t="s">
        <v>1113</v>
      </c>
      <c r="I595" s="30">
        <v>772</v>
      </c>
      <c r="J595" s="212">
        <v>43455</v>
      </c>
      <c r="K595" s="158">
        <v>28</v>
      </c>
      <c r="L595" s="158">
        <v>28</v>
      </c>
      <c r="M595" s="158"/>
      <c r="N595" s="158"/>
      <c r="O595" s="158"/>
      <c r="P595" s="158">
        <v>1841250670</v>
      </c>
      <c r="Q595" s="158"/>
      <c r="R595" s="158"/>
      <c r="S595" s="158"/>
      <c r="T595" s="586">
        <v>970167503</v>
      </c>
      <c r="U595" s="158">
        <v>10</v>
      </c>
      <c r="V595" s="311">
        <v>43497</v>
      </c>
      <c r="W595" s="311"/>
      <c r="X595" s="311"/>
      <c r="Y595" s="94">
        <v>871083167</v>
      </c>
      <c r="Z595" s="158">
        <v>10</v>
      </c>
      <c r="AA595" s="311">
        <v>43617</v>
      </c>
      <c r="AB595" s="311"/>
      <c r="AC595" s="158"/>
      <c r="AD595" s="158"/>
      <c r="AE595" s="158">
        <f t="shared" si="97"/>
        <v>0</v>
      </c>
      <c r="AF595" s="158"/>
      <c r="AG595" s="94">
        <v>0</v>
      </c>
      <c r="AH595" s="94"/>
      <c r="AI595" s="94"/>
      <c r="AJ595" s="158">
        <f t="shared" si="96"/>
        <v>0</v>
      </c>
      <c r="AK595" s="158">
        <v>877</v>
      </c>
      <c r="AL595" s="158">
        <v>10</v>
      </c>
      <c r="AM595" s="158"/>
      <c r="AN595" s="158"/>
      <c r="AO595" s="81"/>
      <c r="AP595" s="81"/>
      <c r="AQ595" s="81"/>
      <c r="AR595" s="81"/>
      <c r="AS595" s="98">
        <v>1</v>
      </c>
      <c r="AT595" s="58" t="s">
        <v>646</v>
      </c>
      <c r="AU595" s="348" t="s">
        <v>1709</v>
      </c>
      <c r="AV595" s="51"/>
      <c r="AW595" s="56"/>
      <c r="AX595" s="56"/>
      <c r="AY595" s="81">
        <v>28</v>
      </c>
      <c r="AZ595" s="81"/>
      <c r="BA595" s="56"/>
      <c r="BB595" s="81">
        <v>28</v>
      </c>
      <c r="BC595" s="81"/>
      <c r="BD595" s="271">
        <v>2019</v>
      </c>
      <c r="BE595" s="271">
        <v>2019</v>
      </c>
      <c r="BF595" s="271"/>
    </row>
    <row r="596" spans="1:58" s="204" customFormat="1" ht="18" hidden="1" customHeight="1">
      <c r="A596" s="160" t="s">
        <v>510</v>
      </c>
      <c r="B596" s="58" t="s">
        <v>216</v>
      </c>
      <c r="C596" s="148" t="s">
        <v>1247</v>
      </c>
      <c r="D596" s="33" t="s">
        <v>61</v>
      </c>
      <c r="E596" s="33"/>
      <c r="F596" s="33"/>
      <c r="G596" s="33"/>
      <c r="H596" s="30" t="s">
        <v>1232</v>
      </c>
      <c r="I596" s="30">
        <v>482</v>
      </c>
      <c r="J596" s="212">
        <v>43538</v>
      </c>
      <c r="K596" s="158"/>
      <c r="L596" s="158"/>
      <c r="M596" s="158">
        <v>18</v>
      </c>
      <c r="N596" s="158"/>
      <c r="O596" s="158"/>
      <c r="P596" s="158">
        <v>1264209725</v>
      </c>
      <c r="Q596" s="158"/>
      <c r="R596" s="158"/>
      <c r="S596" s="158"/>
      <c r="T596" s="586">
        <v>685151502</v>
      </c>
      <c r="U596" s="158">
        <v>10</v>
      </c>
      <c r="V596" s="311">
        <v>43556</v>
      </c>
      <c r="W596" s="311"/>
      <c r="X596" s="311"/>
      <c r="Y596" s="94">
        <v>579058223</v>
      </c>
      <c r="Z596" s="69">
        <v>10</v>
      </c>
      <c r="AA596" s="311">
        <v>43647</v>
      </c>
      <c r="AB596" s="577"/>
      <c r="AC596" s="69"/>
      <c r="AD596" s="158"/>
      <c r="AE596" s="158">
        <f t="shared" si="97"/>
        <v>0</v>
      </c>
      <c r="AF596" s="158"/>
      <c r="AG596" s="94">
        <v>0</v>
      </c>
      <c r="AH596" s="94"/>
      <c r="AI596" s="94"/>
      <c r="AJ596" s="158">
        <f t="shared" si="96"/>
        <v>0</v>
      </c>
      <c r="AK596" s="158">
        <v>877</v>
      </c>
      <c r="AL596" s="158">
        <v>10</v>
      </c>
      <c r="AM596" s="158"/>
      <c r="AN596" s="158"/>
      <c r="AO596" s="158"/>
      <c r="AP596" s="81"/>
      <c r="AQ596" s="81"/>
      <c r="AR596" s="81"/>
      <c r="AS596" s="2">
        <v>1</v>
      </c>
      <c r="AT596" s="58" t="s">
        <v>646</v>
      </c>
      <c r="AU596" s="348"/>
      <c r="AV596" s="51"/>
      <c r="AW596" s="56"/>
      <c r="AX596" s="56"/>
      <c r="AY596" s="158">
        <v>18</v>
      </c>
      <c r="AZ596" s="158"/>
      <c r="BA596" s="56"/>
      <c r="BB596" s="158">
        <v>18</v>
      </c>
      <c r="BC596" s="158"/>
      <c r="BD596" s="271">
        <v>2019</v>
      </c>
      <c r="BE596" s="271">
        <v>2019</v>
      </c>
      <c r="BF596" s="271"/>
    </row>
    <row r="597" spans="1:58" s="204" customFormat="1" ht="18" hidden="1" customHeight="1">
      <c r="A597" s="160" t="s">
        <v>510</v>
      </c>
      <c r="B597" s="58" t="s">
        <v>547</v>
      </c>
      <c r="C597" s="148" t="s">
        <v>1248</v>
      </c>
      <c r="D597" s="33" t="s">
        <v>862</v>
      </c>
      <c r="E597" s="33"/>
      <c r="F597" s="33"/>
      <c r="G597" s="33"/>
      <c r="H597" s="30" t="s">
        <v>1232</v>
      </c>
      <c r="I597" s="30">
        <v>484</v>
      </c>
      <c r="J597" s="212">
        <v>43538</v>
      </c>
      <c r="K597" s="158"/>
      <c r="L597" s="158"/>
      <c r="M597" s="158">
        <f>147-63</f>
        <v>84</v>
      </c>
      <c r="N597" s="158"/>
      <c r="O597" s="158"/>
      <c r="P597" s="158">
        <f>10319783257-4422764253</f>
        <v>5897019004</v>
      </c>
      <c r="Q597" s="158"/>
      <c r="R597" s="158"/>
      <c r="S597" s="158"/>
      <c r="T597" s="586">
        <v>5584450875</v>
      </c>
      <c r="U597" s="158">
        <v>10</v>
      </c>
      <c r="V597" s="311">
        <v>43586</v>
      </c>
      <c r="W597" s="311"/>
      <c r="X597" s="311"/>
      <c r="Y597" s="94">
        <f>4735332382-4422764253</f>
        <v>312568129</v>
      </c>
      <c r="Z597" s="69">
        <v>20</v>
      </c>
      <c r="AA597" s="311">
        <v>43739</v>
      </c>
      <c r="AB597" s="577"/>
      <c r="AC597" s="69"/>
      <c r="AD597" s="158"/>
      <c r="AE597" s="158">
        <f t="shared" si="97"/>
        <v>0</v>
      </c>
      <c r="AF597" s="158"/>
      <c r="AG597" s="94">
        <v>0</v>
      </c>
      <c r="AH597" s="94"/>
      <c r="AI597" s="94"/>
      <c r="AJ597" s="158">
        <f t="shared" si="96"/>
        <v>0</v>
      </c>
      <c r="AK597" s="158">
        <v>877</v>
      </c>
      <c r="AL597" s="158">
        <v>20</v>
      </c>
      <c r="AM597" s="158"/>
      <c r="AN597" s="158"/>
      <c r="AO597" s="81"/>
      <c r="AP597" s="81"/>
      <c r="AQ597" s="81"/>
      <c r="AR597" s="81"/>
      <c r="AS597" s="98">
        <v>1</v>
      </c>
      <c r="AT597" s="58" t="s">
        <v>646</v>
      </c>
      <c r="AU597" s="348" t="s">
        <v>1316</v>
      </c>
      <c r="AV597" s="51"/>
      <c r="AW597" s="56"/>
      <c r="AX597" s="56"/>
      <c r="AY597" s="81">
        <v>84</v>
      </c>
      <c r="AZ597" s="81"/>
      <c r="BA597" s="56"/>
      <c r="BB597" s="81">
        <v>84</v>
      </c>
      <c r="BC597" s="81"/>
      <c r="BD597" s="271">
        <v>2019</v>
      </c>
      <c r="BE597" s="271">
        <v>2019</v>
      </c>
      <c r="BF597" s="271"/>
    </row>
    <row r="598" spans="1:58" s="204" customFormat="1" ht="18" customHeight="1">
      <c r="A598" s="160" t="s">
        <v>510</v>
      </c>
      <c r="B598" s="58" t="s">
        <v>547</v>
      </c>
      <c r="C598" s="148" t="s">
        <v>1248</v>
      </c>
      <c r="D598" s="33" t="s">
        <v>862</v>
      </c>
      <c r="E598" s="33"/>
      <c r="F598" s="33"/>
      <c r="G598" s="33"/>
      <c r="H598" s="30" t="s">
        <v>1232</v>
      </c>
      <c r="I598" s="30">
        <v>484</v>
      </c>
      <c r="J598" s="212">
        <v>43538</v>
      </c>
      <c r="K598" s="158"/>
      <c r="L598" s="158"/>
      <c r="M598" s="158">
        <v>63</v>
      </c>
      <c r="N598" s="158">
        <v>63</v>
      </c>
      <c r="O598" s="158"/>
      <c r="P598" s="158">
        <v>4422764253</v>
      </c>
      <c r="Q598" s="158"/>
      <c r="R598" s="158"/>
      <c r="S598" s="158"/>
      <c r="T598" s="586"/>
      <c r="U598" s="158"/>
      <c r="V598" s="311"/>
      <c r="W598" s="311"/>
      <c r="X598" s="311"/>
      <c r="Y598" s="94">
        <v>4422764253</v>
      </c>
      <c r="Z598" s="69">
        <v>20</v>
      </c>
      <c r="AA598" s="311">
        <v>43739</v>
      </c>
      <c r="AB598" s="577"/>
      <c r="AC598" s="69"/>
      <c r="AD598" s="158"/>
      <c r="AE598" s="158">
        <f t="shared" si="97"/>
        <v>0</v>
      </c>
      <c r="AF598" s="158"/>
      <c r="AG598" s="94">
        <v>0</v>
      </c>
      <c r="AH598" s="94"/>
      <c r="AI598" s="94"/>
      <c r="AJ598" s="158">
        <f t="shared" si="96"/>
        <v>0</v>
      </c>
      <c r="AK598" s="158">
        <v>877</v>
      </c>
      <c r="AL598" s="158">
        <v>20</v>
      </c>
      <c r="AM598" s="158"/>
      <c r="AN598" s="158">
        <v>63</v>
      </c>
      <c r="AO598" s="81"/>
      <c r="AP598" s="81"/>
      <c r="AQ598" s="81"/>
      <c r="AR598" s="81"/>
      <c r="AS598" s="98">
        <v>0.64149999999999996</v>
      </c>
      <c r="AT598" s="58" t="s">
        <v>38</v>
      </c>
      <c r="AU598" s="348"/>
      <c r="AV598" s="51"/>
      <c r="AW598" s="56"/>
      <c r="AX598" s="56"/>
      <c r="AY598" s="56"/>
      <c r="AZ598" s="56"/>
      <c r="BA598" s="56"/>
      <c r="BB598" s="291"/>
      <c r="BC598" s="291"/>
      <c r="BD598" s="271"/>
      <c r="BE598" s="271">
        <v>2019</v>
      </c>
      <c r="BF598" s="271">
        <v>2020</v>
      </c>
    </row>
    <row r="599" spans="1:58" s="204" customFormat="1" ht="18" customHeight="1">
      <c r="A599" s="160" t="s">
        <v>510</v>
      </c>
      <c r="B599" s="58" t="s">
        <v>216</v>
      </c>
      <c r="C599" s="148" t="s">
        <v>1269</v>
      </c>
      <c r="D599" s="33" t="s">
        <v>7</v>
      </c>
      <c r="E599" s="33"/>
      <c r="F599" s="33"/>
      <c r="G599" s="33"/>
      <c r="H599" s="30" t="s">
        <v>1232</v>
      </c>
      <c r="I599" s="30">
        <v>516</v>
      </c>
      <c r="J599" s="212">
        <v>43544</v>
      </c>
      <c r="K599" s="158"/>
      <c r="L599" s="158">
        <v>54</v>
      </c>
      <c r="M599" s="158"/>
      <c r="N599" s="158">
        <v>54</v>
      </c>
      <c r="O599" s="158"/>
      <c r="P599" s="158">
        <v>3792544876</v>
      </c>
      <c r="Q599" s="158"/>
      <c r="R599" s="158"/>
      <c r="S599" s="158"/>
      <c r="T599" s="586">
        <v>2062344528</v>
      </c>
      <c r="U599" s="158">
        <v>10</v>
      </c>
      <c r="V599" s="311">
        <v>43586</v>
      </c>
      <c r="W599" s="311"/>
      <c r="X599" s="311"/>
      <c r="Y599" s="94">
        <v>1730200348</v>
      </c>
      <c r="Z599" s="69">
        <v>20</v>
      </c>
      <c r="AA599" s="311">
        <v>43709</v>
      </c>
      <c r="AB599" s="577"/>
      <c r="AC599" s="69"/>
      <c r="AD599" s="158"/>
      <c r="AE599" s="158">
        <f t="shared" si="97"/>
        <v>0</v>
      </c>
      <c r="AF599" s="158"/>
      <c r="AG599" s="94">
        <v>0</v>
      </c>
      <c r="AH599" s="94"/>
      <c r="AI599" s="94"/>
      <c r="AJ599" s="158">
        <f t="shared" si="96"/>
        <v>0</v>
      </c>
      <c r="AK599" s="158">
        <v>877</v>
      </c>
      <c r="AL599" s="158">
        <v>20</v>
      </c>
      <c r="AM599" s="158"/>
      <c r="AN599" s="158">
        <v>54</v>
      </c>
      <c r="AO599" s="98"/>
      <c r="AP599" s="81"/>
      <c r="AQ599" s="81"/>
      <c r="AR599" s="81"/>
      <c r="AS599" s="98">
        <v>0.84499999999999997</v>
      </c>
      <c r="AT599" s="58" t="s">
        <v>38</v>
      </c>
      <c r="AU599" s="348"/>
      <c r="AV599" s="51"/>
      <c r="AW599" s="56"/>
      <c r="AX599" s="56"/>
      <c r="AY599" s="56"/>
      <c r="AZ599" s="56"/>
      <c r="BA599" s="56"/>
      <c r="BB599" s="291"/>
      <c r="BC599" s="291"/>
      <c r="BD599" s="271"/>
      <c r="BE599" s="271">
        <v>2019</v>
      </c>
      <c r="BF599" s="271">
        <v>2020</v>
      </c>
    </row>
    <row r="600" spans="1:58" s="204" customFormat="1" ht="18" hidden="1" customHeight="1">
      <c r="A600" s="160" t="s">
        <v>510</v>
      </c>
      <c r="B600" s="58" t="s">
        <v>546</v>
      </c>
      <c r="C600" s="55" t="s">
        <v>1268</v>
      </c>
      <c r="D600" s="33" t="s">
        <v>40</v>
      </c>
      <c r="E600" s="33"/>
      <c r="F600" s="33"/>
      <c r="G600" s="33"/>
      <c r="H600" s="30" t="s">
        <v>1232</v>
      </c>
      <c r="I600" s="30">
        <v>488</v>
      </c>
      <c r="J600" s="212">
        <v>43539</v>
      </c>
      <c r="K600" s="158"/>
      <c r="L600" s="158"/>
      <c r="M600" s="158">
        <v>15</v>
      </c>
      <c r="N600" s="158"/>
      <c r="O600" s="158"/>
      <c r="P600" s="158">
        <v>1017919577</v>
      </c>
      <c r="Q600" s="158"/>
      <c r="R600" s="158"/>
      <c r="S600" s="158"/>
      <c r="T600" s="586">
        <v>525206013</v>
      </c>
      <c r="U600" s="158">
        <v>10</v>
      </c>
      <c r="V600" s="311">
        <v>43586</v>
      </c>
      <c r="W600" s="311"/>
      <c r="X600" s="311"/>
      <c r="Y600" s="94">
        <v>492713564</v>
      </c>
      <c r="Z600" s="69">
        <v>20</v>
      </c>
      <c r="AA600" s="311">
        <v>43709</v>
      </c>
      <c r="AB600" s="577"/>
      <c r="AC600" s="69"/>
      <c r="AD600" s="158"/>
      <c r="AE600" s="158">
        <f t="shared" si="97"/>
        <v>0</v>
      </c>
      <c r="AF600" s="158"/>
      <c r="AG600" s="94">
        <v>0</v>
      </c>
      <c r="AH600" s="94"/>
      <c r="AI600" s="94"/>
      <c r="AJ600" s="158">
        <f t="shared" si="96"/>
        <v>0</v>
      </c>
      <c r="AK600" s="158">
        <v>877</v>
      </c>
      <c r="AL600" s="158">
        <v>20</v>
      </c>
      <c r="AM600" s="158"/>
      <c r="AN600" s="158"/>
      <c r="AO600" s="158"/>
      <c r="AP600" s="81"/>
      <c r="AQ600" s="81"/>
      <c r="AR600" s="81"/>
      <c r="AS600" s="2">
        <v>1</v>
      </c>
      <c r="AT600" s="58" t="s">
        <v>646</v>
      </c>
      <c r="AU600" s="348"/>
      <c r="AV600" s="51"/>
      <c r="AW600" s="56"/>
      <c r="AX600" s="56"/>
      <c r="AY600" s="158">
        <v>15</v>
      </c>
      <c r="AZ600" s="158"/>
      <c r="BA600" s="56"/>
      <c r="BB600" s="158">
        <v>15</v>
      </c>
      <c r="BC600" s="158"/>
      <c r="BD600" s="271">
        <v>2019</v>
      </c>
      <c r="BE600" s="271">
        <v>2019</v>
      </c>
      <c r="BF600" s="271"/>
    </row>
    <row r="601" spans="1:58" s="204" customFormat="1" ht="18" customHeight="1">
      <c r="A601" s="160" t="s">
        <v>510</v>
      </c>
      <c r="B601" s="58" t="s">
        <v>216</v>
      </c>
      <c r="C601" s="55" t="s">
        <v>1636</v>
      </c>
      <c r="D601" s="33" t="s">
        <v>1642</v>
      </c>
      <c r="E601" s="33"/>
      <c r="F601" s="33"/>
      <c r="G601" s="33"/>
      <c r="H601" s="30" t="s">
        <v>1605</v>
      </c>
      <c r="I601" s="30">
        <v>1377</v>
      </c>
      <c r="J601" s="212">
        <v>43685</v>
      </c>
      <c r="K601" s="158"/>
      <c r="L601" s="158"/>
      <c r="M601" s="158">
        <v>31</v>
      </c>
      <c r="N601" s="158">
        <v>31</v>
      </c>
      <c r="O601" s="158"/>
      <c r="P601" s="158">
        <v>2229641351</v>
      </c>
      <c r="Q601" s="158"/>
      <c r="R601" s="158"/>
      <c r="S601" s="158"/>
      <c r="T601" s="586">
        <v>1196035726</v>
      </c>
      <c r="U601" s="158">
        <v>20</v>
      </c>
      <c r="V601" s="311">
        <v>43678</v>
      </c>
      <c r="W601" s="311"/>
      <c r="X601" s="311"/>
      <c r="Y601" s="94">
        <v>1033605625</v>
      </c>
      <c r="Z601" s="69">
        <v>20</v>
      </c>
      <c r="AA601" s="311">
        <v>43800</v>
      </c>
      <c r="AB601" s="582"/>
      <c r="AC601" s="284"/>
      <c r="AD601" s="158"/>
      <c r="AE601" s="158">
        <f>P601-T601-Y601</f>
        <v>0</v>
      </c>
      <c r="AF601" s="158"/>
      <c r="AG601" s="94">
        <v>0</v>
      </c>
      <c r="AH601" s="94"/>
      <c r="AI601" s="94"/>
      <c r="AJ601" s="158">
        <f t="shared" si="96"/>
        <v>0</v>
      </c>
      <c r="AK601" s="158">
        <v>877</v>
      </c>
      <c r="AL601" s="158">
        <v>20</v>
      </c>
      <c r="AM601" s="158"/>
      <c r="AN601" s="158">
        <v>31</v>
      </c>
      <c r="AO601" s="98"/>
      <c r="AP601" s="81"/>
      <c r="AQ601" s="81"/>
      <c r="AR601" s="81"/>
      <c r="AS601" s="98">
        <v>0.57679999999999998</v>
      </c>
      <c r="AT601" s="58" t="s">
        <v>38</v>
      </c>
      <c r="AU601" s="348"/>
      <c r="AV601" s="51"/>
      <c r="AW601" s="56"/>
      <c r="AX601" s="56"/>
      <c r="AY601" s="56"/>
      <c r="AZ601" s="56"/>
      <c r="BA601" s="56"/>
      <c r="BB601" s="291"/>
      <c r="BC601" s="291"/>
      <c r="BD601" s="271"/>
      <c r="BE601" s="271">
        <v>2019</v>
      </c>
      <c r="BF601" s="271">
        <v>2020</v>
      </c>
    </row>
    <row r="602" spans="1:58" s="204" customFormat="1" ht="18" customHeight="1">
      <c r="A602" s="160" t="s">
        <v>510</v>
      </c>
      <c r="B602" s="58" t="s">
        <v>280</v>
      </c>
      <c r="C602" s="148" t="s">
        <v>1637</v>
      </c>
      <c r="D602" s="33" t="s">
        <v>566</v>
      </c>
      <c r="E602" s="33"/>
      <c r="F602" s="33"/>
      <c r="G602" s="33"/>
      <c r="H602" s="30" t="s">
        <v>1605</v>
      </c>
      <c r="I602" s="30">
        <v>1374</v>
      </c>
      <c r="J602" s="212">
        <v>43685</v>
      </c>
      <c r="K602" s="158"/>
      <c r="L602" s="158"/>
      <c r="M602" s="158">
        <v>6</v>
      </c>
      <c r="N602" s="158">
        <v>6</v>
      </c>
      <c r="O602" s="158"/>
      <c r="P602" s="158">
        <v>437130410</v>
      </c>
      <c r="Q602" s="158"/>
      <c r="R602" s="158"/>
      <c r="S602" s="158"/>
      <c r="T602" s="586">
        <v>236818076</v>
      </c>
      <c r="U602" s="158">
        <v>20</v>
      </c>
      <c r="V602" s="311">
        <v>43678</v>
      </c>
      <c r="W602" s="311"/>
      <c r="X602" s="311"/>
      <c r="Y602" s="94">
        <v>200312334</v>
      </c>
      <c r="Z602" s="69">
        <v>20</v>
      </c>
      <c r="AA602" s="311">
        <v>43800</v>
      </c>
      <c r="AB602" s="582"/>
      <c r="AC602" s="284"/>
      <c r="AD602" s="158"/>
      <c r="AE602" s="158">
        <f>P602-T602-Y602</f>
        <v>0</v>
      </c>
      <c r="AF602" s="158"/>
      <c r="AG602" s="94">
        <v>0</v>
      </c>
      <c r="AH602" s="94"/>
      <c r="AI602" s="94"/>
      <c r="AJ602" s="158">
        <f t="shared" si="96"/>
        <v>0</v>
      </c>
      <c r="AK602" s="158">
        <v>877</v>
      </c>
      <c r="AL602" s="158">
        <v>20</v>
      </c>
      <c r="AM602" s="158"/>
      <c r="AN602" s="158">
        <v>6</v>
      </c>
      <c r="AO602" s="98"/>
      <c r="AP602" s="81"/>
      <c r="AQ602" s="81"/>
      <c r="AR602" s="81"/>
      <c r="AS602" s="98">
        <v>0.57089999999999996</v>
      </c>
      <c r="AT602" s="58" t="s">
        <v>38</v>
      </c>
      <c r="AU602" s="348"/>
      <c r="AV602" s="51"/>
      <c r="AW602" s="56"/>
      <c r="AX602" s="56"/>
      <c r="AY602" s="56"/>
      <c r="AZ602" s="56"/>
      <c r="BA602" s="56"/>
      <c r="BB602" s="291"/>
      <c r="BC602" s="291"/>
      <c r="BD602" s="271"/>
      <c r="BE602" s="271">
        <v>2019</v>
      </c>
      <c r="BF602" s="271">
        <v>2020</v>
      </c>
    </row>
    <row r="603" spans="1:58" s="204" customFormat="1" ht="18" customHeight="1">
      <c r="A603" s="160" t="s">
        <v>510</v>
      </c>
      <c r="B603" s="58" t="s">
        <v>199</v>
      </c>
      <c r="C603" s="55" t="s">
        <v>1638</v>
      </c>
      <c r="D603" s="33" t="s">
        <v>566</v>
      </c>
      <c r="E603" s="33"/>
      <c r="F603" s="33"/>
      <c r="G603" s="33"/>
      <c r="H603" s="30" t="s">
        <v>1605</v>
      </c>
      <c r="I603" s="30">
        <v>1366</v>
      </c>
      <c r="J603" s="212">
        <v>43685</v>
      </c>
      <c r="K603" s="158"/>
      <c r="L603" s="158"/>
      <c r="M603" s="158">
        <v>15</v>
      </c>
      <c r="N603" s="158">
        <v>15</v>
      </c>
      <c r="O603" s="158"/>
      <c r="P603" s="158">
        <v>1084085195</v>
      </c>
      <c r="Q603" s="158"/>
      <c r="R603" s="158"/>
      <c r="S603" s="158"/>
      <c r="T603" s="586">
        <v>587805276</v>
      </c>
      <c r="U603" s="158">
        <v>20</v>
      </c>
      <c r="V603" s="311">
        <v>43678</v>
      </c>
      <c r="W603" s="311"/>
      <c r="X603" s="311"/>
      <c r="Y603" s="94">
        <v>496279919</v>
      </c>
      <c r="Z603" s="158">
        <v>20</v>
      </c>
      <c r="AA603" s="311">
        <v>43800</v>
      </c>
      <c r="AB603" s="582"/>
      <c r="AC603" s="284"/>
      <c r="AD603" s="158"/>
      <c r="AE603" s="158">
        <f>P603-T603-Y603</f>
        <v>0</v>
      </c>
      <c r="AF603" s="158"/>
      <c r="AG603" s="94">
        <v>0</v>
      </c>
      <c r="AH603" s="94"/>
      <c r="AI603" s="94"/>
      <c r="AJ603" s="158">
        <f t="shared" si="96"/>
        <v>0</v>
      </c>
      <c r="AK603" s="158">
        <v>877</v>
      </c>
      <c r="AL603" s="158">
        <v>20</v>
      </c>
      <c r="AM603" s="158"/>
      <c r="AN603" s="158">
        <v>15</v>
      </c>
      <c r="AO603" s="98"/>
      <c r="AP603" s="81"/>
      <c r="AQ603" s="81"/>
      <c r="AR603" s="81"/>
      <c r="AS603" s="98">
        <v>0.60360000000000003</v>
      </c>
      <c r="AT603" s="58" t="s">
        <v>38</v>
      </c>
      <c r="AU603" s="348"/>
      <c r="AV603" s="51"/>
      <c r="AW603" s="56"/>
      <c r="AX603" s="56"/>
      <c r="AY603" s="56"/>
      <c r="AZ603" s="56"/>
      <c r="BA603" s="56"/>
      <c r="BB603" s="291"/>
      <c r="BC603" s="291"/>
      <c r="BD603" s="271"/>
      <c r="BE603" s="271">
        <v>2019</v>
      </c>
      <c r="BF603" s="271">
        <v>2020</v>
      </c>
    </row>
    <row r="604" spans="1:58" s="204" customFormat="1" ht="18" customHeight="1">
      <c r="A604" s="160" t="s">
        <v>510</v>
      </c>
      <c r="B604" s="58" t="s">
        <v>280</v>
      </c>
      <c r="C604" s="148" t="s">
        <v>1639</v>
      </c>
      <c r="D604" s="33" t="s">
        <v>566</v>
      </c>
      <c r="E604" s="33"/>
      <c r="F604" s="33"/>
      <c r="G604" s="33"/>
      <c r="H604" s="30" t="s">
        <v>1605</v>
      </c>
      <c r="I604" s="30">
        <v>1372</v>
      </c>
      <c r="J604" s="212">
        <v>43685</v>
      </c>
      <c r="K604" s="158"/>
      <c r="L604" s="158"/>
      <c r="M604" s="158">
        <v>13</v>
      </c>
      <c r="N604" s="158">
        <v>13</v>
      </c>
      <c r="O604" s="158"/>
      <c r="P604" s="158">
        <v>940868147</v>
      </c>
      <c r="Q604" s="158"/>
      <c r="R604" s="158"/>
      <c r="S604" s="158"/>
      <c r="T604" s="586">
        <v>503959770</v>
      </c>
      <c r="U604" s="158">
        <v>20</v>
      </c>
      <c r="V604" s="311">
        <v>43678</v>
      </c>
      <c r="W604" s="311"/>
      <c r="X604" s="311"/>
      <c r="Y604" s="94">
        <v>436908377</v>
      </c>
      <c r="Z604" s="158">
        <v>20</v>
      </c>
      <c r="AA604" s="311">
        <v>43800</v>
      </c>
      <c r="AB604" s="582"/>
      <c r="AC604" s="284"/>
      <c r="AD604" s="158"/>
      <c r="AE604" s="158">
        <f>P604-T604-Y604</f>
        <v>0</v>
      </c>
      <c r="AF604" s="158"/>
      <c r="AG604" s="94">
        <v>0</v>
      </c>
      <c r="AH604" s="94"/>
      <c r="AI604" s="94"/>
      <c r="AJ604" s="158">
        <f t="shared" si="96"/>
        <v>0</v>
      </c>
      <c r="AK604" s="158">
        <v>877</v>
      </c>
      <c r="AL604" s="158">
        <v>20</v>
      </c>
      <c r="AM604" s="158"/>
      <c r="AN604" s="158">
        <v>13</v>
      </c>
      <c r="AO604" s="98"/>
      <c r="AP604" s="81"/>
      <c r="AQ604" s="81"/>
      <c r="AR604" s="81"/>
      <c r="AS604" s="98">
        <v>0.53779999999999994</v>
      </c>
      <c r="AT604" s="58" t="s">
        <v>38</v>
      </c>
      <c r="AU604" s="348"/>
      <c r="AV604" s="51"/>
      <c r="AW604" s="56"/>
      <c r="AX604" s="56"/>
      <c r="AY604" s="56"/>
      <c r="AZ604" s="56"/>
      <c r="BA604" s="56"/>
      <c r="BB604" s="291"/>
      <c r="BC604" s="291"/>
      <c r="BD604" s="271"/>
      <c r="BE604" s="271">
        <v>2019</v>
      </c>
      <c r="BF604" s="271">
        <v>2020</v>
      </c>
    </row>
    <row r="605" spans="1:58" s="204" customFormat="1" ht="18" hidden="1" customHeight="1">
      <c r="A605" s="160" t="s">
        <v>510</v>
      </c>
      <c r="B605" s="58" t="s">
        <v>280</v>
      </c>
      <c r="C605" s="148" t="s">
        <v>1640</v>
      </c>
      <c r="D605" s="33" t="s">
        <v>57</v>
      </c>
      <c r="E605" s="33"/>
      <c r="F605" s="33"/>
      <c r="G605" s="33"/>
      <c r="H605" s="30" t="s">
        <v>1605</v>
      </c>
      <c r="I605" s="30">
        <v>1371</v>
      </c>
      <c r="J605" s="212">
        <v>43685</v>
      </c>
      <c r="K605" s="158"/>
      <c r="L605" s="158"/>
      <c r="M605" s="158">
        <v>13</v>
      </c>
      <c r="N605" s="158"/>
      <c r="O605" s="158"/>
      <c r="P605" s="158">
        <v>947361554</v>
      </c>
      <c r="Q605" s="158"/>
      <c r="R605" s="158"/>
      <c r="S605" s="158"/>
      <c r="T605" s="586">
        <v>514145321</v>
      </c>
      <c r="U605" s="158">
        <v>20</v>
      </c>
      <c r="V605" s="311">
        <v>43678</v>
      </c>
      <c r="W605" s="311"/>
      <c r="X605" s="311"/>
      <c r="Y605" s="94">
        <v>433216233</v>
      </c>
      <c r="Z605" s="69">
        <v>20</v>
      </c>
      <c r="AA605" s="311">
        <v>43770</v>
      </c>
      <c r="AB605" s="582"/>
      <c r="AC605" s="284"/>
      <c r="AD605" s="158"/>
      <c r="AE605" s="158">
        <f>P605-T605-Y605</f>
        <v>0</v>
      </c>
      <c r="AF605" s="158"/>
      <c r="AG605" s="94">
        <v>0</v>
      </c>
      <c r="AH605" s="94"/>
      <c r="AI605" s="94"/>
      <c r="AJ605" s="158">
        <f t="shared" si="96"/>
        <v>0</v>
      </c>
      <c r="AK605" s="158">
        <v>877</v>
      </c>
      <c r="AL605" s="158">
        <v>20</v>
      </c>
      <c r="AM605" s="158"/>
      <c r="AN605" s="158"/>
      <c r="AO605" s="61"/>
      <c r="AP605" s="81"/>
      <c r="AQ605" s="81"/>
      <c r="AR605" s="81"/>
      <c r="AS605" s="2">
        <v>1</v>
      </c>
      <c r="AT605" s="58" t="s">
        <v>646</v>
      </c>
      <c r="AU605" s="348"/>
      <c r="AV605" s="51"/>
      <c r="AW605" s="56"/>
      <c r="AX605" s="56"/>
      <c r="AY605" s="61">
        <v>13</v>
      </c>
      <c r="AZ605" s="61"/>
      <c r="BA605" s="56"/>
      <c r="BB605" s="61">
        <v>13</v>
      </c>
      <c r="BC605" s="61"/>
      <c r="BD605" s="271">
        <v>2019</v>
      </c>
      <c r="BE605" s="271">
        <v>2019</v>
      </c>
      <c r="BF605" s="271"/>
    </row>
    <row r="606" spans="1:58" s="204" customFormat="1" ht="18" customHeight="1">
      <c r="A606" s="160" t="s">
        <v>510</v>
      </c>
      <c r="B606" s="58" t="s">
        <v>197</v>
      </c>
      <c r="C606" s="148" t="s">
        <v>1641</v>
      </c>
      <c r="D606" s="33" t="s">
        <v>287</v>
      </c>
      <c r="E606" s="33"/>
      <c r="F606" s="33"/>
      <c r="G606" s="33"/>
      <c r="H606" s="30" t="s">
        <v>1605</v>
      </c>
      <c r="I606" s="30">
        <v>1379</v>
      </c>
      <c r="J606" s="212">
        <v>43685</v>
      </c>
      <c r="K606" s="158"/>
      <c r="L606" s="158"/>
      <c r="M606" s="158">
        <v>25</v>
      </c>
      <c r="N606" s="158">
        <v>25</v>
      </c>
      <c r="O606" s="158"/>
      <c r="P606" s="158">
        <v>1573323147</v>
      </c>
      <c r="Q606" s="158"/>
      <c r="R606" s="158"/>
      <c r="S606" s="158"/>
      <c r="T606" s="586">
        <v>838522082</v>
      </c>
      <c r="U606" s="158">
        <v>20</v>
      </c>
      <c r="V606" s="311">
        <v>43678</v>
      </c>
      <c r="W606" s="311"/>
      <c r="X606" s="311"/>
      <c r="Y606" s="94">
        <v>734801065</v>
      </c>
      <c r="Z606" s="158">
        <v>20</v>
      </c>
      <c r="AA606" s="311">
        <v>43770</v>
      </c>
      <c r="AB606" s="582"/>
      <c r="AC606" s="284"/>
      <c r="AD606" s="158"/>
      <c r="AE606" s="158">
        <f t="shared" ref="AE606:AE613" si="98">P606-T606-Y606-AG606</f>
        <v>0</v>
      </c>
      <c r="AF606" s="158"/>
      <c r="AG606" s="94">
        <v>0</v>
      </c>
      <c r="AH606" s="94"/>
      <c r="AI606" s="94"/>
      <c r="AJ606" s="158">
        <f t="shared" si="96"/>
        <v>0</v>
      </c>
      <c r="AK606" s="158">
        <v>877</v>
      </c>
      <c r="AL606" s="158">
        <v>20</v>
      </c>
      <c r="AM606" s="158"/>
      <c r="AN606" s="158">
        <v>25</v>
      </c>
      <c r="AO606" s="98"/>
      <c r="AP606" s="81"/>
      <c r="AQ606" s="81"/>
      <c r="AR606" s="81"/>
      <c r="AS606" s="98">
        <v>0.63649999999999995</v>
      </c>
      <c r="AT606" s="58" t="s">
        <v>38</v>
      </c>
      <c r="AU606" s="348"/>
      <c r="AV606" s="51"/>
      <c r="AW606" s="56"/>
      <c r="AX606" s="56"/>
      <c r="AY606" s="56"/>
      <c r="AZ606" s="56"/>
      <c r="BA606" s="56"/>
      <c r="BB606" s="291"/>
      <c r="BC606" s="291"/>
      <c r="BD606" s="271"/>
      <c r="BE606" s="271">
        <v>2019</v>
      </c>
      <c r="BF606" s="271">
        <v>2020</v>
      </c>
    </row>
    <row r="607" spans="1:58" s="204" customFormat="1" ht="39" customHeight="1">
      <c r="A607" s="160" t="s">
        <v>510</v>
      </c>
      <c r="B607" s="58" t="s">
        <v>188</v>
      </c>
      <c r="C607" s="486" t="s">
        <v>1610</v>
      </c>
      <c r="D607" s="483" t="s">
        <v>1611</v>
      </c>
      <c r="E607" s="483"/>
      <c r="F607" s="483"/>
      <c r="G607" s="483"/>
      <c r="H607" s="30" t="s">
        <v>1605</v>
      </c>
      <c r="I607" s="115" t="s">
        <v>2228</v>
      </c>
      <c r="J607" s="215" t="s">
        <v>2229</v>
      </c>
      <c r="K607" s="158"/>
      <c r="L607" s="158"/>
      <c r="M607" s="158">
        <v>58</v>
      </c>
      <c r="N607" s="158">
        <v>58</v>
      </c>
      <c r="O607" s="158"/>
      <c r="P607" s="158">
        <v>4228645092</v>
      </c>
      <c r="Q607" s="158"/>
      <c r="R607" s="158"/>
      <c r="S607" s="158"/>
      <c r="T607" s="586">
        <v>2296475173</v>
      </c>
      <c r="U607" s="158">
        <v>20</v>
      </c>
      <c r="V607" s="311">
        <v>43709</v>
      </c>
      <c r="W607" s="311"/>
      <c r="X607" s="311"/>
      <c r="Y607" s="625">
        <v>1932169919</v>
      </c>
      <c r="Z607" s="495">
        <v>20</v>
      </c>
      <c r="AA607" s="484">
        <v>43888</v>
      </c>
      <c r="AB607" s="616"/>
      <c r="AC607" s="284"/>
      <c r="AD607" s="158"/>
      <c r="AE607" s="158">
        <f t="shared" si="98"/>
        <v>0</v>
      </c>
      <c r="AF607" s="158"/>
      <c r="AG607" s="158">
        <f t="shared" ref="AG607:AG613" si="99">P607-T607-Y607</f>
        <v>0</v>
      </c>
      <c r="AH607" s="158"/>
      <c r="AI607" s="158"/>
      <c r="AJ607" s="158">
        <f>AE607+AG607</f>
        <v>0</v>
      </c>
      <c r="AK607" s="158">
        <v>877</v>
      </c>
      <c r="AL607" s="158">
        <v>20</v>
      </c>
      <c r="AM607" s="158"/>
      <c r="AN607" s="158">
        <v>58</v>
      </c>
      <c r="AO607" s="98"/>
      <c r="AP607" s="81"/>
      <c r="AQ607" s="81"/>
      <c r="AR607" s="81"/>
      <c r="AS607" s="505">
        <v>0.23619999999999999</v>
      </c>
      <c r="AT607" s="485" t="s">
        <v>38</v>
      </c>
      <c r="AU607" s="104" t="s">
        <v>2230</v>
      </c>
      <c r="AV607" s="51"/>
      <c r="AW607" s="56"/>
      <c r="AX607" s="56"/>
      <c r="AY607" s="56"/>
      <c r="AZ607" s="56"/>
      <c r="BA607" s="56"/>
      <c r="BB607" s="291"/>
      <c r="BC607" s="291"/>
      <c r="BD607" s="271"/>
      <c r="BE607" s="271">
        <v>2019</v>
      </c>
      <c r="BF607" s="271">
        <v>2020</v>
      </c>
    </row>
    <row r="608" spans="1:58" s="204" customFormat="1" ht="18" customHeight="1">
      <c r="A608" s="160" t="s">
        <v>510</v>
      </c>
      <c r="B608" s="58" t="s">
        <v>280</v>
      </c>
      <c r="C608" s="148" t="s">
        <v>1582</v>
      </c>
      <c r="D608" s="33" t="s">
        <v>214</v>
      </c>
      <c r="E608" s="33"/>
      <c r="F608" s="33"/>
      <c r="G608" s="33"/>
      <c r="H608" s="30" t="s">
        <v>1553</v>
      </c>
      <c r="I608" s="30">
        <v>1642</v>
      </c>
      <c r="J608" s="212">
        <v>43728</v>
      </c>
      <c r="K608" s="158"/>
      <c r="L608" s="158"/>
      <c r="M608" s="158">
        <v>4</v>
      </c>
      <c r="N608" s="158">
        <v>4</v>
      </c>
      <c r="O608" s="158"/>
      <c r="P608" s="158">
        <v>278769491</v>
      </c>
      <c r="Q608" s="158"/>
      <c r="R608" s="158"/>
      <c r="S608" s="158"/>
      <c r="T608" s="586">
        <v>152398300</v>
      </c>
      <c r="U608" s="158">
        <v>20</v>
      </c>
      <c r="V608" s="311">
        <v>43739</v>
      </c>
      <c r="W608" s="311"/>
      <c r="X608" s="311"/>
      <c r="Y608" s="94">
        <v>126371191</v>
      </c>
      <c r="Z608" s="158">
        <v>20</v>
      </c>
      <c r="AA608" s="311">
        <v>43800</v>
      </c>
      <c r="AB608" s="582"/>
      <c r="AC608" s="284"/>
      <c r="AD608" s="158"/>
      <c r="AE608" s="158">
        <f>P608-T608-Y608</f>
        <v>0</v>
      </c>
      <c r="AF608" s="158"/>
      <c r="AG608" s="94">
        <v>0</v>
      </c>
      <c r="AH608" s="94"/>
      <c r="AI608" s="94"/>
      <c r="AJ608" s="158">
        <f t="shared" ref="AJ608" si="100">AE608+AG608</f>
        <v>0</v>
      </c>
      <c r="AK608" s="158">
        <v>877</v>
      </c>
      <c r="AL608" s="158">
        <v>20</v>
      </c>
      <c r="AM608" s="158"/>
      <c r="AN608" s="158">
        <v>4</v>
      </c>
      <c r="AO608" s="98"/>
      <c r="AP608" s="81"/>
      <c r="AQ608" s="81"/>
      <c r="AR608" s="81"/>
      <c r="AS608" s="98">
        <v>0.54210000000000003</v>
      </c>
      <c r="AT608" s="58" t="s">
        <v>38</v>
      </c>
      <c r="AU608" s="348"/>
      <c r="AV608" s="51"/>
      <c r="AW608" s="56"/>
      <c r="AX608" s="56"/>
      <c r="AY608" s="56"/>
      <c r="AZ608" s="56"/>
      <c r="BA608" s="56"/>
      <c r="BB608" s="291"/>
      <c r="BC608" s="291"/>
      <c r="BD608" s="271"/>
      <c r="BE608" s="271">
        <v>2019</v>
      </c>
      <c r="BF608" s="271">
        <v>2020</v>
      </c>
    </row>
    <row r="609" spans="1:58" s="204" customFormat="1" ht="18" customHeight="1">
      <c r="A609" s="160" t="s">
        <v>510</v>
      </c>
      <c r="B609" s="58" t="s">
        <v>262</v>
      </c>
      <c r="C609" s="148" t="s">
        <v>1130</v>
      </c>
      <c r="D609" s="33" t="s">
        <v>1555</v>
      </c>
      <c r="E609" s="33"/>
      <c r="F609" s="33"/>
      <c r="G609" s="33"/>
      <c r="H609" s="30" t="s">
        <v>1553</v>
      </c>
      <c r="I609" s="30">
        <v>1650</v>
      </c>
      <c r="J609" s="212">
        <v>43728</v>
      </c>
      <c r="K609" s="158"/>
      <c r="L609" s="158"/>
      <c r="M609" s="158">
        <v>54</v>
      </c>
      <c r="N609" s="158">
        <v>54</v>
      </c>
      <c r="O609" s="158"/>
      <c r="P609" s="158">
        <v>4499705617</v>
      </c>
      <c r="Q609" s="158">
        <v>592066530</v>
      </c>
      <c r="R609" s="158">
        <v>20</v>
      </c>
      <c r="S609" s="311">
        <v>43739</v>
      </c>
      <c r="T609" s="586"/>
      <c r="U609" s="158"/>
      <c r="V609" s="311"/>
      <c r="W609" s="311"/>
      <c r="X609" s="311"/>
      <c r="Y609" s="94"/>
      <c r="Z609" s="69"/>
      <c r="AA609" s="284"/>
      <c r="AB609" s="284"/>
      <c r="AC609" s="284"/>
      <c r="AD609" s="158"/>
      <c r="AE609" s="158">
        <f>P609-Q609-T609-Y609</f>
        <v>3907639087</v>
      </c>
      <c r="AF609" s="158"/>
      <c r="AG609" s="94">
        <v>0</v>
      </c>
      <c r="AH609" s="94"/>
      <c r="AI609" s="94"/>
      <c r="AJ609" s="158">
        <f>AE609+AG609</f>
        <v>3907639087</v>
      </c>
      <c r="AK609" s="158">
        <v>877</v>
      </c>
      <c r="AL609" s="158">
        <v>20</v>
      </c>
      <c r="AM609" s="158">
        <v>54</v>
      </c>
      <c r="AN609" s="158"/>
      <c r="AO609" s="98"/>
      <c r="AP609" s="81"/>
      <c r="AQ609" s="81"/>
      <c r="AR609" s="81"/>
      <c r="AS609" s="98">
        <v>0</v>
      </c>
      <c r="AT609" s="58" t="s">
        <v>521</v>
      </c>
      <c r="AU609" s="348"/>
      <c r="AV609" s="51"/>
      <c r="AW609" s="56"/>
      <c r="AX609" s="56"/>
      <c r="AY609" s="56"/>
      <c r="AZ609" s="56"/>
      <c r="BA609" s="56"/>
      <c r="BB609" s="291"/>
      <c r="BC609" s="291"/>
      <c r="BD609" s="271"/>
      <c r="BE609" s="271">
        <v>2019</v>
      </c>
      <c r="BF609" s="271">
        <v>2020</v>
      </c>
    </row>
    <row r="610" spans="1:58" s="204" customFormat="1" ht="18" customHeight="1">
      <c r="A610" s="160" t="s">
        <v>510</v>
      </c>
      <c r="B610" s="58" t="s">
        <v>208</v>
      </c>
      <c r="C610" s="489" t="s">
        <v>1580</v>
      </c>
      <c r="D610" s="483" t="s">
        <v>61</v>
      </c>
      <c r="E610" s="483"/>
      <c r="F610" s="483"/>
      <c r="G610" s="483"/>
      <c r="H610" s="30" t="s">
        <v>1553</v>
      </c>
      <c r="I610" s="30">
        <v>1654</v>
      </c>
      <c r="J610" s="212">
        <v>43728</v>
      </c>
      <c r="K610" s="158"/>
      <c r="L610" s="158"/>
      <c r="M610" s="158">
        <v>53</v>
      </c>
      <c r="N610" s="158">
        <v>53</v>
      </c>
      <c r="O610" s="158"/>
      <c r="P610" s="158">
        <v>4128448032</v>
      </c>
      <c r="Q610" s="158">
        <v>345244491</v>
      </c>
      <c r="R610" s="158">
        <v>20</v>
      </c>
      <c r="S610" s="311">
        <v>43770</v>
      </c>
      <c r="T610" s="638">
        <v>2048407433</v>
      </c>
      <c r="U610" s="72">
        <v>20</v>
      </c>
      <c r="V610" s="484">
        <v>43861</v>
      </c>
      <c r="W610" s="484"/>
      <c r="X610" s="484"/>
      <c r="Y610" s="175">
        <v>1734796108</v>
      </c>
      <c r="Z610" s="495">
        <v>20</v>
      </c>
      <c r="AA610" s="484">
        <v>43980</v>
      </c>
      <c r="AB610" s="616"/>
      <c r="AC610" s="284"/>
      <c r="AD610" s="158"/>
      <c r="AE610" s="158">
        <f>P610-Q610-T610-Y610-AG610</f>
        <v>0</v>
      </c>
      <c r="AF610" s="158"/>
      <c r="AG610" s="158">
        <f>P610-T610-Y610-345244491</f>
        <v>0</v>
      </c>
      <c r="AH610" s="158"/>
      <c r="AI610" s="158"/>
      <c r="AJ610" s="158">
        <f t="shared" ref="AJ610:AJ619" si="101">AE610+AG610</f>
        <v>0</v>
      </c>
      <c r="AK610" s="158">
        <v>877</v>
      </c>
      <c r="AL610" s="158">
        <v>20</v>
      </c>
      <c r="AM610" s="72"/>
      <c r="AN610" s="72">
        <v>53</v>
      </c>
      <c r="AO610" s="98"/>
      <c r="AP610" s="81"/>
      <c r="AQ610" s="81"/>
      <c r="AR610" s="81"/>
      <c r="AS610" s="505">
        <v>0</v>
      </c>
      <c r="AT610" s="485" t="s">
        <v>38</v>
      </c>
      <c r="AU610" s="348"/>
      <c r="AV610" s="51"/>
      <c r="AW610" s="56"/>
      <c r="AX610" s="56"/>
      <c r="AY610" s="56"/>
      <c r="AZ610" s="56"/>
      <c r="BA610" s="56"/>
      <c r="BB610" s="291"/>
      <c r="BC610" s="291"/>
      <c r="BD610" s="271"/>
      <c r="BE610" s="271">
        <v>2019</v>
      </c>
      <c r="BF610" s="271">
        <v>2020</v>
      </c>
    </row>
    <row r="611" spans="1:58" s="204" customFormat="1" ht="18" customHeight="1">
      <c r="A611" s="160" t="s">
        <v>510</v>
      </c>
      <c r="B611" s="58" t="s">
        <v>203</v>
      </c>
      <c r="C611" s="489" t="s">
        <v>1581</v>
      </c>
      <c r="D611" s="483" t="s">
        <v>1583</v>
      </c>
      <c r="E611" s="483"/>
      <c r="F611" s="483"/>
      <c r="G611" s="483"/>
      <c r="H611" s="30" t="s">
        <v>1553</v>
      </c>
      <c r="I611" s="30">
        <v>1660</v>
      </c>
      <c r="J611" s="212">
        <v>43731</v>
      </c>
      <c r="K611" s="158"/>
      <c r="L611" s="158"/>
      <c r="M611" s="158">
        <v>44</v>
      </c>
      <c r="N611" s="158">
        <v>44</v>
      </c>
      <c r="O611" s="158"/>
      <c r="P611" s="158">
        <v>3208086516</v>
      </c>
      <c r="Q611" s="158"/>
      <c r="R611" s="158"/>
      <c r="S611" s="158"/>
      <c r="T611" s="586">
        <v>1762498677</v>
      </c>
      <c r="U611" s="158">
        <v>20</v>
      </c>
      <c r="V611" s="311">
        <v>43739</v>
      </c>
      <c r="W611" s="311"/>
      <c r="X611" s="311"/>
      <c r="Y611" s="625">
        <v>1445587839</v>
      </c>
      <c r="Z611" s="495">
        <v>20</v>
      </c>
      <c r="AA611" s="484">
        <v>43920</v>
      </c>
      <c r="AB611" s="616"/>
      <c r="AC611" s="284"/>
      <c r="AD611" s="158"/>
      <c r="AE611" s="158">
        <f t="shared" si="98"/>
        <v>0</v>
      </c>
      <c r="AF611" s="158"/>
      <c r="AG611" s="158">
        <f t="shared" si="99"/>
        <v>0</v>
      </c>
      <c r="AH611" s="158"/>
      <c r="AI611" s="158"/>
      <c r="AJ611" s="158">
        <f t="shared" si="101"/>
        <v>0</v>
      </c>
      <c r="AK611" s="158">
        <v>877</v>
      </c>
      <c r="AL611" s="158">
        <v>20</v>
      </c>
      <c r="AM611" s="158"/>
      <c r="AN611" s="158">
        <v>44</v>
      </c>
      <c r="AO611" s="98"/>
      <c r="AP611" s="81"/>
      <c r="AQ611" s="81"/>
      <c r="AR611" s="81"/>
      <c r="AS611" s="505">
        <v>0.1215</v>
      </c>
      <c r="AT611" s="485" t="s">
        <v>38</v>
      </c>
      <c r="AU611" s="348"/>
      <c r="AV611" s="51"/>
      <c r="AW611" s="56"/>
      <c r="AX611" s="56"/>
      <c r="AY611" s="56"/>
      <c r="AZ611" s="56"/>
      <c r="BA611" s="56"/>
      <c r="BB611" s="291"/>
      <c r="BC611" s="291"/>
      <c r="BD611" s="271"/>
      <c r="BE611" s="271">
        <v>2019</v>
      </c>
      <c r="BF611" s="271">
        <v>2020</v>
      </c>
    </row>
    <row r="612" spans="1:58" s="204" customFormat="1" ht="31.5" customHeight="1">
      <c r="A612" s="160" t="s">
        <v>510</v>
      </c>
      <c r="B612" s="58" t="s">
        <v>1985</v>
      </c>
      <c r="C612" s="55" t="s">
        <v>1928</v>
      </c>
      <c r="D612" s="33" t="s">
        <v>1584</v>
      </c>
      <c r="E612" s="33"/>
      <c r="F612" s="33"/>
      <c r="G612" s="33"/>
      <c r="H612" s="30" t="s">
        <v>1553</v>
      </c>
      <c r="I612" s="30">
        <v>1665</v>
      </c>
      <c r="J612" s="212">
        <v>43731</v>
      </c>
      <c r="K612" s="158"/>
      <c r="L612" s="158"/>
      <c r="M612" s="158">
        <v>25</v>
      </c>
      <c r="N612" s="158">
        <v>25</v>
      </c>
      <c r="O612" s="158"/>
      <c r="P612" s="158">
        <v>1822797405</v>
      </c>
      <c r="Q612" s="158"/>
      <c r="R612" s="158"/>
      <c r="S612" s="158"/>
      <c r="T612" s="586">
        <v>994432232</v>
      </c>
      <c r="U612" s="158">
        <v>20</v>
      </c>
      <c r="V612" s="311">
        <v>43739</v>
      </c>
      <c r="W612" s="311"/>
      <c r="X612" s="311"/>
      <c r="Y612" s="94">
        <v>828365173</v>
      </c>
      <c r="Z612" s="158">
        <v>20</v>
      </c>
      <c r="AA612" s="311">
        <v>43800</v>
      </c>
      <c r="AB612" s="582"/>
      <c r="AC612" s="284"/>
      <c r="AD612" s="158"/>
      <c r="AE612" s="158">
        <f>P612-T612-Y612</f>
        <v>0</v>
      </c>
      <c r="AF612" s="158"/>
      <c r="AG612" s="94">
        <v>0</v>
      </c>
      <c r="AH612" s="94"/>
      <c r="AI612" s="94"/>
      <c r="AJ612" s="158">
        <f t="shared" si="101"/>
        <v>0</v>
      </c>
      <c r="AK612" s="158">
        <v>877</v>
      </c>
      <c r="AL612" s="158">
        <v>20</v>
      </c>
      <c r="AM612" s="158"/>
      <c r="AN612" s="158">
        <v>25</v>
      </c>
      <c r="AO612" s="98"/>
      <c r="AP612" s="81"/>
      <c r="AQ612" s="81"/>
      <c r="AR612" s="81"/>
      <c r="AS612" s="98">
        <v>0.55789999999999995</v>
      </c>
      <c r="AT612" s="58" t="s">
        <v>38</v>
      </c>
      <c r="AU612" s="348"/>
      <c r="AV612" s="51"/>
      <c r="AW612" s="56"/>
      <c r="AX612" s="56"/>
      <c r="AY612" s="56"/>
      <c r="AZ612" s="56"/>
      <c r="BA612" s="56"/>
      <c r="BB612" s="291"/>
      <c r="BC612" s="291"/>
      <c r="BD612" s="271"/>
      <c r="BE612" s="271">
        <v>2019</v>
      </c>
      <c r="BF612" s="271">
        <v>2020</v>
      </c>
    </row>
    <row r="613" spans="1:58" s="204" customFormat="1" ht="18" customHeight="1">
      <c r="A613" s="160" t="s">
        <v>510</v>
      </c>
      <c r="B613" s="58" t="s">
        <v>197</v>
      </c>
      <c r="C613" s="489" t="s">
        <v>2225</v>
      </c>
      <c r="D613" s="483" t="s">
        <v>215</v>
      </c>
      <c r="E613" s="483"/>
      <c r="F613" s="483"/>
      <c r="G613" s="483"/>
      <c r="H613" s="30" t="s">
        <v>1553</v>
      </c>
      <c r="I613" s="30">
        <v>1667</v>
      </c>
      <c r="J613" s="212">
        <v>43731</v>
      </c>
      <c r="K613" s="158"/>
      <c r="L613" s="158"/>
      <c r="M613" s="158">
        <v>13</v>
      </c>
      <c r="N613" s="158">
        <v>13</v>
      </c>
      <c r="O613" s="158"/>
      <c r="P613" s="158">
        <v>946660325</v>
      </c>
      <c r="Q613" s="158"/>
      <c r="R613" s="158"/>
      <c r="S613" s="158"/>
      <c r="T613" s="586">
        <v>510111043</v>
      </c>
      <c r="U613" s="158">
        <v>20</v>
      </c>
      <c r="V613" s="311">
        <v>43739</v>
      </c>
      <c r="W613" s="311"/>
      <c r="X613" s="311"/>
      <c r="Y613" s="626">
        <v>436549282</v>
      </c>
      <c r="Z613" s="495">
        <v>20</v>
      </c>
      <c r="AA613" s="484">
        <v>43889</v>
      </c>
      <c r="AB613" s="616"/>
      <c r="AC613" s="284"/>
      <c r="AD613" s="158"/>
      <c r="AE613" s="158">
        <f t="shared" si="98"/>
        <v>0</v>
      </c>
      <c r="AF613" s="158"/>
      <c r="AG613" s="158">
        <f t="shared" si="99"/>
        <v>0</v>
      </c>
      <c r="AH613" s="158"/>
      <c r="AI613" s="158"/>
      <c r="AJ613" s="158">
        <f t="shared" si="101"/>
        <v>0</v>
      </c>
      <c r="AK613" s="158">
        <v>877</v>
      </c>
      <c r="AL613" s="158">
        <v>20</v>
      </c>
      <c r="AM613" s="158"/>
      <c r="AN613" s="72">
        <v>13</v>
      </c>
      <c r="AO613" s="98"/>
      <c r="AP613" s="81"/>
      <c r="AQ613" s="81"/>
      <c r="AR613" s="81"/>
      <c r="AS613" s="505">
        <v>0</v>
      </c>
      <c r="AT613" s="485" t="s">
        <v>38</v>
      </c>
      <c r="AU613" s="348"/>
      <c r="AV613" s="51"/>
      <c r="AW613" s="56"/>
      <c r="AX613" s="56"/>
      <c r="AY613" s="56"/>
      <c r="AZ613" s="56"/>
      <c r="BA613" s="56"/>
      <c r="BB613" s="291"/>
      <c r="BC613" s="291"/>
      <c r="BD613" s="271"/>
      <c r="BE613" s="271">
        <v>2019</v>
      </c>
      <c r="BF613" s="271">
        <v>2020</v>
      </c>
    </row>
    <row r="614" spans="1:58" s="204" customFormat="1" ht="30" customHeight="1">
      <c r="A614" s="160" t="s">
        <v>510</v>
      </c>
      <c r="B614" s="58" t="s">
        <v>197</v>
      </c>
      <c r="C614" s="489" t="s">
        <v>1886</v>
      </c>
      <c r="D614" s="483" t="s">
        <v>1887</v>
      </c>
      <c r="E614" s="536"/>
      <c r="F614" s="538">
        <v>4</v>
      </c>
      <c r="G614" s="538"/>
      <c r="H614" s="30" t="s">
        <v>657</v>
      </c>
      <c r="I614" s="115" t="s">
        <v>1888</v>
      </c>
      <c r="J614" s="215" t="s">
        <v>1889</v>
      </c>
      <c r="K614" s="158"/>
      <c r="L614" s="158"/>
      <c r="M614" s="158">
        <v>28</v>
      </c>
      <c r="N614" s="158">
        <v>28</v>
      </c>
      <c r="O614" s="158"/>
      <c r="P614" s="158">
        <v>2234129678</v>
      </c>
      <c r="Q614" s="158">
        <v>306992000</v>
      </c>
      <c r="R614" s="158">
        <v>10</v>
      </c>
      <c r="S614" s="311">
        <v>43770</v>
      </c>
      <c r="T614" s="586">
        <v>1053555012</v>
      </c>
      <c r="U614" s="72">
        <v>10</v>
      </c>
      <c r="V614" s="484">
        <v>43979</v>
      </c>
      <c r="W614" s="484"/>
      <c r="X614" s="484"/>
      <c r="Y614" s="94"/>
      <c r="Z614" s="69"/>
      <c r="AA614" s="284"/>
      <c r="AB614" s="284"/>
      <c r="AC614" s="284"/>
      <c r="AD614" s="158"/>
      <c r="AE614" s="158">
        <f>P614-Q614-T614-Y614-AG614</f>
        <v>873582666</v>
      </c>
      <c r="AF614" s="158"/>
      <c r="AG614" s="94">
        <v>0</v>
      </c>
      <c r="AH614" s="94"/>
      <c r="AI614" s="94"/>
      <c r="AJ614" s="158">
        <f t="shared" si="101"/>
        <v>873582666</v>
      </c>
      <c r="AK614" s="158" t="s">
        <v>2184</v>
      </c>
      <c r="AL614" s="158" t="s">
        <v>1822</v>
      </c>
      <c r="AM614" s="72"/>
      <c r="AN614" s="72">
        <v>28</v>
      </c>
      <c r="AO614" s="98"/>
      <c r="AP614" s="81"/>
      <c r="AQ614" s="81"/>
      <c r="AR614" s="81"/>
      <c r="AS614" s="505">
        <v>0</v>
      </c>
      <c r="AT614" s="485" t="s">
        <v>38</v>
      </c>
      <c r="AU614" s="422" t="s">
        <v>2185</v>
      </c>
      <c r="AV614" s="51"/>
      <c r="AW614" s="56"/>
      <c r="AX614" s="56"/>
      <c r="AY614" s="56"/>
      <c r="AZ614" s="56"/>
      <c r="BA614" s="56"/>
      <c r="BB614" s="291"/>
      <c r="BC614" s="291"/>
      <c r="BD614" s="271"/>
      <c r="BE614" s="271">
        <v>2019</v>
      </c>
      <c r="BF614" s="271">
        <v>2020</v>
      </c>
    </row>
    <row r="615" spans="1:58" s="204" customFormat="1" ht="18" customHeight="1">
      <c r="A615" s="160" t="s">
        <v>510</v>
      </c>
      <c r="B615" s="58" t="s">
        <v>262</v>
      </c>
      <c r="C615" s="489" t="s">
        <v>259</v>
      </c>
      <c r="D615" s="483" t="s">
        <v>214</v>
      </c>
      <c r="E615" s="483"/>
      <c r="F615" s="483"/>
      <c r="G615" s="483"/>
      <c r="H615" s="30" t="s">
        <v>1920</v>
      </c>
      <c r="I615" s="115">
        <v>2080</v>
      </c>
      <c r="J615" s="212">
        <v>43801</v>
      </c>
      <c r="K615" s="158"/>
      <c r="L615" s="158"/>
      <c r="M615" s="158">
        <v>18</v>
      </c>
      <c r="N615" s="158">
        <v>18</v>
      </c>
      <c r="O615" s="158"/>
      <c r="P615" s="158">
        <v>1264142509</v>
      </c>
      <c r="Q615" s="158"/>
      <c r="R615" s="158"/>
      <c r="S615" s="311"/>
      <c r="T615" s="586">
        <v>691611256</v>
      </c>
      <c r="U615" s="158">
        <v>20</v>
      </c>
      <c r="V615" s="311">
        <v>43800</v>
      </c>
      <c r="W615" s="311"/>
      <c r="X615" s="311"/>
      <c r="Y615" s="625">
        <v>572531253</v>
      </c>
      <c r="Z615" s="495">
        <v>20</v>
      </c>
      <c r="AA615" s="484">
        <v>43920</v>
      </c>
      <c r="AB615" s="616"/>
      <c r="AC615" s="284"/>
      <c r="AD615" s="158"/>
      <c r="AE615" s="158">
        <f t="shared" ref="AE615:AE622" si="102">P615-Q615-T615-Y615-AG615</f>
        <v>0</v>
      </c>
      <c r="AF615" s="158"/>
      <c r="AG615" s="158">
        <f t="shared" ref="AG615:AG619" si="103">P615-T615-Y615</f>
        <v>0</v>
      </c>
      <c r="AH615" s="158"/>
      <c r="AI615" s="158"/>
      <c r="AJ615" s="158">
        <f t="shared" si="101"/>
        <v>0</v>
      </c>
      <c r="AK615" s="158">
        <v>877</v>
      </c>
      <c r="AL615" s="158">
        <v>20</v>
      </c>
      <c r="AM615" s="597"/>
      <c r="AN615" s="72">
        <v>18</v>
      </c>
      <c r="AO615" s="98"/>
      <c r="AP615" s="81"/>
      <c r="AQ615" s="81"/>
      <c r="AR615" s="81"/>
      <c r="AS615" s="505">
        <v>0.1215</v>
      </c>
      <c r="AT615" s="485" t="s">
        <v>38</v>
      </c>
      <c r="AU615" s="104" t="s">
        <v>1565</v>
      </c>
      <c r="AV615" s="51"/>
      <c r="AW615" s="56"/>
      <c r="AX615" s="56"/>
      <c r="AY615" s="56"/>
      <c r="AZ615" s="56"/>
      <c r="BA615" s="56"/>
      <c r="BB615" s="291"/>
      <c r="BC615" s="291"/>
      <c r="BD615" s="271"/>
      <c r="BE615" s="271">
        <v>2019</v>
      </c>
      <c r="BF615" s="271">
        <v>2020</v>
      </c>
    </row>
    <row r="616" spans="1:58" s="204" customFormat="1" ht="18" customHeight="1">
      <c r="A616" s="160" t="s">
        <v>510</v>
      </c>
      <c r="B616" s="58" t="s">
        <v>1925</v>
      </c>
      <c r="C616" s="485" t="s">
        <v>1922</v>
      </c>
      <c r="D616" s="483" t="s">
        <v>1624</v>
      </c>
      <c r="E616" s="483"/>
      <c r="F616" s="483"/>
      <c r="G616" s="483"/>
      <c r="H616" s="30" t="s">
        <v>1920</v>
      </c>
      <c r="I616" s="115">
        <v>2110</v>
      </c>
      <c r="J616" s="212">
        <v>43805</v>
      </c>
      <c r="K616" s="158"/>
      <c r="L616" s="158"/>
      <c r="M616" s="158">
        <v>62</v>
      </c>
      <c r="N616" s="158">
        <v>62</v>
      </c>
      <c r="O616" s="158"/>
      <c r="P616" s="158">
        <v>4520537558</v>
      </c>
      <c r="Q616" s="158"/>
      <c r="R616" s="158"/>
      <c r="S616" s="311"/>
      <c r="T616" s="517">
        <v>2485631908</v>
      </c>
      <c r="U616" s="158">
        <v>20</v>
      </c>
      <c r="V616" s="311">
        <v>43800</v>
      </c>
      <c r="W616" s="311"/>
      <c r="X616" s="311"/>
      <c r="Y616" s="175">
        <v>2034905650</v>
      </c>
      <c r="Z616" s="495">
        <v>20</v>
      </c>
      <c r="AA616" s="484">
        <v>43980</v>
      </c>
      <c r="AB616" s="581"/>
      <c r="AC616" s="284"/>
      <c r="AD616" s="158"/>
      <c r="AE616" s="158">
        <f t="shared" si="102"/>
        <v>0</v>
      </c>
      <c r="AF616" s="158"/>
      <c r="AG616" s="158">
        <f t="shared" si="103"/>
        <v>0</v>
      </c>
      <c r="AH616" s="158"/>
      <c r="AI616" s="158"/>
      <c r="AJ616" s="158">
        <f t="shared" si="101"/>
        <v>0</v>
      </c>
      <c r="AK616" s="158">
        <v>877</v>
      </c>
      <c r="AL616" s="158">
        <v>20</v>
      </c>
      <c r="AM616" s="158">
        <v>62</v>
      </c>
      <c r="AN616" s="158"/>
      <c r="AO616" s="98"/>
      <c r="AP616" s="81"/>
      <c r="AQ616" s="81"/>
      <c r="AR616" s="81"/>
      <c r="AS616" s="2">
        <v>0</v>
      </c>
      <c r="AT616" s="58" t="s">
        <v>521</v>
      </c>
      <c r="AU616" s="104" t="s">
        <v>1565</v>
      </c>
      <c r="AV616" s="51"/>
      <c r="AW616" s="56"/>
      <c r="AX616" s="56"/>
      <c r="AY616" s="56"/>
      <c r="AZ616" s="56"/>
      <c r="BA616" s="56"/>
      <c r="BB616" s="291"/>
      <c r="BC616" s="291"/>
      <c r="BD616" s="271"/>
      <c r="BE616" s="271">
        <v>2019</v>
      </c>
      <c r="BF616" s="271">
        <v>2020</v>
      </c>
    </row>
    <row r="617" spans="1:58" s="204" customFormat="1" ht="18" customHeight="1">
      <c r="A617" s="160" t="s">
        <v>510</v>
      </c>
      <c r="B617" s="58" t="s">
        <v>216</v>
      </c>
      <c r="C617" s="485" t="s">
        <v>1923</v>
      </c>
      <c r="D617" s="483" t="s">
        <v>1642</v>
      </c>
      <c r="E617" s="483"/>
      <c r="F617" s="483"/>
      <c r="G617" s="483"/>
      <c r="H617" s="30" t="s">
        <v>1920</v>
      </c>
      <c r="I617" s="115">
        <v>2053</v>
      </c>
      <c r="J617" s="212">
        <v>43797</v>
      </c>
      <c r="K617" s="158"/>
      <c r="L617" s="158"/>
      <c r="M617" s="158">
        <v>17</v>
      </c>
      <c r="N617" s="158">
        <v>17</v>
      </c>
      <c r="O617" s="158"/>
      <c r="P617" s="158">
        <v>1238198294</v>
      </c>
      <c r="Q617" s="158"/>
      <c r="R617" s="158"/>
      <c r="S617" s="311"/>
      <c r="T617" s="586">
        <v>680963103</v>
      </c>
      <c r="U617" s="158">
        <v>20</v>
      </c>
      <c r="V617" s="311">
        <v>43800</v>
      </c>
      <c r="W617" s="311"/>
      <c r="X617" s="311"/>
      <c r="Y617" s="611">
        <v>557235191</v>
      </c>
      <c r="Z617" s="495">
        <v>20</v>
      </c>
      <c r="AA617" s="484">
        <v>43951</v>
      </c>
      <c r="AB617" s="581"/>
      <c r="AC617" s="284"/>
      <c r="AD617" s="158"/>
      <c r="AE617" s="158">
        <f t="shared" si="102"/>
        <v>0</v>
      </c>
      <c r="AF617" s="158"/>
      <c r="AG617" s="158">
        <f t="shared" si="103"/>
        <v>0</v>
      </c>
      <c r="AH617" s="158"/>
      <c r="AI617" s="158"/>
      <c r="AJ617" s="158">
        <f t="shared" si="101"/>
        <v>0</v>
      </c>
      <c r="AK617" s="158">
        <v>877</v>
      </c>
      <c r="AL617" s="158">
        <v>20</v>
      </c>
      <c r="AM617" s="597"/>
      <c r="AN617" s="72">
        <v>17</v>
      </c>
      <c r="AO617" s="98"/>
      <c r="AP617" s="81"/>
      <c r="AQ617" s="81"/>
      <c r="AR617" s="81"/>
      <c r="AS617" s="505">
        <v>0.1215</v>
      </c>
      <c r="AT617" s="485" t="s">
        <v>38</v>
      </c>
      <c r="AU617" s="104" t="s">
        <v>1565</v>
      </c>
      <c r="AV617" s="51"/>
      <c r="AW617" s="56"/>
      <c r="AX617" s="56"/>
      <c r="AY617" s="56"/>
      <c r="AZ617" s="56"/>
      <c r="BA617" s="56"/>
      <c r="BB617" s="291"/>
      <c r="BC617" s="291"/>
      <c r="BD617" s="271"/>
      <c r="BE617" s="271">
        <v>2019</v>
      </c>
      <c r="BF617" s="271">
        <v>2020</v>
      </c>
    </row>
    <row r="618" spans="1:58" s="204" customFormat="1" ht="18" customHeight="1">
      <c r="A618" s="160" t="s">
        <v>510</v>
      </c>
      <c r="B618" s="58" t="s">
        <v>546</v>
      </c>
      <c r="C618" s="485" t="s">
        <v>1924</v>
      </c>
      <c r="D618" s="483" t="s">
        <v>1926</v>
      </c>
      <c r="E618" s="483"/>
      <c r="F618" s="483"/>
      <c r="G618" s="483"/>
      <c r="H618" s="30" t="s">
        <v>1920</v>
      </c>
      <c r="I618" s="115">
        <v>2064</v>
      </c>
      <c r="J618" s="212">
        <v>43798</v>
      </c>
      <c r="K618" s="158"/>
      <c r="L618" s="158"/>
      <c r="M618" s="158">
        <v>28</v>
      </c>
      <c r="N618" s="158">
        <v>28</v>
      </c>
      <c r="O618" s="158"/>
      <c r="P618" s="158">
        <v>2041533057</v>
      </c>
      <c r="Q618" s="158"/>
      <c r="R618" s="158"/>
      <c r="S618" s="311"/>
      <c r="T618" s="586">
        <v>1116315734</v>
      </c>
      <c r="U618" s="158">
        <v>20</v>
      </c>
      <c r="V618" s="311">
        <v>43800</v>
      </c>
      <c r="W618" s="311"/>
      <c r="X618" s="311"/>
      <c r="Y618" s="610">
        <v>925217323</v>
      </c>
      <c r="Z618" s="495">
        <v>20</v>
      </c>
      <c r="AA618" s="484">
        <v>43951</v>
      </c>
      <c r="AB618" s="581"/>
      <c r="AC618" s="284"/>
      <c r="AD618" s="158"/>
      <c r="AE618" s="158">
        <f t="shared" si="102"/>
        <v>0</v>
      </c>
      <c r="AF618" s="158"/>
      <c r="AG618" s="158">
        <f t="shared" si="103"/>
        <v>0</v>
      </c>
      <c r="AH618" s="158"/>
      <c r="AI618" s="158"/>
      <c r="AJ618" s="158">
        <f t="shared" si="101"/>
        <v>0</v>
      </c>
      <c r="AK618" s="158">
        <v>877</v>
      </c>
      <c r="AL618" s="158">
        <v>20</v>
      </c>
      <c r="AM618" s="158">
        <v>28</v>
      </c>
      <c r="AN618" s="158"/>
      <c r="AO618" s="98"/>
      <c r="AP618" s="81"/>
      <c r="AQ618" s="81"/>
      <c r="AR618" s="81"/>
      <c r="AS618" s="2">
        <v>0</v>
      </c>
      <c r="AT618" s="58" t="s">
        <v>521</v>
      </c>
      <c r="AU618" s="104" t="s">
        <v>1565</v>
      </c>
      <c r="AV618" s="51"/>
      <c r="AW618" s="56"/>
      <c r="AX618" s="56"/>
      <c r="AY618" s="56"/>
      <c r="AZ618" s="56"/>
      <c r="BA618" s="56"/>
      <c r="BB618" s="291"/>
      <c r="BC618" s="291"/>
      <c r="BD618" s="271"/>
      <c r="BE618" s="271">
        <v>2019</v>
      </c>
      <c r="BF618" s="271">
        <v>2020</v>
      </c>
    </row>
    <row r="619" spans="1:58" s="204" customFormat="1" ht="27.75" customHeight="1">
      <c r="A619" s="160" t="s">
        <v>510</v>
      </c>
      <c r="B619" s="58" t="s">
        <v>1985</v>
      </c>
      <c r="C619" s="483" t="s">
        <v>1927</v>
      </c>
      <c r="D619" s="483" t="s">
        <v>1584</v>
      </c>
      <c r="E619" s="483"/>
      <c r="F619" s="483"/>
      <c r="G619" s="483"/>
      <c r="H619" s="30" t="s">
        <v>1920</v>
      </c>
      <c r="I619" s="115">
        <v>2097</v>
      </c>
      <c r="J619" s="212">
        <v>43803</v>
      </c>
      <c r="K619" s="158"/>
      <c r="L619" s="158"/>
      <c r="M619" s="158">
        <v>6</v>
      </c>
      <c r="N619" s="158">
        <v>6</v>
      </c>
      <c r="O619" s="158"/>
      <c r="P619" s="158">
        <v>437471375</v>
      </c>
      <c r="Q619" s="158"/>
      <c r="R619" s="158"/>
      <c r="S619" s="311"/>
      <c r="T619" s="586">
        <v>240480812</v>
      </c>
      <c r="U619" s="158">
        <v>20</v>
      </c>
      <c r="V619" s="311">
        <v>43800</v>
      </c>
      <c r="W619" s="311"/>
      <c r="X619" s="311"/>
      <c r="Y619" s="625">
        <v>196990563</v>
      </c>
      <c r="Z619" s="495">
        <v>20</v>
      </c>
      <c r="AA619" s="484">
        <v>43920</v>
      </c>
      <c r="AB619" s="616"/>
      <c r="AC619" s="284"/>
      <c r="AD619" s="158"/>
      <c r="AE619" s="158">
        <f t="shared" si="102"/>
        <v>0</v>
      </c>
      <c r="AF619" s="158"/>
      <c r="AG619" s="158">
        <f t="shared" si="103"/>
        <v>0</v>
      </c>
      <c r="AH619" s="158"/>
      <c r="AI619" s="158"/>
      <c r="AJ619" s="158">
        <f t="shared" si="101"/>
        <v>0</v>
      </c>
      <c r="AK619" s="158">
        <v>877</v>
      </c>
      <c r="AL619" s="158">
        <v>20</v>
      </c>
      <c r="AM619" s="597"/>
      <c r="AN619" s="72">
        <v>6</v>
      </c>
      <c r="AO619" s="98"/>
      <c r="AP619" s="81"/>
      <c r="AQ619" s="81"/>
      <c r="AR619" s="81"/>
      <c r="AS619" s="493">
        <v>0</v>
      </c>
      <c r="AT619" s="485" t="s">
        <v>38</v>
      </c>
      <c r="AU619" s="104" t="s">
        <v>1565</v>
      </c>
      <c r="AV619" s="51"/>
      <c r="AW619" s="56"/>
      <c r="AX619" s="56"/>
      <c r="AY619" s="56"/>
      <c r="AZ619" s="56"/>
      <c r="BA619" s="56"/>
      <c r="BB619" s="291"/>
      <c r="BC619" s="291"/>
      <c r="BD619" s="271"/>
      <c r="BE619" s="271">
        <v>2019</v>
      </c>
      <c r="BF619" s="271">
        <v>2020</v>
      </c>
    </row>
    <row r="620" spans="1:58" s="204" customFormat="1" ht="18" customHeight="1">
      <c r="A620" s="160" t="s">
        <v>510</v>
      </c>
      <c r="B620" s="58" t="s">
        <v>1986</v>
      </c>
      <c r="C620" s="501" t="s">
        <v>1930</v>
      </c>
      <c r="D620" s="483" t="s">
        <v>1169</v>
      </c>
      <c r="E620" s="483"/>
      <c r="F620" s="483"/>
      <c r="G620" s="483"/>
      <c r="H620" s="30" t="s">
        <v>1920</v>
      </c>
      <c r="I620" s="115">
        <v>2078</v>
      </c>
      <c r="J620" s="212">
        <v>43801</v>
      </c>
      <c r="K620" s="158"/>
      <c r="L620" s="158"/>
      <c r="M620" s="158">
        <v>31</v>
      </c>
      <c r="N620" s="158">
        <v>31</v>
      </c>
      <c r="O620" s="158"/>
      <c r="P620" s="158">
        <v>2259501759</v>
      </c>
      <c r="Q620" s="158"/>
      <c r="R620" s="158"/>
      <c r="S620" s="311"/>
      <c r="T620" s="586">
        <v>1229028475</v>
      </c>
      <c r="U620" s="158">
        <v>10</v>
      </c>
      <c r="V620" s="311">
        <v>43800</v>
      </c>
      <c r="W620" s="311"/>
      <c r="X620" s="311"/>
      <c r="Y620" s="611">
        <v>1030473284</v>
      </c>
      <c r="Z620" s="495">
        <v>10</v>
      </c>
      <c r="AA620" s="484">
        <v>43951</v>
      </c>
      <c r="AB620" s="581"/>
      <c r="AC620" s="284"/>
      <c r="AD620" s="158"/>
      <c r="AE620" s="158">
        <f t="shared" si="102"/>
        <v>0</v>
      </c>
      <c r="AF620" s="158"/>
      <c r="AG620" s="158">
        <f>(P620-Q620-T620-Y620)</f>
        <v>0</v>
      </c>
      <c r="AH620" s="158"/>
      <c r="AI620" s="158"/>
      <c r="AJ620" s="158">
        <f>AE620+AG620</f>
        <v>0</v>
      </c>
      <c r="AK620" s="158">
        <v>877</v>
      </c>
      <c r="AL620" s="158">
        <v>10</v>
      </c>
      <c r="AM620" s="597"/>
      <c r="AN620" s="72">
        <v>31</v>
      </c>
      <c r="AO620" s="98"/>
      <c r="AP620" s="81"/>
      <c r="AQ620" s="81"/>
      <c r="AR620" s="81"/>
      <c r="AS620" s="493">
        <v>0</v>
      </c>
      <c r="AT620" s="485" t="s">
        <v>38</v>
      </c>
      <c r="AU620" s="104" t="s">
        <v>1565</v>
      </c>
      <c r="AV620" s="51"/>
      <c r="AW620" s="56"/>
      <c r="AX620" s="56"/>
      <c r="AY620" s="56"/>
      <c r="AZ620" s="56"/>
      <c r="BA620" s="56"/>
      <c r="BB620" s="291"/>
      <c r="BC620" s="291"/>
      <c r="BD620" s="271"/>
      <c r="BE620" s="271">
        <v>2019</v>
      </c>
      <c r="BF620" s="271">
        <v>2020</v>
      </c>
    </row>
    <row r="621" spans="1:58" s="204" customFormat="1" ht="18" customHeight="1">
      <c r="A621" s="160" t="s">
        <v>510</v>
      </c>
      <c r="B621" s="58" t="s">
        <v>280</v>
      </c>
      <c r="C621" s="501" t="s">
        <v>1931</v>
      </c>
      <c r="D621" s="483" t="s">
        <v>746</v>
      </c>
      <c r="E621" s="483"/>
      <c r="F621" s="483"/>
      <c r="G621" s="483"/>
      <c r="H621" s="30" t="s">
        <v>1920</v>
      </c>
      <c r="I621" s="115">
        <v>2077</v>
      </c>
      <c r="J621" s="212">
        <v>43801</v>
      </c>
      <c r="K621" s="158"/>
      <c r="L621" s="158"/>
      <c r="M621" s="158">
        <v>14</v>
      </c>
      <c r="N621" s="158">
        <v>14</v>
      </c>
      <c r="O621" s="158"/>
      <c r="P621" s="158">
        <v>1020758333</v>
      </c>
      <c r="Q621" s="158"/>
      <c r="R621" s="158"/>
      <c r="S621" s="311"/>
      <c r="T621" s="586">
        <v>556428470</v>
      </c>
      <c r="U621" s="158">
        <v>20</v>
      </c>
      <c r="V621" s="311">
        <v>43800</v>
      </c>
      <c r="W621" s="311"/>
      <c r="X621" s="311"/>
      <c r="Y621" s="625">
        <v>464329863</v>
      </c>
      <c r="Z621" s="495">
        <v>20</v>
      </c>
      <c r="AA621" s="484">
        <v>43920</v>
      </c>
      <c r="AB621" s="616"/>
      <c r="AC621" s="284"/>
      <c r="AD621" s="158"/>
      <c r="AE621" s="158">
        <f t="shared" si="102"/>
        <v>0</v>
      </c>
      <c r="AF621" s="158"/>
      <c r="AG621" s="158">
        <f>(P621-Q621-T621-Y621)</f>
        <v>0</v>
      </c>
      <c r="AH621" s="158"/>
      <c r="AI621" s="158"/>
      <c r="AJ621" s="158">
        <f>AE621+AG621</f>
        <v>0</v>
      </c>
      <c r="AK621" s="158">
        <v>877</v>
      </c>
      <c r="AL621" s="158">
        <v>20</v>
      </c>
      <c r="AM621" s="72"/>
      <c r="AN621" s="72">
        <v>14</v>
      </c>
      <c r="AO621" s="98"/>
      <c r="AP621" s="81"/>
      <c r="AQ621" s="81"/>
      <c r="AR621" s="81"/>
      <c r="AS621" s="493">
        <v>0</v>
      </c>
      <c r="AT621" s="485" t="s">
        <v>38</v>
      </c>
      <c r="AU621" s="104" t="s">
        <v>1565</v>
      </c>
      <c r="AV621" s="51"/>
      <c r="AW621" s="56"/>
      <c r="AX621" s="56"/>
      <c r="AY621" s="56"/>
      <c r="AZ621" s="56"/>
      <c r="BA621" s="56"/>
      <c r="BB621" s="291"/>
      <c r="BC621" s="291"/>
      <c r="BD621" s="271"/>
      <c r="BE621" s="271">
        <v>2019</v>
      </c>
      <c r="BF621" s="271">
        <v>2020</v>
      </c>
    </row>
    <row r="622" spans="1:58" s="204" customFormat="1" ht="18" customHeight="1">
      <c r="A622" s="160" t="s">
        <v>510</v>
      </c>
      <c r="B622" s="58" t="s">
        <v>197</v>
      </c>
      <c r="C622" s="501" t="s">
        <v>1932</v>
      </c>
      <c r="D622" s="483" t="s">
        <v>287</v>
      </c>
      <c r="E622" s="483"/>
      <c r="F622" s="483"/>
      <c r="G622" s="483"/>
      <c r="H622" s="30" t="s">
        <v>1920</v>
      </c>
      <c r="I622" s="115">
        <v>2111</v>
      </c>
      <c r="J622" s="212">
        <v>43805</v>
      </c>
      <c r="K622" s="158"/>
      <c r="L622" s="158"/>
      <c r="M622" s="158">
        <v>17</v>
      </c>
      <c r="N622" s="158">
        <v>17</v>
      </c>
      <c r="O622" s="158"/>
      <c r="P622" s="158">
        <v>1063166914</v>
      </c>
      <c r="Q622" s="158"/>
      <c r="R622" s="158"/>
      <c r="S622" s="311"/>
      <c r="T622" s="586">
        <v>579099555</v>
      </c>
      <c r="U622" s="158">
        <v>20</v>
      </c>
      <c r="V622" s="311">
        <v>43800</v>
      </c>
      <c r="W622" s="311"/>
      <c r="X622" s="311"/>
      <c r="Y622" s="626">
        <v>484067359</v>
      </c>
      <c r="Z622" s="495">
        <v>20</v>
      </c>
      <c r="AA622" s="484">
        <v>43889</v>
      </c>
      <c r="AB622" s="616"/>
      <c r="AC622" s="284"/>
      <c r="AD622" s="158"/>
      <c r="AE622" s="158">
        <f t="shared" si="102"/>
        <v>0</v>
      </c>
      <c r="AF622" s="158"/>
      <c r="AG622" s="158">
        <f>(P622-Q622-T622-Y622)</f>
        <v>0</v>
      </c>
      <c r="AH622" s="158"/>
      <c r="AI622" s="158"/>
      <c r="AJ622" s="158">
        <f>AE622+AG622</f>
        <v>0</v>
      </c>
      <c r="AK622" s="158">
        <v>877</v>
      </c>
      <c r="AL622" s="158">
        <v>20</v>
      </c>
      <c r="AM622" s="72"/>
      <c r="AN622" s="72">
        <v>17</v>
      </c>
      <c r="AO622" s="98"/>
      <c r="AP622" s="81"/>
      <c r="AQ622" s="81"/>
      <c r="AR622" s="81"/>
      <c r="AS622" s="493">
        <v>0</v>
      </c>
      <c r="AT622" s="485" t="s">
        <v>38</v>
      </c>
      <c r="AU622" s="104" t="s">
        <v>1565</v>
      </c>
      <c r="AV622" s="51"/>
      <c r="AW622" s="56"/>
      <c r="AX622" s="56"/>
      <c r="AY622" s="56"/>
      <c r="AZ622" s="56"/>
      <c r="BA622" s="56"/>
      <c r="BB622" s="291"/>
      <c r="BC622" s="291"/>
      <c r="BD622" s="271"/>
      <c r="BE622" s="271">
        <v>2019</v>
      </c>
      <c r="BF622" s="271">
        <v>2020</v>
      </c>
    </row>
    <row r="623" spans="1:58" s="204" customFormat="1" ht="18" customHeight="1">
      <c r="A623" s="160" t="s">
        <v>510</v>
      </c>
      <c r="B623" s="520" t="s">
        <v>203</v>
      </c>
      <c r="C623" s="526" t="s">
        <v>2264</v>
      </c>
      <c r="D623" s="526" t="s">
        <v>1629</v>
      </c>
      <c r="E623" s="528"/>
      <c r="F623" s="558">
        <v>4</v>
      </c>
      <c r="G623" s="558"/>
      <c r="H623" s="533" t="s">
        <v>2236</v>
      </c>
      <c r="I623" s="228">
        <v>316</v>
      </c>
      <c r="J623" s="459">
        <v>43910</v>
      </c>
      <c r="K623" s="61"/>
      <c r="L623" s="61"/>
      <c r="M623" s="61"/>
      <c r="N623" s="606">
        <v>47</v>
      </c>
      <c r="O623" s="61"/>
      <c r="P623" s="524">
        <f>(1863821254+1559354709)</f>
        <v>3423175963</v>
      </c>
      <c r="Q623" s="61"/>
      <c r="R623" s="61"/>
      <c r="S623" s="460"/>
      <c r="T623" s="586">
        <v>1863821254</v>
      </c>
      <c r="U623" s="524">
        <v>10</v>
      </c>
      <c r="V623" s="527">
        <v>43951</v>
      </c>
      <c r="W623" s="527"/>
      <c r="X623" s="527"/>
      <c r="Y623" s="225"/>
      <c r="Z623" s="461">
        <v>10</v>
      </c>
      <c r="AA623" s="311"/>
      <c r="AB623" s="311"/>
      <c r="AC623" s="158"/>
      <c r="AD623" s="158"/>
      <c r="AE623" s="158"/>
      <c r="AF623" s="61"/>
      <c r="AG623" s="61"/>
      <c r="AH623" s="61">
        <v>3423175963</v>
      </c>
      <c r="AI623" s="61"/>
      <c r="AJ623" s="61">
        <f t="shared" ref="AJ623:AJ629" si="104">(AH623-Q623-T623-Y623)</f>
        <v>1559354709</v>
      </c>
      <c r="AK623" s="61">
        <v>877</v>
      </c>
      <c r="AL623" s="61">
        <v>10</v>
      </c>
      <c r="AM623" s="61"/>
      <c r="AN623" s="524">
        <v>47</v>
      </c>
      <c r="AO623" s="552"/>
      <c r="AP623" s="227"/>
      <c r="AQ623" s="227"/>
      <c r="AR623" s="227"/>
      <c r="AS623" s="493">
        <v>0</v>
      </c>
      <c r="AT623" s="485" t="s">
        <v>38</v>
      </c>
      <c r="AU623" s="462"/>
      <c r="AV623" s="60"/>
      <c r="AW623" s="553"/>
      <c r="AX623" s="553"/>
      <c r="AY623" s="553"/>
      <c r="AZ623" s="553"/>
      <c r="BA623" s="553"/>
      <c r="BB623" s="56"/>
      <c r="BC623" s="56"/>
      <c r="BD623" s="271"/>
      <c r="BE623" s="464"/>
      <c r="BF623" s="464">
        <v>2020</v>
      </c>
    </row>
    <row r="624" spans="1:58" s="204" customFormat="1" ht="29.25" customHeight="1">
      <c r="A624" s="160" t="s">
        <v>510</v>
      </c>
      <c r="B624" s="520" t="s">
        <v>203</v>
      </c>
      <c r="C624" s="526" t="s">
        <v>2279</v>
      </c>
      <c r="D624" s="526" t="s">
        <v>1629</v>
      </c>
      <c r="E624" s="528"/>
      <c r="F624" s="558">
        <v>4</v>
      </c>
      <c r="G624" s="558"/>
      <c r="H624" s="533" t="s">
        <v>2236</v>
      </c>
      <c r="I624" s="550" t="s">
        <v>2280</v>
      </c>
      <c r="J624" s="549" t="s">
        <v>2281</v>
      </c>
      <c r="K624" s="61"/>
      <c r="L624" s="61"/>
      <c r="M624" s="61"/>
      <c r="N624" s="606">
        <v>18</v>
      </c>
      <c r="O624" s="61"/>
      <c r="P624" s="524">
        <f>(710295734+585168953)</f>
        <v>1295464687</v>
      </c>
      <c r="Q624" s="61"/>
      <c r="R624" s="61"/>
      <c r="S624" s="460"/>
      <c r="T624" s="586">
        <v>710295734</v>
      </c>
      <c r="U624" s="524">
        <v>20</v>
      </c>
      <c r="V624" s="527">
        <v>43951</v>
      </c>
      <c r="W624" s="527"/>
      <c r="X624" s="527"/>
      <c r="Y624" s="225"/>
      <c r="Z624" s="461">
        <v>20</v>
      </c>
      <c r="AA624" s="311"/>
      <c r="AB624" s="311"/>
      <c r="AC624" s="158"/>
      <c r="AD624" s="158"/>
      <c r="AE624" s="158"/>
      <c r="AF624" s="61"/>
      <c r="AG624" s="61"/>
      <c r="AH624" s="61">
        <v>1295464687</v>
      </c>
      <c r="AI624" s="61"/>
      <c r="AJ624" s="61">
        <f t="shared" si="104"/>
        <v>585168953</v>
      </c>
      <c r="AK624" s="61">
        <v>877</v>
      </c>
      <c r="AL624" s="61">
        <v>20</v>
      </c>
      <c r="AM624" s="61"/>
      <c r="AN624" s="524">
        <v>18</v>
      </c>
      <c r="AO624" s="552"/>
      <c r="AP624" s="227"/>
      <c r="AQ624" s="227"/>
      <c r="AR624" s="227"/>
      <c r="AS624" s="493">
        <v>0</v>
      </c>
      <c r="AT624" s="485" t="s">
        <v>38</v>
      </c>
      <c r="AU624" s="462" t="s">
        <v>2260</v>
      </c>
      <c r="AV624" s="60"/>
      <c r="AW624" s="553"/>
      <c r="AX624" s="553"/>
      <c r="AY624" s="553"/>
      <c r="AZ624" s="553"/>
      <c r="BA624" s="553"/>
      <c r="BB624" s="56"/>
      <c r="BC624" s="56"/>
      <c r="BD624" s="271"/>
      <c r="BE624" s="464"/>
      <c r="BF624" s="464">
        <v>2020</v>
      </c>
    </row>
    <row r="625" spans="1:58" s="204" customFormat="1" ht="29.25" customHeight="1">
      <c r="A625" s="160" t="s">
        <v>510</v>
      </c>
      <c r="B625" s="520" t="s">
        <v>546</v>
      </c>
      <c r="C625" s="526" t="s">
        <v>2282</v>
      </c>
      <c r="D625" s="526" t="s">
        <v>1642</v>
      </c>
      <c r="E625" s="528"/>
      <c r="F625" s="558">
        <v>4</v>
      </c>
      <c r="G625" s="558"/>
      <c r="H625" s="533" t="s">
        <v>2236</v>
      </c>
      <c r="I625" s="550">
        <v>278</v>
      </c>
      <c r="J625" s="549">
        <v>43901</v>
      </c>
      <c r="K625" s="61"/>
      <c r="L625" s="61"/>
      <c r="M625" s="61"/>
      <c r="N625" s="604">
        <v>32</v>
      </c>
      <c r="O625" s="61"/>
      <c r="P625" s="524">
        <f>(1281155800+1048274600)</f>
        <v>2329430400</v>
      </c>
      <c r="Q625" s="61"/>
      <c r="R625" s="61"/>
      <c r="S625" s="460"/>
      <c r="T625" s="586">
        <v>1281155800</v>
      </c>
      <c r="U625" s="524">
        <v>10</v>
      </c>
      <c r="V625" s="527">
        <v>43951</v>
      </c>
      <c r="W625" s="527"/>
      <c r="X625" s="527"/>
      <c r="Y625" s="225"/>
      <c r="Z625" s="461">
        <v>10</v>
      </c>
      <c r="AA625" s="311"/>
      <c r="AB625" s="311"/>
      <c r="AC625" s="158"/>
      <c r="AD625" s="158"/>
      <c r="AE625" s="158"/>
      <c r="AF625" s="61"/>
      <c r="AG625" s="61"/>
      <c r="AH625" s="61">
        <v>2329430400</v>
      </c>
      <c r="AI625" s="61"/>
      <c r="AJ625" s="61">
        <f t="shared" si="104"/>
        <v>1048274600</v>
      </c>
      <c r="AK625" s="61">
        <v>877</v>
      </c>
      <c r="AL625" s="61">
        <v>10</v>
      </c>
      <c r="AM625" s="61"/>
      <c r="AN625" s="524">
        <v>32</v>
      </c>
      <c r="AO625" s="552"/>
      <c r="AP625" s="227"/>
      <c r="AQ625" s="227"/>
      <c r="AR625" s="227"/>
      <c r="AS625" s="493">
        <v>0</v>
      </c>
      <c r="AT625" s="485" t="s">
        <v>38</v>
      </c>
      <c r="AU625" s="462"/>
      <c r="AV625" s="60"/>
      <c r="AW625" s="553"/>
      <c r="AX625" s="553"/>
      <c r="AY625" s="553"/>
      <c r="AZ625" s="553"/>
      <c r="BA625" s="553"/>
      <c r="BB625" s="56"/>
      <c r="BC625" s="56"/>
      <c r="BD625" s="271"/>
      <c r="BE625" s="464"/>
      <c r="BF625" s="464">
        <v>2020</v>
      </c>
    </row>
    <row r="626" spans="1:58" s="204" customFormat="1" ht="29.25" customHeight="1">
      <c r="A626" s="160" t="s">
        <v>510</v>
      </c>
      <c r="B626" s="520" t="s">
        <v>197</v>
      </c>
      <c r="C626" s="526" t="s">
        <v>2287</v>
      </c>
      <c r="D626" s="526" t="s">
        <v>2288</v>
      </c>
      <c r="E626" s="528"/>
      <c r="F626" s="558">
        <v>4</v>
      </c>
      <c r="G626" s="558"/>
      <c r="H626" s="533" t="s">
        <v>2236</v>
      </c>
      <c r="I626" s="550">
        <v>324</v>
      </c>
      <c r="J626" s="549">
        <v>43910</v>
      </c>
      <c r="K626" s="61"/>
      <c r="L626" s="61"/>
      <c r="M626" s="61"/>
      <c r="N626" s="604">
        <v>56</v>
      </c>
      <c r="O626" s="61"/>
      <c r="P626" s="524">
        <v>4637924711</v>
      </c>
      <c r="Q626" s="524">
        <v>584061550</v>
      </c>
      <c r="R626" s="72">
        <v>20</v>
      </c>
      <c r="S626" s="484">
        <v>43951</v>
      </c>
      <c r="T626" s="61"/>
      <c r="U626" s="61">
        <v>20</v>
      </c>
      <c r="V626" s="460"/>
      <c r="W626" s="460"/>
      <c r="X626" s="460"/>
      <c r="Y626" s="225"/>
      <c r="Z626" s="461">
        <v>20</v>
      </c>
      <c r="AA626" s="311"/>
      <c r="AB626" s="311"/>
      <c r="AC626" s="158"/>
      <c r="AD626" s="158"/>
      <c r="AE626" s="158"/>
      <c r="AF626" s="61"/>
      <c r="AG626" s="61"/>
      <c r="AH626" s="61">
        <v>5221986261</v>
      </c>
      <c r="AI626" s="61"/>
      <c r="AJ626" s="61">
        <f t="shared" si="104"/>
        <v>4637924711</v>
      </c>
      <c r="AK626" s="61">
        <v>877</v>
      </c>
      <c r="AL626" s="61">
        <v>20</v>
      </c>
      <c r="AM626" s="61"/>
      <c r="AN626" s="524">
        <v>56</v>
      </c>
      <c r="AO626" s="552"/>
      <c r="AP626" s="227"/>
      <c r="AQ626" s="227"/>
      <c r="AR626" s="227"/>
      <c r="AS626" s="493">
        <v>0</v>
      </c>
      <c r="AT626" s="485" t="s">
        <v>38</v>
      </c>
      <c r="AU626" s="462"/>
      <c r="AV626" s="60"/>
      <c r="AW626" s="553"/>
      <c r="AX626" s="553"/>
      <c r="AY626" s="553"/>
      <c r="AZ626" s="553"/>
      <c r="BA626" s="553"/>
      <c r="BB626" s="56"/>
      <c r="BC626" s="56"/>
      <c r="BD626" s="271"/>
      <c r="BE626" s="464"/>
      <c r="BF626" s="464">
        <v>2020</v>
      </c>
    </row>
    <row r="627" spans="1:58" s="204" customFormat="1" ht="29.25" customHeight="1">
      <c r="A627" s="160" t="s">
        <v>510</v>
      </c>
      <c r="B627" s="520" t="s">
        <v>203</v>
      </c>
      <c r="C627" s="526" t="s">
        <v>2289</v>
      </c>
      <c r="D627" s="526" t="s">
        <v>2290</v>
      </c>
      <c r="E627" s="528"/>
      <c r="F627" s="558">
        <v>4</v>
      </c>
      <c r="G627" s="558"/>
      <c r="H627" s="533" t="s">
        <v>2236</v>
      </c>
      <c r="I627" s="550">
        <v>396</v>
      </c>
      <c r="J627" s="549">
        <v>43955</v>
      </c>
      <c r="K627" s="61"/>
      <c r="L627" s="61"/>
      <c r="M627" s="61"/>
      <c r="N627" s="604">
        <v>44</v>
      </c>
      <c r="O627" s="61"/>
      <c r="P627" s="524">
        <f>(1753274079+1451955747)</f>
        <v>3205229826</v>
      </c>
      <c r="Q627" s="61"/>
      <c r="R627" s="61"/>
      <c r="S627" s="460"/>
      <c r="T627" s="586">
        <v>1753274079</v>
      </c>
      <c r="U627" s="524">
        <v>10</v>
      </c>
      <c r="V627" s="527">
        <v>43979</v>
      </c>
      <c r="W627" s="527"/>
      <c r="X627" s="527"/>
      <c r="Y627" s="225"/>
      <c r="Z627" s="461">
        <v>10</v>
      </c>
      <c r="AA627" s="311"/>
      <c r="AB627" s="311"/>
      <c r="AC627" s="158"/>
      <c r="AD627" s="158"/>
      <c r="AE627" s="158"/>
      <c r="AF627" s="61"/>
      <c r="AG627" s="61"/>
      <c r="AH627" s="61">
        <v>3205229826</v>
      </c>
      <c r="AI627" s="61"/>
      <c r="AJ627" s="61">
        <f t="shared" si="104"/>
        <v>1451955747</v>
      </c>
      <c r="AK627" s="61">
        <v>877</v>
      </c>
      <c r="AL627" s="61">
        <v>10</v>
      </c>
      <c r="AM627" s="61"/>
      <c r="AN627" s="524">
        <v>44</v>
      </c>
      <c r="AO627" s="552"/>
      <c r="AP627" s="227"/>
      <c r="AQ627" s="227"/>
      <c r="AR627" s="227"/>
      <c r="AS627" s="493">
        <v>0</v>
      </c>
      <c r="AT627" s="485" t="s">
        <v>38</v>
      </c>
      <c r="AU627" s="462"/>
      <c r="AV627" s="60"/>
      <c r="AW627" s="553"/>
      <c r="AX627" s="553"/>
      <c r="AY627" s="553"/>
      <c r="AZ627" s="553"/>
      <c r="BA627" s="553"/>
      <c r="BB627" s="56"/>
      <c r="BC627" s="56"/>
      <c r="BD627" s="271"/>
      <c r="BE627" s="464"/>
      <c r="BF627" s="464">
        <v>2020</v>
      </c>
    </row>
    <row r="628" spans="1:58" s="204" customFormat="1" ht="29.25" customHeight="1">
      <c r="A628" s="160" t="s">
        <v>510</v>
      </c>
      <c r="B628" s="520" t="s">
        <v>264</v>
      </c>
      <c r="C628" s="536" t="s">
        <v>2295</v>
      </c>
      <c r="D628" s="554" t="s">
        <v>566</v>
      </c>
      <c r="E628" s="528"/>
      <c r="F628" s="558">
        <v>4</v>
      </c>
      <c r="G628" s="558"/>
      <c r="H628" s="533" t="s">
        <v>2236</v>
      </c>
      <c r="I628" s="550">
        <v>229</v>
      </c>
      <c r="J628" s="549">
        <v>43886</v>
      </c>
      <c r="K628" s="61"/>
      <c r="L628" s="61"/>
      <c r="M628" s="61"/>
      <c r="N628" s="604">
        <v>40</v>
      </c>
      <c r="O628" s="61"/>
      <c r="P628" s="524">
        <f>1313598968+1597987157</f>
        <v>2911586125</v>
      </c>
      <c r="Q628" s="61"/>
      <c r="R628" s="61"/>
      <c r="S628" s="460"/>
      <c r="T628" s="586">
        <v>1597987157</v>
      </c>
      <c r="U628" s="524">
        <v>10</v>
      </c>
      <c r="V628" s="527">
        <v>43976</v>
      </c>
      <c r="W628" s="527"/>
      <c r="X628" s="527"/>
      <c r="Y628" s="225"/>
      <c r="Z628" s="461"/>
      <c r="AA628" s="311"/>
      <c r="AB628" s="311"/>
      <c r="AC628" s="158"/>
      <c r="AD628" s="158"/>
      <c r="AE628" s="158"/>
      <c r="AF628" s="61"/>
      <c r="AG628" s="61"/>
      <c r="AH628" s="61">
        <v>2911586125</v>
      </c>
      <c r="AI628" s="61">
        <v>10</v>
      </c>
      <c r="AJ628" s="61">
        <f t="shared" si="104"/>
        <v>1313598968</v>
      </c>
      <c r="AK628" s="61">
        <v>877</v>
      </c>
      <c r="AL628" s="61">
        <v>10</v>
      </c>
      <c r="AM628" s="61"/>
      <c r="AN628" s="524">
        <v>40</v>
      </c>
      <c r="AO628" s="552"/>
      <c r="AP628" s="227"/>
      <c r="AQ628" s="227"/>
      <c r="AR628" s="227"/>
      <c r="AS628" s="493">
        <v>0</v>
      </c>
      <c r="AT628" s="485" t="s">
        <v>38</v>
      </c>
      <c r="AU628" s="462"/>
      <c r="AV628" s="60"/>
      <c r="AW628" s="553"/>
      <c r="AX628" s="553"/>
      <c r="AY628" s="553"/>
      <c r="AZ628" s="553"/>
      <c r="BA628" s="553"/>
      <c r="BB628" s="56"/>
      <c r="BC628" s="56"/>
      <c r="BD628" s="271"/>
      <c r="BE628" s="464"/>
      <c r="BF628" s="464">
        <v>2020</v>
      </c>
    </row>
    <row r="629" spans="1:58" s="204" customFormat="1" ht="29.25" customHeight="1">
      <c r="A629" s="160" t="s">
        <v>510</v>
      </c>
      <c r="B629" s="520" t="s">
        <v>264</v>
      </c>
      <c r="C629" s="609" t="s">
        <v>2332</v>
      </c>
      <c r="D629" s="554" t="s">
        <v>566</v>
      </c>
      <c r="E629" s="528"/>
      <c r="F629" s="558"/>
      <c r="G629" s="558"/>
      <c r="H629" s="533" t="s">
        <v>2236</v>
      </c>
      <c r="I629" s="550" t="s">
        <v>2334</v>
      </c>
      <c r="J629" s="549" t="s">
        <v>2333</v>
      </c>
      <c r="K629" s="61"/>
      <c r="L629" s="61"/>
      <c r="M629" s="61"/>
      <c r="N629" s="604">
        <v>26</v>
      </c>
      <c r="O629" s="61"/>
      <c r="P629" s="524">
        <v>1893305018</v>
      </c>
      <c r="Q629" s="61"/>
      <c r="R629" s="61"/>
      <c r="S629" s="460"/>
      <c r="T629" s="586"/>
      <c r="U629" s="524"/>
      <c r="V629" s="527"/>
      <c r="W629" s="527"/>
      <c r="X629" s="527"/>
      <c r="Y629" s="225"/>
      <c r="Z629" s="461">
        <v>10</v>
      </c>
      <c r="AA629" s="311"/>
      <c r="AB629" s="311"/>
      <c r="AC629" s="158"/>
      <c r="AD629" s="158"/>
      <c r="AE629" s="158"/>
      <c r="AF629" s="61"/>
      <c r="AG629" s="61"/>
      <c r="AH629" s="61"/>
      <c r="AI629" s="61"/>
      <c r="AJ629" s="61">
        <f t="shared" si="104"/>
        <v>0</v>
      </c>
      <c r="AK629" s="61">
        <v>877</v>
      </c>
      <c r="AL629" s="61">
        <v>10</v>
      </c>
      <c r="AM629" s="61">
        <v>20</v>
      </c>
      <c r="AN629" s="524"/>
      <c r="AO629" s="552"/>
      <c r="AP629" s="227"/>
      <c r="AQ629" s="227"/>
      <c r="AR629" s="227"/>
      <c r="AS629" s="493">
        <v>0</v>
      </c>
      <c r="AT629" s="58" t="s">
        <v>521</v>
      </c>
      <c r="AU629" s="462"/>
      <c r="AV629" s="60"/>
      <c r="AW629" s="553"/>
      <c r="AX629" s="553"/>
      <c r="AY629" s="553"/>
      <c r="AZ629" s="553"/>
      <c r="BA629" s="553"/>
      <c r="BB629" s="56"/>
      <c r="BC629" s="56"/>
      <c r="BD629" s="271"/>
      <c r="BE629" s="464"/>
      <c r="BF629" s="464">
        <v>2020</v>
      </c>
    </row>
    <row r="630" spans="1:58" ht="14.25" customHeight="1">
      <c r="A630" s="371" t="s">
        <v>1949</v>
      </c>
      <c r="B630" s="371"/>
      <c r="C630" s="371"/>
      <c r="D630" s="371"/>
      <c r="E630" s="371"/>
      <c r="F630" s="371"/>
      <c r="G630" s="371"/>
      <c r="H630" s="371"/>
      <c r="I630" s="371"/>
      <c r="J630" s="371"/>
      <c r="K630" s="371">
        <f>SUM(K631:K632)</f>
        <v>0</v>
      </c>
      <c r="L630" s="370">
        <f t="shared" ref="L630:O630" si="105">SUM(L631:L632)</f>
        <v>0</v>
      </c>
      <c r="M630" s="370">
        <f t="shared" si="105"/>
        <v>230</v>
      </c>
      <c r="N630" s="370">
        <f t="shared" si="105"/>
        <v>230</v>
      </c>
      <c r="O630" s="370">
        <f t="shared" si="105"/>
        <v>0</v>
      </c>
      <c r="P630" s="371"/>
      <c r="Q630" s="371"/>
      <c r="R630" s="371"/>
      <c r="S630" s="371"/>
      <c r="T630" s="586"/>
      <c r="U630" s="371"/>
      <c r="V630" s="371"/>
      <c r="W630" s="371"/>
      <c r="X630" s="371"/>
      <c r="Y630" s="371"/>
      <c r="Z630" s="371"/>
      <c r="AA630" s="371"/>
      <c r="AB630" s="371"/>
      <c r="AC630" s="371"/>
      <c r="AD630" s="371"/>
      <c r="AE630" s="371"/>
      <c r="AF630" s="371"/>
      <c r="AG630" s="371"/>
      <c r="AH630" s="371"/>
      <c r="AI630" s="371"/>
      <c r="AJ630" s="371"/>
      <c r="AK630" s="371"/>
      <c r="AL630" s="371"/>
      <c r="AM630" s="370">
        <f t="shared" ref="AM630:AR630" si="106">SUM(AM631:AM632)</f>
        <v>230</v>
      </c>
      <c r="AN630" s="370">
        <f t="shared" si="106"/>
        <v>0</v>
      </c>
      <c r="AO630" s="370">
        <f t="shared" si="106"/>
        <v>0</v>
      </c>
      <c r="AP630" s="370">
        <f t="shared" si="106"/>
        <v>0</v>
      </c>
      <c r="AQ630" s="370">
        <f t="shared" si="106"/>
        <v>0</v>
      </c>
      <c r="AR630" s="370">
        <f t="shared" si="106"/>
        <v>0</v>
      </c>
      <c r="AS630" s="371"/>
      <c r="AT630" s="371"/>
      <c r="AU630" s="385"/>
      <c r="AV630" s="371"/>
      <c r="AW630" s="371"/>
      <c r="AX630" s="371"/>
      <c r="AY630" s="371"/>
      <c r="AZ630" s="371"/>
      <c r="BA630" s="371"/>
      <c r="BB630" s="371"/>
      <c r="BC630" s="371"/>
      <c r="BD630" s="371"/>
      <c r="BE630" s="371">
        <v>2019</v>
      </c>
      <c r="BF630" s="371">
        <v>2020</v>
      </c>
    </row>
    <row r="631" spans="1:58" s="204" customFormat="1" ht="18" customHeight="1">
      <c r="A631" s="160" t="s">
        <v>1949</v>
      </c>
      <c r="B631" s="58" t="s">
        <v>1950</v>
      </c>
      <c r="C631" s="501" t="s">
        <v>1971</v>
      </c>
      <c r="D631" s="483" t="s">
        <v>3</v>
      </c>
      <c r="E631" s="483"/>
      <c r="F631" s="483"/>
      <c r="G631" s="483"/>
      <c r="H631" s="30" t="s">
        <v>1920</v>
      </c>
      <c r="I631" s="115">
        <v>2083</v>
      </c>
      <c r="J631" s="212">
        <v>43802</v>
      </c>
      <c r="K631" s="158"/>
      <c r="L631" s="158"/>
      <c r="M631" s="158">
        <v>80</v>
      </c>
      <c r="N631" s="158">
        <v>80</v>
      </c>
      <c r="O631" s="158"/>
      <c r="P631" s="158">
        <v>6591888189</v>
      </c>
      <c r="Q631" s="623">
        <v>876000000</v>
      </c>
      <c r="R631" s="72">
        <v>10</v>
      </c>
      <c r="S631" s="484">
        <v>43888</v>
      </c>
      <c r="T631" s="612"/>
      <c r="U631" s="158"/>
      <c r="V631" s="311"/>
      <c r="W631" s="311"/>
      <c r="X631" s="311"/>
      <c r="Y631" s="94"/>
      <c r="Z631" s="69"/>
      <c r="AA631" s="284"/>
      <c r="AB631" s="614"/>
      <c r="AC631" s="284"/>
      <c r="AD631" s="158"/>
      <c r="AE631" s="158">
        <f>P631-Q631-T631-Y631-AG631</f>
        <v>0</v>
      </c>
      <c r="AF631" s="158"/>
      <c r="AG631" s="158">
        <f>(3134127298+2581760891)</f>
        <v>5715888189</v>
      </c>
      <c r="AH631" s="158"/>
      <c r="AI631" s="158"/>
      <c r="AJ631" s="158">
        <f>AE631+AG631</f>
        <v>5715888189</v>
      </c>
      <c r="AK631" s="158">
        <v>877</v>
      </c>
      <c r="AL631" s="158">
        <v>10</v>
      </c>
      <c r="AM631" s="158">
        <v>80</v>
      </c>
      <c r="AN631" s="158"/>
      <c r="AO631" s="56"/>
      <c r="AP631" s="51"/>
      <c r="AQ631" s="51"/>
      <c r="AR631" s="51"/>
      <c r="AS631" s="2">
        <v>0</v>
      </c>
      <c r="AT631" s="58" t="s">
        <v>521</v>
      </c>
      <c r="AU631" s="104" t="s">
        <v>1565</v>
      </c>
      <c r="AV631" s="51"/>
      <c r="AW631" s="56"/>
      <c r="AX631" s="56"/>
      <c r="AY631" s="56"/>
      <c r="AZ631" s="56"/>
      <c r="BA631" s="56"/>
      <c r="BB631" s="291"/>
      <c r="BC631" s="291"/>
      <c r="BD631" s="271"/>
      <c r="BE631" s="271">
        <v>2019</v>
      </c>
      <c r="BF631" s="271">
        <v>2020</v>
      </c>
    </row>
    <row r="632" spans="1:58" s="204" customFormat="1" ht="18" customHeight="1">
      <c r="A632" s="160" t="s">
        <v>1949</v>
      </c>
      <c r="B632" s="58" t="s">
        <v>1950</v>
      </c>
      <c r="C632" s="501" t="s">
        <v>1972</v>
      </c>
      <c r="D632" s="483" t="s">
        <v>1308</v>
      </c>
      <c r="E632" s="483"/>
      <c r="F632" s="483"/>
      <c r="G632" s="483"/>
      <c r="H632" s="30" t="s">
        <v>1920</v>
      </c>
      <c r="I632" s="115">
        <v>2241</v>
      </c>
      <c r="J632" s="212">
        <v>43822</v>
      </c>
      <c r="K632" s="158"/>
      <c r="L632" s="158"/>
      <c r="M632" s="158">
        <v>150</v>
      </c>
      <c r="N632" s="158">
        <v>150</v>
      </c>
      <c r="O632" s="158"/>
      <c r="P632" s="158">
        <v>11789016806</v>
      </c>
      <c r="Q632" s="156">
        <v>900000000</v>
      </c>
      <c r="R632" s="72">
        <v>10</v>
      </c>
      <c r="S632" s="484">
        <v>43951</v>
      </c>
      <c r="T632" s="586"/>
      <c r="U632" s="158"/>
      <c r="V632" s="311"/>
      <c r="W632" s="311"/>
      <c r="X632" s="311"/>
      <c r="Y632" s="611"/>
      <c r="Z632" s="69"/>
      <c r="AA632" s="284"/>
      <c r="AB632" s="284"/>
      <c r="AC632" s="284"/>
      <c r="AD632" s="158"/>
      <c r="AE632" s="158">
        <f>P632-Q632-T632-Y632-AG632</f>
        <v>10889016806</v>
      </c>
      <c r="AF632" s="158"/>
      <c r="AG632" s="94">
        <v>0</v>
      </c>
      <c r="AH632" s="94"/>
      <c r="AI632" s="94"/>
      <c r="AJ632" s="158">
        <f>AE632+AG632</f>
        <v>10889016806</v>
      </c>
      <c r="AK632" s="158">
        <v>877</v>
      </c>
      <c r="AL632" s="158">
        <v>10</v>
      </c>
      <c r="AM632" s="158">
        <v>150</v>
      </c>
      <c r="AN632" s="158"/>
      <c r="AO632" s="56"/>
      <c r="AP632" s="51"/>
      <c r="AQ632" s="51"/>
      <c r="AR632" s="51"/>
      <c r="AS632" s="2">
        <v>0</v>
      </c>
      <c r="AT632" s="58" t="s">
        <v>521</v>
      </c>
      <c r="AU632" s="104" t="s">
        <v>1565</v>
      </c>
      <c r="AV632" s="51"/>
      <c r="AW632" s="56"/>
      <c r="AX632" s="56"/>
      <c r="AY632" s="56"/>
      <c r="AZ632" s="56"/>
      <c r="BA632" s="56"/>
      <c r="BB632" s="291"/>
      <c r="BC632" s="291"/>
      <c r="BD632" s="271"/>
      <c r="BE632" s="271">
        <v>2019</v>
      </c>
      <c r="BF632" s="271">
        <v>2020</v>
      </c>
    </row>
    <row r="633" spans="1:58" ht="14.25" customHeight="1">
      <c r="A633" s="371" t="s">
        <v>770</v>
      </c>
      <c r="B633" s="371"/>
      <c r="C633" s="371"/>
      <c r="D633" s="371"/>
      <c r="E633" s="371"/>
      <c r="F633" s="371"/>
      <c r="G633" s="371"/>
      <c r="H633" s="371"/>
      <c r="I633" s="371"/>
      <c r="J633" s="371"/>
      <c r="K633" s="371">
        <f>SUM(K634:K640)</f>
        <v>157</v>
      </c>
      <c r="L633" s="370">
        <f t="shared" ref="L633:O633" si="107">SUM(L634:L640)</f>
        <v>157</v>
      </c>
      <c r="M633" s="370">
        <f t="shared" si="107"/>
        <v>98</v>
      </c>
      <c r="N633" s="370">
        <f t="shared" si="107"/>
        <v>230</v>
      </c>
      <c r="O633" s="370">
        <f t="shared" si="107"/>
        <v>1</v>
      </c>
      <c r="P633" s="371"/>
      <c r="Q633" s="371"/>
      <c r="R633" s="371"/>
      <c r="S633" s="371"/>
      <c r="T633" s="586"/>
      <c r="U633" s="371"/>
      <c r="V633" s="371"/>
      <c r="W633" s="371"/>
      <c r="X633" s="371"/>
      <c r="Y633" s="371"/>
      <c r="Z633" s="371"/>
      <c r="AA633" s="371"/>
      <c r="AB633" s="371"/>
      <c r="AC633" s="371"/>
      <c r="AD633" s="371"/>
      <c r="AE633" s="371"/>
      <c r="AF633" s="371"/>
      <c r="AG633" s="371"/>
      <c r="AH633" s="371"/>
      <c r="AI633" s="371"/>
      <c r="AJ633" s="371"/>
      <c r="AK633" s="371"/>
      <c r="AL633" s="371"/>
      <c r="AM633" s="370">
        <f t="shared" ref="AM633:AR633" si="108">SUM(AM634:AM640)</f>
        <v>1</v>
      </c>
      <c r="AN633" s="370">
        <f t="shared" si="108"/>
        <v>230</v>
      </c>
      <c r="AO633" s="370">
        <f t="shared" si="108"/>
        <v>0</v>
      </c>
      <c r="AP633" s="370">
        <f t="shared" si="108"/>
        <v>0</v>
      </c>
      <c r="AQ633" s="370">
        <f t="shared" si="108"/>
        <v>0</v>
      </c>
      <c r="AR633" s="370">
        <f t="shared" si="108"/>
        <v>0</v>
      </c>
      <c r="AS633" s="371"/>
      <c r="AT633" s="371"/>
      <c r="AU633" s="385"/>
      <c r="AV633" s="370">
        <f t="shared" ref="AV633:BB633" si="109">SUM(AV634:AV640)</f>
        <v>0</v>
      </c>
      <c r="AW633" s="370">
        <f t="shared" si="109"/>
        <v>0</v>
      </c>
      <c r="AX633" s="370">
        <f t="shared" si="109"/>
        <v>0</v>
      </c>
      <c r="AY633" s="370">
        <f t="shared" si="109"/>
        <v>24</v>
      </c>
      <c r="AZ633" s="371"/>
      <c r="BA633" s="370">
        <f t="shared" si="109"/>
        <v>0</v>
      </c>
      <c r="BB633" s="370">
        <f t="shared" si="109"/>
        <v>24</v>
      </c>
      <c r="BC633" s="371">
        <f>SUM(BC634:BC640)</f>
        <v>0</v>
      </c>
      <c r="BD633" s="371"/>
      <c r="BE633" s="371">
        <v>2019</v>
      </c>
      <c r="BF633" s="371">
        <v>2020</v>
      </c>
    </row>
    <row r="634" spans="1:58" s="204" customFormat="1" ht="18" customHeight="1">
      <c r="A634" s="160" t="s">
        <v>770</v>
      </c>
      <c r="B634" s="58" t="s">
        <v>773</v>
      </c>
      <c r="C634" s="58" t="s">
        <v>771</v>
      </c>
      <c r="D634" s="33" t="s">
        <v>772</v>
      </c>
      <c r="E634" s="33"/>
      <c r="F634" s="33"/>
      <c r="G634" s="33"/>
      <c r="H634" s="30" t="s">
        <v>720</v>
      </c>
      <c r="I634" s="43">
        <v>2991</v>
      </c>
      <c r="J634" s="212">
        <v>43090</v>
      </c>
      <c r="K634" s="158"/>
      <c r="L634" s="158"/>
      <c r="M634" s="158">
        <v>28</v>
      </c>
      <c r="N634" s="158">
        <v>28</v>
      </c>
      <c r="O634" s="158"/>
      <c r="P634" s="158"/>
      <c r="Q634" s="158"/>
      <c r="R634" s="158"/>
      <c r="S634" s="158"/>
      <c r="T634" s="586"/>
      <c r="U634" s="158"/>
      <c r="V634" s="311"/>
      <c r="W634" s="311"/>
      <c r="X634" s="311"/>
      <c r="Y634" s="94"/>
      <c r="Z634" s="158"/>
      <c r="AA634" s="158"/>
      <c r="AB634" s="158"/>
      <c r="AC634" s="158"/>
      <c r="AD634" s="158"/>
      <c r="AE634" s="158">
        <f t="shared" ref="AE634:AE639" si="110">P634-T634-Y634</f>
        <v>0</v>
      </c>
      <c r="AF634" s="158"/>
      <c r="AG634" s="94">
        <v>0</v>
      </c>
      <c r="AH634" s="94"/>
      <c r="AI634" s="94"/>
      <c r="AJ634" s="158">
        <f t="shared" ref="AJ634:AJ636" si="111">AE634+AG634</f>
        <v>0</v>
      </c>
      <c r="AK634" s="158"/>
      <c r="AL634" s="158"/>
      <c r="AM634" s="158"/>
      <c r="AN634" s="158">
        <v>28</v>
      </c>
      <c r="AO634" s="158"/>
      <c r="AP634" s="158"/>
      <c r="AQ634" s="158"/>
      <c r="AR634" s="158"/>
      <c r="AS634" s="14">
        <v>0.7</v>
      </c>
      <c r="AT634" s="58" t="s">
        <v>38</v>
      </c>
      <c r="AU634" s="206" t="s">
        <v>1249</v>
      </c>
      <c r="AV634" s="158"/>
      <c r="AW634" s="158"/>
      <c r="AX634" s="158"/>
      <c r="AY634" s="158"/>
      <c r="AZ634" s="158"/>
      <c r="BA634" s="158"/>
      <c r="BB634" s="69"/>
      <c r="BC634" s="69"/>
      <c r="BD634" s="271"/>
      <c r="BE634" s="271">
        <v>2019</v>
      </c>
      <c r="BF634" s="271">
        <v>2020</v>
      </c>
    </row>
    <row r="635" spans="1:58" s="204" customFormat="1" ht="18" customHeight="1">
      <c r="A635" s="160" t="s">
        <v>770</v>
      </c>
      <c r="B635" s="58" t="s">
        <v>1079</v>
      </c>
      <c r="C635" s="58" t="s">
        <v>949</v>
      </c>
      <c r="D635" s="33" t="s">
        <v>858</v>
      </c>
      <c r="E635" s="33"/>
      <c r="F635" s="33"/>
      <c r="G635" s="33"/>
      <c r="H635" s="30" t="s">
        <v>968</v>
      </c>
      <c r="I635" s="30">
        <v>677</v>
      </c>
      <c r="J635" s="212">
        <v>43186</v>
      </c>
      <c r="K635" s="158">
        <v>13</v>
      </c>
      <c r="L635" s="158">
        <v>13</v>
      </c>
      <c r="M635" s="101"/>
      <c r="N635" s="158">
        <v>13</v>
      </c>
      <c r="O635" s="101"/>
      <c r="P635" s="158">
        <v>826702594</v>
      </c>
      <c r="Q635" s="101"/>
      <c r="R635" s="101"/>
      <c r="S635" s="101"/>
      <c r="T635" s="586">
        <v>359757195</v>
      </c>
      <c r="U635" s="158">
        <v>10</v>
      </c>
      <c r="V635" s="311"/>
      <c r="W635" s="311"/>
      <c r="X635" s="311"/>
      <c r="Y635" s="94">
        <v>466945399</v>
      </c>
      <c r="Z635" s="158">
        <v>10</v>
      </c>
      <c r="AA635" s="311">
        <v>43678</v>
      </c>
      <c r="AB635" s="311"/>
      <c r="AC635" s="101"/>
      <c r="AD635" s="158"/>
      <c r="AE635" s="158">
        <f t="shared" si="110"/>
        <v>0</v>
      </c>
      <c r="AF635" s="158"/>
      <c r="AG635" s="94">
        <v>0</v>
      </c>
      <c r="AH635" s="94"/>
      <c r="AI635" s="94"/>
      <c r="AJ635" s="158">
        <f t="shared" si="111"/>
        <v>0</v>
      </c>
      <c r="AK635" s="158">
        <v>877</v>
      </c>
      <c r="AL635" s="158">
        <v>10</v>
      </c>
      <c r="AM635" s="158"/>
      <c r="AN635" s="158">
        <v>13</v>
      </c>
      <c r="AO635" s="158"/>
      <c r="AP635" s="158"/>
      <c r="AQ635" s="158"/>
      <c r="AR635" s="158"/>
      <c r="AS635" s="56">
        <v>0.47370000000000001</v>
      </c>
      <c r="AT635" s="58" t="s">
        <v>38</v>
      </c>
      <c r="AU635" s="111" t="s">
        <v>1317</v>
      </c>
      <c r="AV635" s="158"/>
      <c r="AW635" s="158"/>
      <c r="AX635" s="158"/>
      <c r="AY635" s="158"/>
      <c r="AZ635" s="158"/>
      <c r="BA635" s="158"/>
      <c r="BB635" s="69"/>
      <c r="BC635" s="69"/>
      <c r="BD635" s="271"/>
      <c r="BE635" s="271">
        <v>2019</v>
      </c>
      <c r="BF635" s="271">
        <v>2020</v>
      </c>
    </row>
    <row r="636" spans="1:58" s="204" customFormat="1" ht="18" customHeight="1">
      <c r="A636" s="230" t="s">
        <v>770</v>
      </c>
      <c r="B636" s="58" t="s">
        <v>1079</v>
      </c>
      <c r="C636" s="28" t="s">
        <v>1080</v>
      </c>
      <c r="D636" s="33" t="s">
        <v>760</v>
      </c>
      <c r="E636" s="33"/>
      <c r="F636" s="33"/>
      <c r="G636" s="33"/>
      <c r="H636" s="30" t="s">
        <v>968</v>
      </c>
      <c r="I636" s="30">
        <v>676</v>
      </c>
      <c r="J636" s="212">
        <v>43186</v>
      </c>
      <c r="K636" s="158">
        <v>47</v>
      </c>
      <c r="L636" s="158">
        <v>47</v>
      </c>
      <c r="M636" s="101"/>
      <c r="N636" s="158">
        <v>47</v>
      </c>
      <c r="O636" s="101"/>
      <c r="P636" s="158">
        <v>2989336961</v>
      </c>
      <c r="Q636" s="158"/>
      <c r="R636" s="158"/>
      <c r="S636" s="158"/>
      <c r="T636" s="586">
        <v>1303466630</v>
      </c>
      <c r="U636" s="158">
        <v>10</v>
      </c>
      <c r="V636" s="311"/>
      <c r="W636" s="311"/>
      <c r="X636" s="311"/>
      <c r="Y636" s="94">
        <v>1685870331</v>
      </c>
      <c r="Z636" s="158">
        <v>20</v>
      </c>
      <c r="AA636" s="311">
        <v>43739</v>
      </c>
      <c r="AB636" s="311"/>
      <c r="AC636" s="101"/>
      <c r="AD636" s="158"/>
      <c r="AE636" s="158">
        <f t="shared" si="110"/>
        <v>0</v>
      </c>
      <c r="AF636" s="158"/>
      <c r="AG636" s="158">
        <f>P636-T636-Y636</f>
        <v>0</v>
      </c>
      <c r="AH636" s="158"/>
      <c r="AI636" s="158"/>
      <c r="AJ636" s="158">
        <f t="shared" si="111"/>
        <v>0</v>
      </c>
      <c r="AK636" s="158">
        <v>877</v>
      </c>
      <c r="AL636" s="158">
        <v>20</v>
      </c>
      <c r="AM636" s="158"/>
      <c r="AN636" s="158">
        <v>47</v>
      </c>
      <c r="AO636" s="158"/>
      <c r="AP636" s="158"/>
      <c r="AQ636" s="158"/>
      <c r="AR636" s="158"/>
      <c r="AS636" s="56">
        <v>0.47270000000000001</v>
      </c>
      <c r="AT636" s="58" t="s">
        <v>38</v>
      </c>
      <c r="AU636" s="111" t="s">
        <v>1330</v>
      </c>
      <c r="AV636" s="158"/>
      <c r="AW636" s="158"/>
      <c r="AX636" s="158"/>
      <c r="AY636" s="158"/>
      <c r="AZ636" s="158"/>
      <c r="BA636" s="158"/>
      <c r="BB636" s="69"/>
      <c r="BC636" s="69"/>
      <c r="BD636" s="271"/>
      <c r="BE636" s="271">
        <v>2019</v>
      </c>
      <c r="BF636" s="271">
        <v>2020</v>
      </c>
    </row>
    <row r="637" spans="1:58" s="204" customFormat="1" ht="18" customHeight="1">
      <c r="A637" s="160" t="s">
        <v>770</v>
      </c>
      <c r="B637" s="58" t="s">
        <v>1163</v>
      </c>
      <c r="C637" s="58" t="s">
        <v>1162</v>
      </c>
      <c r="D637" s="33" t="s">
        <v>105</v>
      </c>
      <c r="E637" s="33"/>
      <c r="F637" s="33"/>
      <c r="G637" s="33"/>
      <c r="H637" s="30" t="s">
        <v>1113</v>
      </c>
      <c r="I637" s="226">
        <v>742</v>
      </c>
      <c r="J637" s="212">
        <v>43453</v>
      </c>
      <c r="K637" s="158">
        <v>72</v>
      </c>
      <c r="L637" s="158">
        <v>72</v>
      </c>
      <c r="M637" s="158"/>
      <c r="N637" s="158">
        <v>72</v>
      </c>
      <c r="O637" s="158"/>
      <c r="P637" s="158">
        <v>4739107257</v>
      </c>
      <c r="Q637" s="158"/>
      <c r="R637" s="158"/>
      <c r="S637" s="158"/>
      <c r="T637" s="586">
        <v>2577416215</v>
      </c>
      <c r="U637" s="158">
        <v>10</v>
      </c>
      <c r="V637" s="311">
        <v>43497</v>
      </c>
      <c r="W637" s="311"/>
      <c r="X637" s="311"/>
      <c r="Y637" s="94"/>
      <c r="Z637" s="69"/>
      <c r="AA637" s="69"/>
      <c r="AB637" s="69"/>
      <c r="AC637" s="69"/>
      <c r="AD637" s="158"/>
      <c r="AE637" s="158">
        <f t="shared" si="110"/>
        <v>2161691042</v>
      </c>
      <c r="AF637" s="158"/>
      <c r="AG637" s="94">
        <v>0</v>
      </c>
      <c r="AH637" s="94"/>
      <c r="AI637" s="94"/>
      <c r="AJ637" s="158">
        <f>AE637+AG637</f>
        <v>2161691042</v>
      </c>
      <c r="AK637" s="158">
        <v>877</v>
      </c>
      <c r="AL637" s="158">
        <v>20</v>
      </c>
      <c r="AM637" s="158"/>
      <c r="AN637" s="158">
        <v>72</v>
      </c>
      <c r="AO637" s="158"/>
      <c r="AP637" s="158"/>
      <c r="AQ637" s="158"/>
      <c r="AR637" s="158"/>
      <c r="AS637" s="56">
        <v>7.5499999999999998E-2</v>
      </c>
      <c r="AT637" s="58" t="s">
        <v>38</v>
      </c>
      <c r="AU637" s="206"/>
      <c r="AV637" s="158"/>
      <c r="AW637" s="158"/>
      <c r="AX637" s="158"/>
      <c r="AY637" s="158"/>
      <c r="AZ637" s="158"/>
      <c r="BA637" s="158"/>
      <c r="BB637" s="69"/>
      <c r="BC637" s="69"/>
      <c r="BD637" s="271"/>
      <c r="BE637" s="271">
        <v>2019</v>
      </c>
      <c r="BF637" s="271">
        <v>2020</v>
      </c>
    </row>
    <row r="638" spans="1:58" s="204" customFormat="1" ht="29.25" hidden="1" customHeight="1">
      <c r="A638" s="243" t="s">
        <v>770</v>
      </c>
      <c r="B638" s="58" t="s">
        <v>1176</v>
      </c>
      <c r="C638" s="417" t="s">
        <v>1174</v>
      </c>
      <c r="D638" s="33" t="s">
        <v>1175</v>
      </c>
      <c r="E638" s="33"/>
      <c r="F638" s="33"/>
      <c r="G638" s="33"/>
      <c r="H638" s="30" t="s">
        <v>1113</v>
      </c>
      <c r="I638" s="82">
        <v>823</v>
      </c>
      <c r="J638" s="212">
        <v>43461</v>
      </c>
      <c r="K638" s="158">
        <f>25-1</f>
        <v>24</v>
      </c>
      <c r="L638" s="158">
        <v>24</v>
      </c>
      <c r="M638" s="158"/>
      <c r="N638" s="158"/>
      <c r="O638" s="158"/>
      <c r="P638" s="158">
        <f>1623194144-64927766</f>
        <v>1558266378</v>
      </c>
      <c r="Q638" s="158"/>
      <c r="R638" s="158"/>
      <c r="S638" s="158"/>
      <c r="T638" s="586">
        <v>844192120</v>
      </c>
      <c r="U638" s="158">
        <v>10</v>
      </c>
      <c r="V638" s="311">
        <v>43497</v>
      </c>
      <c r="W638" s="311"/>
      <c r="X638" s="311"/>
      <c r="Y638" s="94">
        <v>714074258</v>
      </c>
      <c r="Z638" s="158">
        <v>10</v>
      </c>
      <c r="AA638" s="311">
        <v>43586</v>
      </c>
      <c r="AB638" s="584"/>
      <c r="AC638" s="247"/>
      <c r="AD638" s="158"/>
      <c r="AE638" s="158">
        <f t="shared" si="110"/>
        <v>0</v>
      </c>
      <c r="AF638" s="158"/>
      <c r="AG638" s="94">
        <v>0</v>
      </c>
      <c r="AH638" s="94"/>
      <c r="AI638" s="94"/>
      <c r="AJ638" s="158">
        <f t="shared" ref="AJ638" si="112">AE638+AG638</f>
        <v>0</v>
      </c>
      <c r="AK638" s="158">
        <v>877</v>
      </c>
      <c r="AL638" s="158">
        <v>10</v>
      </c>
      <c r="AM638" s="158"/>
      <c r="AN638" s="158"/>
      <c r="AO638" s="158"/>
      <c r="AP638" s="158"/>
      <c r="AQ638" s="158"/>
      <c r="AR638" s="158"/>
      <c r="AS638" s="56">
        <v>1</v>
      </c>
      <c r="AT638" s="58" t="s">
        <v>646</v>
      </c>
      <c r="AU638" s="206"/>
      <c r="AV638" s="158"/>
      <c r="AW638" s="158"/>
      <c r="AX638" s="158"/>
      <c r="AY638" s="158">
        <v>24</v>
      </c>
      <c r="AZ638" s="158"/>
      <c r="BA638" s="158"/>
      <c r="BB638" s="69">
        <v>24</v>
      </c>
      <c r="BC638" s="69"/>
      <c r="BD638" s="271">
        <v>2019</v>
      </c>
      <c r="BE638" s="271">
        <v>2019</v>
      </c>
      <c r="BF638" s="271"/>
    </row>
    <row r="639" spans="1:58" s="204" customFormat="1" ht="28.5" customHeight="1">
      <c r="A639" s="160" t="s">
        <v>770</v>
      </c>
      <c r="B639" s="58" t="s">
        <v>1176</v>
      </c>
      <c r="C639" s="88" t="s">
        <v>1174</v>
      </c>
      <c r="D639" s="33" t="s">
        <v>1175</v>
      </c>
      <c r="E639" s="33"/>
      <c r="F639" s="33"/>
      <c r="G639" s="33"/>
      <c r="H639" s="30" t="s">
        <v>1113</v>
      </c>
      <c r="I639" s="226">
        <v>823</v>
      </c>
      <c r="J639" s="212">
        <v>43461</v>
      </c>
      <c r="K639" s="158">
        <v>1</v>
      </c>
      <c r="L639" s="158">
        <v>1</v>
      </c>
      <c r="M639" s="158"/>
      <c r="N639" s="158"/>
      <c r="O639" s="158">
        <v>1</v>
      </c>
      <c r="P639" s="158">
        <v>64927766</v>
      </c>
      <c r="Q639" s="158"/>
      <c r="R639" s="158"/>
      <c r="S639" s="158"/>
      <c r="T639" s="586"/>
      <c r="U639" s="158"/>
      <c r="V639" s="311"/>
      <c r="W639" s="311"/>
      <c r="X639" s="311"/>
      <c r="Y639" s="94"/>
      <c r="Z639" s="69"/>
      <c r="AA639" s="69"/>
      <c r="AB639" s="69"/>
      <c r="AC639" s="69"/>
      <c r="AD639" s="158"/>
      <c r="AE639" s="158">
        <f t="shared" si="110"/>
        <v>64927766</v>
      </c>
      <c r="AF639" s="158"/>
      <c r="AG639" s="94">
        <v>0</v>
      </c>
      <c r="AH639" s="94"/>
      <c r="AI639" s="94"/>
      <c r="AJ639" s="158">
        <f>AE639+AG639</f>
        <v>64927766</v>
      </c>
      <c r="AK639" s="158">
        <v>877</v>
      </c>
      <c r="AL639" s="158">
        <v>10</v>
      </c>
      <c r="AM639" s="158">
        <v>1</v>
      </c>
      <c r="AN639" s="158"/>
      <c r="AO639" s="158"/>
      <c r="AP639" s="158"/>
      <c r="AQ639" s="158"/>
      <c r="AR639" s="158"/>
      <c r="AS639" s="56">
        <v>0</v>
      </c>
      <c r="AT639" s="58" t="s">
        <v>521</v>
      </c>
      <c r="AU639" s="478" t="s">
        <v>1297</v>
      </c>
      <c r="AV639" s="158"/>
      <c r="AW639" s="158"/>
      <c r="AX639" s="158"/>
      <c r="AY639" s="158"/>
      <c r="AZ639" s="158"/>
      <c r="BA639" s="158"/>
      <c r="BB639" s="69"/>
      <c r="BC639" s="69"/>
      <c r="BD639" s="271"/>
      <c r="BE639" s="271">
        <v>2019</v>
      </c>
      <c r="BF639" s="271">
        <v>2020</v>
      </c>
    </row>
    <row r="640" spans="1:58" s="204" customFormat="1" ht="18" customHeight="1">
      <c r="A640" s="160" t="s">
        <v>770</v>
      </c>
      <c r="B640" s="58" t="s">
        <v>1176</v>
      </c>
      <c r="C640" s="485" t="s">
        <v>1587</v>
      </c>
      <c r="D640" s="483" t="s">
        <v>1588</v>
      </c>
      <c r="E640" s="483"/>
      <c r="F640" s="483">
        <v>4</v>
      </c>
      <c r="G640" s="483"/>
      <c r="H640" s="30" t="s">
        <v>1553</v>
      </c>
      <c r="I640" s="226">
        <v>1664</v>
      </c>
      <c r="J640" s="212">
        <v>43731</v>
      </c>
      <c r="K640" s="158"/>
      <c r="L640" s="158"/>
      <c r="M640" s="158">
        <v>70</v>
      </c>
      <c r="N640" s="158">
        <v>70</v>
      </c>
      <c r="O640" s="158"/>
      <c r="P640" s="158">
        <v>5103832799</v>
      </c>
      <c r="Q640" s="158"/>
      <c r="R640" s="158"/>
      <c r="S640" s="158"/>
      <c r="T640" s="517">
        <v>2797849082</v>
      </c>
      <c r="U640" s="158">
        <v>20</v>
      </c>
      <c r="V640" s="311">
        <v>43739</v>
      </c>
      <c r="W640" s="311"/>
      <c r="X640" s="311"/>
      <c r="Y640" s="175">
        <v>2305983717</v>
      </c>
      <c r="Z640" s="495">
        <v>20</v>
      </c>
      <c r="AA640" s="484">
        <v>43980</v>
      </c>
      <c r="AB640" s="581"/>
      <c r="AC640" s="284"/>
      <c r="AD640" s="158"/>
      <c r="AE640" s="158">
        <f>P640-T640-Y640-AG640</f>
        <v>0</v>
      </c>
      <c r="AF640" s="158"/>
      <c r="AG640" s="158">
        <f>P640-T640-Y640</f>
        <v>0</v>
      </c>
      <c r="AH640" s="158"/>
      <c r="AI640" s="158"/>
      <c r="AJ640" s="158">
        <f>AE640+AG640</f>
        <v>0</v>
      </c>
      <c r="AK640" s="158">
        <v>877</v>
      </c>
      <c r="AL640" s="158">
        <v>20</v>
      </c>
      <c r="AM640" s="158"/>
      <c r="AN640" s="158">
        <v>70</v>
      </c>
      <c r="AO640" s="158"/>
      <c r="AP640" s="158"/>
      <c r="AQ640" s="158"/>
      <c r="AR640" s="158"/>
      <c r="AS640" s="494">
        <v>0</v>
      </c>
      <c r="AT640" s="485" t="s">
        <v>38</v>
      </c>
      <c r="AU640" s="479"/>
      <c r="AV640" s="158"/>
      <c r="AW640" s="158"/>
      <c r="AX640" s="158"/>
      <c r="AY640" s="158"/>
      <c r="AZ640" s="158"/>
      <c r="BA640" s="158"/>
      <c r="BB640" s="69"/>
      <c r="BC640" s="69"/>
      <c r="BD640" s="271"/>
      <c r="BE640" s="271">
        <v>2019</v>
      </c>
      <c r="BF640" s="271">
        <v>2020</v>
      </c>
    </row>
    <row r="641" spans="1:58" ht="15" customHeight="1">
      <c r="A641" s="371" t="s">
        <v>511</v>
      </c>
      <c r="B641" s="371"/>
      <c r="C641" s="371"/>
      <c r="D641" s="371"/>
      <c r="E641" s="371"/>
      <c r="F641" s="371"/>
      <c r="G641" s="371"/>
      <c r="H641" s="371"/>
      <c r="I641" s="371"/>
      <c r="J641" s="371"/>
      <c r="K641" s="371">
        <f>SUM(K642:K674)</f>
        <v>88</v>
      </c>
      <c r="L641" s="370">
        <f t="shared" ref="L641:O641" si="113">SUM(L642:L674)</f>
        <v>131</v>
      </c>
      <c r="M641" s="370">
        <f t="shared" si="113"/>
        <v>313</v>
      </c>
      <c r="N641" s="370">
        <f t="shared" si="113"/>
        <v>342</v>
      </c>
      <c r="O641" s="370">
        <f t="shared" si="113"/>
        <v>0</v>
      </c>
      <c r="P641" s="371"/>
      <c r="Q641" s="371"/>
      <c r="R641" s="371"/>
      <c r="S641" s="371"/>
      <c r="T641" s="586"/>
      <c r="U641" s="371"/>
      <c r="V641" s="371"/>
      <c r="W641" s="371"/>
      <c r="X641" s="371"/>
      <c r="Y641" s="371"/>
      <c r="Z641" s="371"/>
      <c r="AA641" s="371"/>
      <c r="AB641" s="371"/>
      <c r="AC641" s="371"/>
      <c r="AD641" s="371"/>
      <c r="AE641" s="371"/>
      <c r="AF641" s="371"/>
      <c r="AG641" s="371"/>
      <c r="AH641" s="371"/>
      <c r="AI641" s="371"/>
      <c r="AJ641" s="371"/>
      <c r="AK641" s="371"/>
      <c r="AL641" s="371"/>
      <c r="AM641" s="370">
        <f t="shared" ref="AM641:AR641" si="114">SUM(AM642:AM674)</f>
        <v>1</v>
      </c>
      <c r="AN641" s="370">
        <f t="shared" si="114"/>
        <v>341</v>
      </c>
      <c r="AO641" s="370">
        <f t="shared" si="114"/>
        <v>0</v>
      </c>
      <c r="AP641" s="370">
        <f t="shared" si="114"/>
        <v>0</v>
      </c>
      <c r="AQ641" s="370">
        <f t="shared" si="114"/>
        <v>0</v>
      </c>
      <c r="AR641" s="370">
        <f t="shared" si="114"/>
        <v>0</v>
      </c>
      <c r="AS641" s="371"/>
      <c r="AT641" s="371"/>
      <c r="AU641" s="385"/>
      <c r="AV641" s="370">
        <f t="shared" ref="AV641:BC641" si="115">SUM(AV642:AV674)</f>
        <v>124</v>
      </c>
      <c r="AW641" s="370">
        <f t="shared" si="115"/>
        <v>167</v>
      </c>
      <c r="AX641" s="370">
        <f t="shared" si="115"/>
        <v>352</v>
      </c>
      <c r="AY641" s="370">
        <f t="shared" si="115"/>
        <v>99</v>
      </c>
      <c r="AZ641" s="370"/>
      <c r="BA641" s="370">
        <f t="shared" si="115"/>
        <v>215</v>
      </c>
      <c r="BB641" s="370">
        <f t="shared" si="115"/>
        <v>236</v>
      </c>
      <c r="BC641" s="371">
        <f t="shared" si="115"/>
        <v>3</v>
      </c>
      <c r="BD641" s="371"/>
      <c r="BE641" s="371">
        <v>2019</v>
      </c>
      <c r="BF641" s="371">
        <v>2020</v>
      </c>
    </row>
    <row r="642" spans="1:58" s="204" customFormat="1" ht="15" hidden="1" customHeight="1">
      <c r="A642" s="160" t="s">
        <v>511</v>
      </c>
      <c r="B642" s="58" t="s">
        <v>284</v>
      </c>
      <c r="C642" s="58" t="s">
        <v>281</v>
      </c>
      <c r="D642" s="33" t="s">
        <v>119</v>
      </c>
      <c r="E642" s="33"/>
      <c r="F642" s="33"/>
      <c r="G642" s="33"/>
      <c r="H642" s="30"/>
      <c r="I642" s="58"/>
      <c r="J642" s="212"/>
      <c r="K642" s="158"/>
      <c r="L642" s="158"/>
      <c r="M642" s="158"/>
      <c r="N642" s="158"/>
      <c r="O642" s="158"/>
      <c r="P642" s="158"/>
      <c r="Q642" s="158"/>
      <c r="R642" s="158"/>
      <c r="S642" s="158"/>
      <c r="T642" s="586"/>
      <c r="U642" s="158"/>
      <c r="V642" s="311"/>
      <c r="W642" s="311"/>
      <c r="X642" s="311"/>
      <c r="Y642" s="94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2"/>
      <c r="AT642" s="58"/>
      <c r="AU642" s="105"/>
      <c r="AV642" s="158">
        <v>10</v>
      </c>
      <c r="AW642" s="158"/>
      <c r="AX642" s="158"/>
      <c r="AY642" s="158"/>
      <c r="AZ642" s="158"/>
      <c r="BA642" s="158"/>
      <c r="BB642" s="69"/>
      <c r="BC642" s="69"/>
      <c r="BD642" s="271">
        <v>2016</v>
      </c>
      <c r="BE642" s="271"/>
      <c r="BF642" s="268"/>
    </row>
    <row r="643" spans="1:58" s="204" customFormat="1" ht="15" hidden="1" customHeight="1">
      <c r="A643" s="160" t="s">
        <v>511</v>
      </c>
      <c r="B643" s="58" t="s">
        <v>284</v>
      </c>
      <c r="C643" s="58" t="s">
        <v>283</v>
      </c>
      <c r="D643" s="33" t="s">
        <v>119</v>
      </c>
      <c r="E643" s="33"/>
      <c r="F643" s="33"/>
      <c r="G643" s="33"/>
      <c r="H643" s="30"/>
      <c r="I643" s="58"/>
      <c r="J643" s="212"/>
      <c r="K643" s="158"/>
      <c r="L643" s="158"/>
      <c r="M643" s="158"/>
      <c r="N643" s="158"/>
      <c r="O643" s="158"/>
      <c r="P643" s="158"/>
      <c r="Q643" s="158"/>
      <c r="R643" s="158"/>
      <c r="S643" s="158"/>
      <c r="T643" s="586"/>
      <c r="U643" s="158"/>
      <c r="V643" s="311"/>
      <c r="W643" s="311"/>
      <c r="X643" s="311"/>
      <c r="Y643" s="94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2"/>
      <c r="AT643" s="58"/>
      <c r="AU643" s="105"/>
      <c r="AV643" s="158">
        <v>57</v>
      </c>
      <c r="AW643" s="158"/>
      <c r="AX643" s="158"/>
      <c r="AY643" s="158"/>
      <c r="AZ643" s="158"/>
      <c r="BA643" s="158"/>
      <c r="BB643" s="69"/>
      <c r="BC643" s="69"/>
      <c r="BD643" s="271">
        <v>2016</v>
      </c>
      <c r="BE643" s="271"/>
      <c r="BF643" s="268"/>
    </row>
    <row r="644" spans="1:58" s="204" customFormat="1" ht="15" hidden="1" customHeight="1">
      <c r="A644" s="160" t="s">
        <v>511</v>
      </c>
      <c r="B644" s="58" t="s">
        <v>284</v>
      </c>
      <c r="C644" s="58" t="s">
        <v>283</v>
      </c>
      <c r="D644" s="33" t="s">
        <v>119</v>
      </c>
      <c r="E644" s="33"/>
      <c r="F644" s="33"/>
      <c r="G644" s="33"/>
      <c r="H644" s="30"/>
      <c r="I644" s="58"/>
      <c r="J644" s="212"/>
      <c r="K644" s="158"/>
      <c r="L644" s="158"/>
      <c r="M644" s="158"/>
      <c r="N644" s="158"/>
      <c r="O644" s="158"/>
      <c r="P644" s="158"/>
      <c r="Q644" s="158"/>
      <c r="R644" s="158"/>
      <c r="S644" s="158"/>
      <c r="T644" s="586"/>
      <c r="U644" s="158"/>
      <c r="V644" s="311"/>
      <c r="W644" s="311"/>
      <c r="X644" s="311"/>
      <c r="Y644" s="94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2"/>
      <c r="AT644" s="58"/>
      <c r="AU644" s="105"/>
      <c r="AV644" s="158">
        <v>57</v>
      </c>
      <c r="AW644" s="158"/>
      <c r="AX644" s="158"/>
      <c r="AY644" s="158"/>
      <c r="AZ644" s="158"/>
      <c r="BA644" s="158"/>
      <c r="BB644" s="69"/>
      <c r="BC644" s="69"/>
      <c r="BD644" s="271">
        <v>2016</v>
      </c>
      <c r="BE644" s="271"/>
      <c r="BF644" s="268"/>
    </row>
    <row r="645" spans="1:58" s="204" customFormat="1" ht="15" hidden="1" customHeight="1">
      <c r="A645" s="160" t="s">
        <v>511</v>
      </c>
      <c r="B645" s="58" t="s">
        <v>523</v>
      </c>
      <c r="C645" s="122" t="s">
        <v>285</v>
      </c>
      <c r="D645" s="33" t="s">
        <v>102</v>
      </c>
      <c r="E645" s="33"/>
      <c r="F645" s="33"/>
      <c r="G645" s="33"/>
      <c r="H645" s="30" t="s">
        <v>635</v>
      </c>
      <c r="I645" s="43"/>
      <c r="J645" s="212"/>
      <c r="K645" s="158"/>
      <c r="L645" s="158"/>
      <c r="M645" s="158"/>
      <c r="N645" s="158"/>
      <c r="O645" s="158"/>
      <c r="P645" s="158"/>
      <c r="Q645" s="158"/>
      <c r="R645" s="158"/>
      <c r="S645" s="158"/>
      <c r="T645" s="586"/>
      <c r="U645" s="158"/>
      <c r="V645" s="311"/>
      <c r="W645" s="311"/>
      <c r="X645" s="311"/>
      <c r="Y645" s="94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2">
        <v>1</v>
      </c>
      <c r="AT645" s="58" t="s">
        <v>646</v>
      </c>
      <c r="AU645" s="105"/>
      <c r="AV645" s="158"/>
      <c r="AW645" s="158">
        <v>41</v>
      </c>
      <c r="AX645" s="158"/>
      <c r="AY645" s="158"/>
      <c r="AZ645" s="158"/>
      <c r="BA645" s="158"/>
      <c r="BB645" s="69"/>
      <c r="BC645" s="69"/>
      <c r="BD645" s="271">
        <v>2017</v>
      </c>
      <c r="BE645" s="271"/>
      <c r="BF645" s="268"/>
    </row>
    <row r="646" spans="1:58" s="204" customFormat="1" ht="15" hidden="1" customHeight="1">
      <c r="A646" s="160" t="s">
        <v>511</v>
      </c>
      <c r="B646" s="58" t="s">
        <v>288</v>
      </c>
      <c r="C646" s="122" t="s">
        <v>286</v>
      </c>
      <c r="D646" s="33" t="s">
        <v>287</v>
      </c>
      <c r="E646" s="33"/>
      <c r="F646" s="33"/>
      <c r="G646" s="33"/>
      <c r="H646" s="30" t="s">
        <v>636</v>
      </c>
      <c r="I646" s="43"/>
      <c r="J646" s="212"/>
      <c r="K646" s="158"/>
      <c r="L646" s="158"/>
      <c r="M646" s="158"/>
      <c r="N646" s="158"/>
      <c r="O646" s="158"/>
      <c r="P646" s="158"/>
      <c r="Q646" s="158"/>
      <c r="R646" s="158"/>
      <c r="S646" s="158"/>
      <c r="T646" s="586"/>
      <c r="U646" s="158"/>
      <c r="V646" s="311"/>
      <c r="W646" s="311"/>
      <c r="X646" s="311"/>
      <c r="Y646" s="94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2">
        <v>1</v>
      </c>
      <c r="AT646" s="58" t="s">
        <v>646</v>
      </c>
      <c r="AU646" s="105"/>
      <c r="AV646" s="158"/>
      <c r="AW646" s="158"/>
      <c r="AX646" s="158">
        <v>16</v>
      </c>
      <c r="AY646" s="158"/>
      <c r="AZ646" s="158"/>
      <c r="BA646" s="158">
        <v>16</v>
      </c>
      <c r="BB646" s="69"/>
      <c r="BC646" s="69"/>
      <c r="BD646" s="271">
        <v>2018</v>
      </c>
      <c r="BE646" s="271"/>
      <c r="BF646" s="268"/>
    </row>
    <row r="647" spans="1:58" s="204" customFormat="1" ht="15" hidden="1" customHeight="1">
      <c r="A647" s="160" t="s">
        <v>511</v>
      </c>
      <c r="B647" s="58" t="s">
        <v>288</v>
      </c>
      <c r="C647" s="122" t="s">
        <v>289</v>
      </c>
      <c r="D647" s="33" t="s">
        <v>287</v>
      </c>
      <c r="E647" s="33"/>
      <c r="F647" s="33"/>
      <c r="G647" s="33"/>
      <c r="H647" s="30" t="s">
        <v>650</v>
      </c>
      <c r="I647" s="43">
        <v>2753</v>
      </c>
      <c r="J647" s="212">
        <v>42713</v>
      </c>
      <c r="K647" s="158"/>
      <c r="L647" s="158"/>
      <c r="M647" s="158"/>
      <c r="N647" s="158"/>
      <c r="O647" s="158"/>
      <c r="P647" s="158"/>
      <c r="Q647" s="158"/>
      <c r="R647" s="158"/>
      <c r="S647" s="158"/>
      <c r="T647" s="586"/>
      <c r="U647" s="158"/>
      <c r="V647" s="311"/>
      <c r="W647" s="311"/>
      <c r="X647" s="311"/>
      <c r="Y647" s="94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2">
        <v>1</v>
      </c>
      <c r="AT647" s="58" t="s">
        <v>646</v>
      </c>
      <c r="AU647" s="105"/>
      <c r="AV647" s="158"/>
      <c r="AW647" s="158"/>
      <c r="AX647" s="158">
        <v>25</v>
      </c>
      <c r="AY647" s="158"/>
      <c r="AZ647" s="158"/>
      <c r="BA647" s="158">
        <v>25</v>
      </c>
      <c r="BB647" s="69"/>
      <c r="BC647" s="69"/>
      <c r="BD647" s="271">
        <v>2018</v>
      </c>
      <c r="BE647" s="271"/>
      <c r="BF647" s="268"/>
    </row>
    <row r="648" spans="1:58" s="204" customFormat="1" ht="18" hidden="1" customHeight="1">
      <c r="A648" s="160" t="s">
        <v>511</v>
      </c>
      <c r="B648" s="58" t="s">
        <v>288</v>
      </c>
      <c r="C648" s="122" t="s">
        <v>289</v>
      </c>
      <c r="D648" s="33" t="s">
        <v>287</v>
      </c>
      <c r="E648" s="33"/>
      <c r="F648" s="33"/>
      <c r="G648" s="33"/>
      <c r="H648" s="30" t="s">
        <v>650</v>
      </c>
      <c r="I648" s="301" t="s">
        <v>1692</v>
      </c>
      <c r="J648" s="212">
        <v>42713</v>
      </c>
      <c r="K648" s="158"/>
      <c r="L648" s="158"/>
      <c r="M648" s="158">
        <v>3</v>
      </c>
      <c r="N648" s="158"/>
      <c r="O648" s="158"/>
      <c r="P648" s="158">
        <v>169916217</v>
      </c>
      <c r="Q648" s="158"/>
      <c r="R648" s="158"/>
      <c r="S648" s="158"/>
      <c r="T648" s="586"/>
      <c r="U648" s="158"/>
      <c r="V648" s="311"/>
      <c r="W648" s="311"/>
      <c r="X648" s="311"/>
      <c r="Y648" s="94"/>
      <c r="Z648" s="158"/>
      <c r="AA648" s="158"/>
      <c r="AB648" s="158"/>
      <c r="AC648" s="158">
        <v>169916217</v>
      </c>
      <c r="AD648" s="158"/>
      <c r="AE648" s="158">
        <f>P648-T648-Y648-AC648</f>
        <v>0</v>
      </c>
      <c r="AF648" s="158"/>
      <c r="AG648" s="94">
        <v>0</v>
      </c>
      <c r="AH648" s="94"/>
      <c r="AI648" s="94"/>
      <c r="AJ648" s="158">
        <f t="shared" ref="AJ648" si="116">AE648+AG648</f>
        <v>0</v>
      </c>
      <c r="AK648" s="158">
        <v>877</v>
      </c>
      <c r="AL648" s="158">
        <v>10</v>
      </c>
      <c r="AM648" s="158"/>
      <c r="AN648" s="158"/>
      <c r="AO648" s="158"/>
      <c r="AP648" s="158"/>
      <c r="AQ648" s="158"/>
      <c r="AR648" s="158"/>
      <c r="AS648" s="2">
        <v>0</v>
      </c>
      <c r="AT648" s="58" t="s">
        <v>687</v>
      </c>
      <c r="AU648" s="389" t="s">
        <v>1358</v>
      </c>
      <c r="AV648" s="158"/>
      <c r="AW648" s="158"/>
      <c r="AX648" s="158"/>
      <c r="AY648" s="158"/>
      <c r="AZ648" s="158"/>
      <c r="BA648" s="158"/>
      <c r="BB648" s="69"/>
      <c r="BC648" s="69">
        <v>3</v>
      </c>
      <c r="BD648" s="271" t="s">
        <v>1706</v>
      </c>
      <c r="BE648" s="271">
        <v>2019</v>
      </c>
      <c r="BF648" s="271"/>
    </row>
    <row r="649" spans="1:58" s="204" customFormat="1" ht="15" hidden="1" customHeight="1">
      <c r="A649" s="160" t="s">
        <v>511</v>
      </c>
      <c r="B649" s="58" t="s">
        <v>291</v>
      </c>
      <c r="C649" s="123" t="s">
        <v>290</v>
      </c>
      <c r="D649" s="33" t="s">
        <v>8</v>
      </c>
      <c r="E649" s="33"/>
      <c r="F649" s="33"/>
      <c r="G649" s="33"/>
      <c r="H649" s="30" t="s">
        <v>650</v>
      </c>
      <c r="I649" s="43"/>
      <c r="J649" s="212"/>
      <c r="K649" s="158"/>
      <c r="L649" s="158"/>
      <c r="M649" s="158"/>
      <c r="N649" s="158"/>
      <c r="O649" s="158"/>
      <c r="P649" s="158"/>
      <c r="Q649" s="158"/>
      <c r="R649" s="158"/>
      <c r="S649" s="158"/>
      <c r="T649" s="586"/>
      <c r="U649" s="158"/>
      <c r="V649" s="311"/>
      <c r="W649" s="311"/>
      <c r="X649" s="311"/>
      <c r="Y649" s="94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2">
        <v>1</v>
      </c>
      <c r="AT649" s="58" t="s">
        <v>646</v>
      </c>
      <c r="AU649" s="105"/>
      <c r="AV649" s="158"/>
      <c r="AW649" s="158"/>
      <c r="AX649" s="158">
        <v>88</v>
      </c>
      <c r="AY649" s="158"/>
      <c r="AZ649" s="158"/>
      <c r="BA649" s="158">
        <v>88</v>
      </c>
      <c r="BB649" s="69"/>
      <c r="BC649" s="69"/>
      <c r="BD649" s="271">
        <v>2018</v>
      </c>
      <c r="BE649" s="271"/>
      <c r="BF649" s="268"/>
    </row>
    <row r="650" spans="1:58" s="204" customFormat="1" ht="18" hidden="1" customHeight="1">
      <c r="A650" s="160" t="s">
        <v>511</v>
      </c>
      <c r="B650" s="58" t="s">
        <v>1381</v>
      </c>
      <c r="C650" s="123" t="s">
        <v>290</v>
      </c>
      <c r="D650" s="33" t="s">
        <v>8</v>
      </c>
      <c r="E650" s="33"/>
      <c r="F650" s="33"/>
      <c r="G650" s="33"/>
      <c r="H650" s="30" t="s">
        <v>650</v>
      </c>
      <c r="I650" s="43">
        <v>2831</v>
      </c>
      <c r="J650" s="212">
        <v>42720</v>
      </c>
      <c r="K650" s="158"/>
      <c r="L650" s="158">
        <v>2</v>
      </c>
      <c r="M650" s="158"/>
      <c r="N650" s="158"/>
      <c r="O650" s="158"/>
      <c r="P650" s="158"/>
      <c r="Q650" s="158"/>
      <c r="R650" s="158"/>
      <c r="S650" s="158"/>
      <c r="T650" s="586"/>
      <c r="U650" s="158"/>
      <c r="V650" s="311"/>
      <c r="W650" s="311"/>
      <c r="X650" s="311"/>
      <c r="Y650" s="94"/>
      <c r="Z650" s="158"/>
      <c r="AA650" s="158"/>
      <c r="AB650" s="158"/>
      <c r="AC650" s="158"/>
      <c r="AD650" s="158"/>
      <c r="AE650" s="158">
        <f>P650-T650-Y650</f>
        <v>0</v>
      </c>
      <c r="AF650" s="158"/>
      <c r="AG650" s="94">
        <v>0</v>
      </c>
      <c r="AH650" s="94"/>
      <c r="AI650" s="94"/>
      <c r="AJ650" s="158">
        <f t="shared" ref="AJ650" si="117">AE650+AG650</f>
        <v>0</v>
      </c>
      <c r="AK650" s="158">
        <v>877</v>
      </c>
      <c r="AL650" s="158">
        <v>10</v>
      </c>
      <c r="AM650" s="158"/>
      <c r="AN650" s="158"/>
      <c r="AO650" s="158"/>
      <c r="AP650" s="11"/>
      <c r="AQ650" s="11"/>
      <c r="AR650" s="11"/>
      <c r="AS650" s="2">
        <v>1</v>
      </c>
      <c r="AT650" s="58" t="s">
        <v>646</v>
      </c>
      <c r="AU650" s="386"/>
      <c r="AV650" s="158" t="s">
        <v>0</v>
      </c>
      <c r="AW650" s="11"/>
      <c r="AX650" s="11"/>
      <c r="AY650" s="158">
        <v>2</v>
      </c>
      <c r="AZ650" s="158"/>
      <c r="BA650" s="11"/>
      <c r="BB650" s="69">
        <v>2</v>
      </c>
      <c r="BC650" s="69"/>
      <c r="BD650" s="271">
        <v>2019</v>
      </c>
      <c r="BE650" s="271">
        <v>2019</v>
      </c>
      <c r="BF650" s="271"/>
    </row>
    <row r="651" spans="1:58" s="204" customFormat="1" ht="15" hidden="1" customHeight="1">
      <c r="A651" s="160" t="s">
        <v>511</v>
      </c>
      <c r="B651" s="58" t="s">
        <v>1023</v>
      </c>
      <c r="C651" s="58" t="s">
        <v>282</v>
      </c>
      <c r="D651" s="33" t="s">
        <v>157</v>
      </c>
      <c r="E651" s="33"/>
      <c r="F651" s="33"/>
      <c r="G651" s="33"/>
      <c r="H651" s="30" t="s">
        <v>691</v>
      </c>
      <c r="I651" s="43"/>
      <c r="J651" s="212"/>
      <c r="K651" s="158"/>
      <c r="L651" s="158"/>
      <c r="M651" s="158"/>
      <c r="N651" s="158"/>
      <c r="O651" s="158"/>
      <c r="P651" s="158"/>
      <c r="Q651" s="158"/>
      <c r="R651" s="158"/>
      <c r="S651" s="158"/>
      <c r="T651" s="586"/>
      <c r="U651" s="158"/>
      <c r="V651" s="311"/>
      <c r="W651" s="311"/>
      <c r="X651" s="311"/>
      <c r="Y651" s="94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1"/>
      <c r="AP651" s="11"/>
      <c r="AQ651" s="11"/>
      <c r="AR651" s="11"/>
      <c r="AS651" s="2">
        <v>1</v>
      </c>
      <c r="AT651" s="58" t="s">
        <v>646</v>
      </c>
      <c r="AU651" s="105"/>
      <c r="AV651" s="158"/>
      <c r="AW651" s="11">
        <v>40</v>
      </c>
      <c r="AX651" s="11"/>
      <c r="AY651" s="11"/>
      <c r="AZ651" s="11"/>
      <c r="BA651" s="11"/>
      <c r="BB651" s="70"/>
      <c r="BC651" s="70"/>
      <c r="BD651" s="271">
        <v>2017</v>
      </c>
      <c r="BE651" s="271"/>
      <c r="BF651" s="268"/>
    </row>
    <row r="652" spans="1:58" s="204" customFormat="1" ht="15" hidden="1" customHeight="1">
      <c r="A652" s="160" t="s">
        <v>511</v>
      </c>
      <c r="B652" s="58" t="s">
        <v>291</v>
      </c>
      <c r="C652" s="122" t="s">
        <v>292</v>
      </c>
      <c r="D652" s="33" t="s">
        <v>119</v>
      </c>
      <c r="E652" s="33"/>
      <c r="F652" s="33"/>
      <c r="G652" s="33"/>
      <c r="H652" s="30" t="s">
        <v>650</v>
      </c>
      <c r="I652" s="43"/>
      <c r="J652" s="212"/>
      <c r="K652" s="158"/>
      <c r="L652" s="158"/>
      <c r="M652" s="158"/>
      <c r="N652" s="158"/>
      <c r="O652" s="158"/>
      <c r="P652" s="158"/>
      <c r="Q652" s="158"/>
      <c r="R652" s="158"/>
      <c r="S652" s="158"/>
      <c r="T652" s="586"/>
      <c r="U652" s="158"/>
      <c r="V652" s="311"/>
      <c r="W652" s="311"/>
      <c r="X652" s="311"/>
      <c r="Y652" s="94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2">
        <v>1</v>
      </c>
      <c r="AT652" s="58" t="s">
        <v>646</v>
      </c>
      <c r="AU652" s="105"/>
      <c r="AV652" s="158"/>
      <c r="AW652" s="158">
        <v>34</v>
      </c>
      <c r="AX652" s="158"/>
      <c r="AY652" s="158"/>
      <c r="AZ652" s="158"/>
      <c r="BA652" s="158"/>
      <c r="BB652" s="69"/>
      <c r="BC652" s="69"/>
      <c r="BD652" s="271">
        <v>2017</v>
      </c>
      <c r="BE652" s="271"/>
      <c r="BF652" s="268"/>
    </row>
    <row r="653" spans="1:58" s="204" customFormat="1" ht="15" hidden="1" customHeight="1">
      <c r="A653" s="160" t="s">
        <v>511</v>
      </c>
      <c r="B653" s="58" t="s">
        <v>1105</v>
      </c>
      <c r="C653" s="122" t="s">
        <v>927</v>
      </c>
      <c r="D653" s="33" t="s">
        <v>119</v>
      </c>
      <c r="E653" s="33"/>
      <c r="F653" s="33"/>
      <c r="G653" s="33"/>
      <c r="H653" s="30" t="s">
        <v>650</v>
      </c>
      <c r="I653" s="43"/>
      <c r="J653" s="212"/>
      <c r="K653" s="158"/>
      <c r="L653" s="158"/>
      <c r="M653" s="158"/>
      <c r="N653" s="158"/>
      <c r="O653" s="158"/>
      <c r="P653" s="158"/>
      <c r="Q653" s="158"/>
      <c r="R653" s="158"/>
      <c r="S653" s="158"/>
      <c r="T653" s="586"/>
      <c r="U653" s="158"/>
      <c r="V653" s="311"/>
      <c r="W653" s="311"/>
      <c r="X653" s="311"/>
      <c r="Y653" s="94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2">
        <v>1</v>
      </c>
      <c r="AT653" s="58" t="s">
        <v>646</v>
      </c>
      <c r="AU653" s="58" t="s">
        <v>644</v>
      </c>
      <c r="AV653" s="158"/>
      <c r="AW653" s="158"/>
      <c r="AX653" s="158">
        <v>57</v>
      </c>
      <c r="AY653" s="158"/>
      <c r="AZ653" s="158"/>
      <c r="BA653" s="158">
        <v>57</v>
      </c>
      <c r="BB653" s="69"/>
      <c r="BC653" s="69"/>
      <c r="BD653" s="271">
        <v>2018</v>
      </c>
      <c r="BE653" s="271"/>
      <c r="BF653" s="268"/>
    </row>
    <row r="654" spans="1:58" s="204" customFormat="1" ht="15" hidden="1" customHeight="1">
      <c r="A654" s="160" t="s">
        <v>511</v>
      </c>
      <c r="B654" s="58" t="s">
        <v>284</v>
      </c>
      <c r="C654" s="123" t="s">
        <v>841</v>
      </c>
      <c r="D654" s="33" t="s">
        <v>119</v>
      </c>
      <c r="E654" s="33"/>
      <c r="F654" s="33"/>
      <c r="G654" s="33"/>
      <c r="H654" s="30" t="s">
        <v>650</v>
      </c>
      <c r="I654" s="43"/>
      <c r="J654" s="212"/>
      <c r="K654" s="158"/>
      <c r="L654" s="158"/>
      <c r="M654" s="158"/>
      <c r="N654" s="158"/>
      <c r="O654" s="158"/>
      <c r="P654" s="158"/>
      <c r="Q654" s="158"/>
      <c r="R654" s="158"/>
      <c r="S654" s="158"/>
      <c r="T654" s="586"/>
      <c r="U654" s="158"/>
      <c r="V654" s="311"/>
      <c r="W654" s="311"/>
      <c r="X654" s="311"/>
      <c r="Y654" s="94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2">
        <v>1</v>
      </c>
      <c r="AT654" s="58" t="s">
        <v>646</v>
      </c>
      <c r="AU654" s="105"/>
      <c r="AV654" s="158"/>
      <c r="AW654" s="158">
        <v>52</v>
      </c>
      <c r="AX654" s="158"/>
      <c r="AY654" s="158"/>
      <c r="AZ654" s="158"/>
      <c r="BA654" s="158"/>
      <c r="BB654" s="69"/>
      <c r="BC654" s="69"/>
      <c r="BD654" s="271">
        <v>2017</v>
      </c>
      <c r="BE654" s="271"/>
      <c r="BF654" s="268"/>
    </row>
    <row r="655" spans="1:58" s="204" customFormat="1" ht="15" hidden="1" customHeight="1">
      <c r="A655" s="160" t="s">
        <v>511</v>
      </c>
      <c r="B655" s="58" t="s">
        <v>522</v>
      </c>
      <c r="C655" s="122" t="s">
        <v>702</v>
      </c>
      <c r="D655" s="33" t="s">
        <v>171</v>
      </c>
      <c r="E655" s="33"/>
      <c r="F655" s="33"/>
      <c r="G655" s="33"/>
      <c r="H655" s="30"/>
      <c r="I655" s="58"/>
      <c r="J655" s="212"/>
      <c r="K655" s="158"/>
      <c r="L655" s="158"/>
      <c r="M655" s="158"/>
      <c r="N655" s="158"/>
      <c r="O655" s="158"/>
      <c r="P655" s="158"/>
      <c r="Q655" s="158"/>
      <c r="R655" s="158"/>
      <c r="S655" s="158"/>
      <c r="T655" s="586"/>
      <c r="U655" s="158"/>
      <c r="V655" s="311"/>
      <c r="W655" s="311"/>
      <c r="X655" s="311"/>
      <c r="Y655" s="94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2"/>
      <c r="AT655" s="58"/>
      <c r="AU655" s="58" t="s">
        <v>701</v>
      </c>
      <c r="AV655" s="158"/>
      <c r="AW655" s="158"/>
      <c r="AX655" s="158"/>
      <c r="AY655" s="158"/>
      <c r="AZ655" s="158"/>
      <c r="BA655" s="158"/>
      <c r="BB655" s="69"/>
      <c r="BC655" s="69"/>
      <c r="BD655" s="271" t="s">
        <v>1290</v>
      </c>
      <c r="BE655" s="271"/>
      <c r="BF655" s="268"/>
    </row>
    <row r="656" spans="1:58" s="204" customFormat="1" ht="15" hidden="1" customHeight="1">
      <c r="A656" s="160" t="s">
        <v>511</v>
      </c>
      <c r="B656" s="58" t="s">
        <v>568</v>
      </c>
      <c r="C656" s="122" t="s">
        <v>567</v>
      </c>
      <c r="D656" s="33" t="s">
        <v>8</v>
      </c>
      <c r="E656" s="33"/>
      <c r="F656" s="33"/>
      <c r="G656" s="33"/>
      <c r="H656" s="30" t="s">
        <v>659</v>
      </c>
      <c r="I656" s="43"/>
      <c r="J656" s="212"/>
      <c r="K656" s="158"/>
      <c r="L656" s="158"/>
      <c r="M656" s="158"/>
      <c r="N656" s="158"/>
      <c r="O656" s="158"/>
      <c r="P656" s="158"/>
      <c r="Q656" s="158"/>
      <c r="R656" s="158"/>
      <c r="S656" s="158"/>
      <c r="T656" s="586"/>
      <c r="U656" s="158"/>
      <c r="V656" s="311"/>
      <c r="W656" s="311"/>
      <c r="X656" s="311"/>
      <c r="Y656" s="94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2">
        <v>1</v>
      </c>
      <c r="AT656" s="58" t="s">
        <v>646</v>
      </c>
      <c r="AU656" s="105"/>
      <c r="AV656" s="158"/>
      <c r="AW656" s="158"/>
      <c r="AX656" s="158">
        <v>60</v>
      </c>
      <c r="AY656" s="158"/>
      <c r="AZ656" s="158"/>
      <c r="BA656" s="158"/>
      <c r="BB656" s="69">
        <v>60</v>
      </c>
      <c r="BC656" s="69"/>
      <c r="BD656" s="271">
        <v>2018</v>
      </c>
      <c r="BE656" s="271"/>
      <c r="BF656" s="268"/>
    </row>
    <row r="657" spans="1:58" s="204" customFormat="1" ht="11.25" hidden="1" customHeight="1">
      <c r="A657" s="160" t="s">
        <v>511</v>
      </c>
      <c r="B657" s="58" t="s">
        <v>284</v>
      </c>
      <c r="C657" s="148" t="s">
        <v>779</v>
      </c>
      <c r="D657" s="33" t="s">
        <v>774</v>
      </c>
      <c r="E657" s="33"/>
      <c r="F657" s="33"/>
      <c r="G657" s="33"/>
      <c r="H657" s="30" t="s">
        <v>713</v>
      </c>
      <c r="I657" s="272" t="s">
        <v>1462</v>
      </c>
      <c r="J657" s="215" t="s">
        <v>1463</v>
      </c>
      <c r="K657" s="51"/>
      <c r="L657" s="51"/>
      <c r="M657" s="51"/>
      <c r="N657" s="51"/>
      <c r="O657" s="51"/>
      <c r="P657" s="94">
        <f>4645529718-174207364</f>
        <v>4471322354</v>
      </c>
      <c r="Q657" s="94"/>
      <c r="R657" s="94"/>
      <c r="S657" s="94"/>
      <c r="T657" s="586"/>
      <c r="U657" s="51"/>
      <c r="V657" s="311"/>
      <c r="W657" s="311"/>
      <c r="X657" s="311"/>
      <c r="Y657" s="94"/>
      <c r="Z657" s="51"/>
      <c r="AA657" s="51"/>
      <c r="AB657" s="51"/>
      <c r="AC657" s="51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2">
        <v>1</v>
      </c>
      <c r="AT657" s="58" t="s">
        <v>646</v>
      </c>
      <c r="AU657" s="105"/>
      <c r="AV657" s="51"/>
      <c r="AW657" s="158"/>
      <c r="AX657" s="158">
        <v>77</v>
      </c>
      <c r="AY657" s="158"/>
      <c r="AZ657" s="158"/>
      <c r="BA657" s="158"/>
      <c r="BB657" s="69">
        <v>77</v>
      </c>
      <c r="BC657" s="69"/>
      <c r="BD657" s="271">
        <v>2018</v>
      </c>
      <c r="BE657" s="271"/>
      <c r="BF657" s="268"/>
    </row>
    <row r="658" spans="1:58" s="204" customFormat="1" ht="18" customHeight="1">
      <c r="A658" s="160" t="s">
        <v>511</v>
      </c>
      <c r="B658" s="58" t="s">
        <v>284</v>
      </c>
      <c r="C658" s="148" t="s">
        <v>779</v>
      </c>
      <c r="D658" s="33" t="s">
        <v>774</v>
      </c>
      <c r="E658" s="33"/>
      <c r="F658" s="33"/>
      <c r="G658" s="33"/>
      <c r="H658" s="30" t="s">
        <v>713</v>
      </c>
      <c r="I658" s="272" t="s">
        <v>1696</v>
      </c>
      <c r="J658" s="215" t="s">
        <v>1463</v>
      </c>
      <c r="K658" s="51"/>
      <c r="L658" s="51"/>
      <c r="M658" s="51">
        <v>3</v>
      </c>
      <c r="N658" s="51">
        <v>3</v>
      </c>
      <c r="O658" s="51"/>
      <c r="P658" s="94">
        <v>174207364</v>
      </c>
      <c r="Q658" s="94"/>
      <c r="R658" s="94"/>
      <c r="S658" s="94"/>
      <c r="T658" s="586">
        <v>73487557</v>
      </c>
      <c r="U658" s="51">
        <v>20</v>
      </c>
      <c r="V658" s="311"/>
      <c r="W658" s="311"/>
      <c r="X658" s="311"/>
      <c r="Y658" s="94">
        <v>100719807</v>
      </c>
      <c r="Z658" s="51">
        <v>10</v>
      </c>
      <c r="AA658" s="311">
        <v>43525</v>
      </c>
      <c r="AB658" s="311"/>
      <c r="AC658" s="51"/>
      <c r="AD658" s="158"/>
      <c r="AE658" s="158">
        <f>P658-T658-Y658</f>
        <v>0</v>
      </c>
      <c r="AF658" s="158"/>
      <c r="AG658" s="94">
        <v>0</v>
      </c>
      <c r="AH658" s="94"/>
      <c r="AI658" s="94"/>
      <c r="AJ658" s="158">
        <f t="shared" ref="AJ658:AJ659" si="118">AE658+AG658</f>
        <v>0</v>
      </c>
      <c r="AK658" s="158">
        <v>877</v>
      </c>
      <c r="AL658" s="158">
        <v>10</v>
      </c>
      <c r="AM658" s="158"/>
      <c r="AN658" s="158">
        <v>3</v>
      </c>
      <c r="AO658" s="11"/>
      <c r="AP658" s="11"/>
      <c r="AQ658" s="11"/>
      <c r="AR658" s="11"/>
      <c r="AS658" s="2">
        <v>0.63319999999999999</v>
      </c>
      <c r="AT658" s="58" t="s">
        <v>38</v>
      </c>
      <c r="AU658" s="386"/>
      <c r="AV658" s="51"/>
      <c r="AW658" s="11"/>
      <c r="AX658" s="11"/>
      <c r="AY658" s="11"/>
      <c r="AZ658" s="11"/>
      <c r="BA658" s="11"/>
      <c r="BB658" s="70"/>
      <c r="BC658" s="70"/>
      <c r="BD658" s="271"/>
      <c r="BE658" s="271">
        <v>2019</v>
      </c>
      <c r="BF658" s="271">
        <v>2020</v>
      </c>
    </row>
    <row r="659" spans="1:58" s="204" customFormat="1" ht="18" hidden="1" customHeight="1">
      <c r="A659" s="160" t="s">
        <v>511</v>
      </c>
      <c r="B659" s="58" t="s">
        <v>1023</v>
      </c>
      <c r="C659" s="148" t="s">
        <v>775</v>
      </c>
      <c r="D659" s="33" t="s">
        <v>774</v>
      </c>
      <c r="E659" s="33"/>
      <c r="F659" s="33"/>
      <c r="G659" s="33"/>
      <c r="H659" s="30" t="s">
        <v>715</v>
      </c>
      <c r="I659" s="43">
        <v>2838</v>
      </c>
      <c r="J659" s="212">
        <v>43076</v>
      </c>
      <c r="K659" s="51"/>
      <c r="L659" s="51">
        <v>41</v>
      </c>
      <c r="M659" s="51"/>
      <c r="N659" s="51"/>
      <c r="O659" s="51"/>
      <c r="P659" s="51"/>
      <c r="Q659" s="51"/>
      <c r="R659" s="51"/>
      <c r="S659" s="51"/>
      <c r="T659" s="586"/>
      <c r="U659" s="51"/>
      <c r="V659" s="311"/>
      <c r="W659" s="311"/>
      <c r="X659" s="311"/>
      <c r="Y659" s="94"/>
      <c r="Z659" s="51"/>
      <c r="AA659" s="51"/>
      <c r="AB659" s="51"/>
      <c r="AC659" s="51"/>
      <c r="AD659" s="158"/>
      <c r="AE659" s="158">
        <f>P659-T659-Y659</f>
        <v>0</v>
      </c>
      <c r="AF659" s="158"/>
      <c r="AG659" s="94">
        <v>0</v>
      </c>
      <c r="AH659" s="94"/>
      <c r="AI659" s="94"/>
      <c r="AJ659" s="158">
        <f t="shared" si="118"/>
        <v>0</v>
      </c>
      <c r="AK659" s="158"/>
      <c r="AL659" s="158"/>
      <c r="AM659" s="158"/>
      <c r="AN659" s="158"/>
      <c r="AO659" s="158"/>
      <c r="AP659" s="158"/>
      <c r="AQ659" s="158"/>
      <c r="AR659" s="158"/>
      <c r="AS659" s="56">
        <v>1</v>
      </c>
      <c r="AT659" s="58" t="s">
        <v>646</v>
      </c>
      <c r="AU659" s="386" t="s">
        <v>1378</v>
      </c>
      <c r="AV659" s="51"/>
      <c r="AW659" s="158"/>
      <c r="AX659" s="158"/>
      <c r="AY659" s="158">
        <v>41</v>
      </c>
      <c r="AZ659" s="158"/>
      <c r="BA659" s="158"/>
      <c r="BB659" s="69">
        <v>41</v>
      </c>
      <c r="BC659" s="69"/>
      <c r="BD659" s="271">
        <v>2019</v>
      </c>
      <c r="BE659" s="271">
        <v>2019</v>
      </c>
      <c r="BF659" s="271"/>
    </row>
    <row r="660" spans="1:58" s="204" customFormat="1" ht="23.25" hidden="1" customHeight="1">
      <c r="A660" s="160" t="s">
        <v>511</v>
      </c>
      <c r="B660" s="58" t="s">
        <v>284</v>
      </c>
      <c r="C660" s="148" t="s">
        <v>776</v>
      </c>
      <c r="D660" s="33" t="s">
        <v>774</v>
      </c>
      <c r="E660" s="33"/>
      <c r="F660" s="33"/>
      <c r="G660" s="33"/>
      <c r="H660" s="30" t="s">
        <v>630</v>
      </c>
      <c r="I660" s="43"/>
      <c r="J660" s="212"/>
      <c r="K660" s="51"/>
      <c r="L660" s="51"/>
      <c r="M660" s="51"/>
      <c r="N660" s="51"/>
      <c r="O660" s="51"/>
      <c r="P660" s="51"/>
      <c r="Q660" s="51"/>
      <c r="R660" s="51"/>
      <c r="S660" s="51"/>
      <c r="T660" s="586"/>
      <c r="U660" s="51"/>
      <c r="V660" s="311"/>
      <c r="W660" s="311"/>
      <c r="X660" s="311"/>
      <c r="Y660" s="94"/>
      <c r="Z660" s="51"/>
      <c r="AA660" s="51"/>
      <c r="AB660" s="51"/>
      <c r="AC660" s="51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56">
        <v>1</v>
      </c>
      <c r="AT660" s="58" t="s">
        <v>646</v>
      </c>
      <c r="AU660" s="105"/>
      <c r="AV660" s="51"/>
      <c r="AW660" s="158"/>
      <c r="AX660" s="158">
        <v>29</v>
      </c>
      <c r="AY660" s="158"/>
      <c r="AZ660" s="158"/>
      <c r="BA660" s="158">
        <v>29</v>
      </c>
      <c r="BB660" s="69"/>
      <c r="BC660" s="69"/>
      <c r="BD660" s="271">
        <v>2018</v>
      </c>
      <c r="BE660" s="271"/>
    </row>
    <row r="661" spans="1:58" s="204" customFormat="1" ht="18" customHeight="1">
      <c r="A661" s="230" t="s">
        <v>511</v>
      </c>
      <c r="B661" s="58" t="s">
        <v>1381</v>
      </c>
      <c r="C661" s="237" t="s">
        <v>1382</v>
      </c>
      <c r="D661" s="33" t="s">
        <v>778</v>
      </c>
      <c r="E661" s="33"/>
      <c r="F661" s="33"/>
      <c r="G661" s="33"/>
      <c r="H661" s="30" t="s">
        <v>715</v>
      </c>
      <c r="I661" s="43">
        <v>2644</v>
      </c>
      <c r="J661" s="212">
        <v>43056</v>
      </c>
      <c r="K661" s="81"/>
      <c r="L661" s="81"/>
      <c r="M661" s="81">
        <v>93</v>
      </c>
      <c r="N661" s="51">
        <v>93</v>
      </c>
      <c r="O661" s="81"/>
      <c r="P661" s="81"/>
      <c r="Q661" s="81"/>
      <c r="R661" s="81"/>
      <c r="S661" s="81"/>
      <c r="T661" s="586"/>
      <c r="U661" s="81"/>
      <c r="V661" s="311"/>
      <c r="W661" s="311"/>
      <c r="X661" s="311"/>
      <c r="Y661" s="94"/>
      <c r="Z661" s="81"/>
      <c r="AA661" s="277"/>
      <c r="AB661" s="277"/>
      <c r="AC661" s="277"/>
      <c r="AD661" s="158"/>
      <c r="AE661" s="158">
        <f t="shared" ref="AE661:AE670" si="119">P661-T661-Y661</f>
        <v>0</v>
      </c>
      <c r="AF661" s="158"/>
      <c r="AG661" s="94">
        <v>0</v>
      </c>
      <c r="AH661" s="94"/>
      <c r="AI661" s="94"/>
      <c r="AJ661" s="158">
        <f t="shared" ref="AJ661:AJ666" si="120">AE661+AG661</f>
        <v>0</v>
      </c>
      <c r="AK661" s="158"/>
      <c r="AL661" s="158"/>
      <c r="AM661" s="158"/>
      <c r="AN661" s="158">
        <v>93</v>
      </c>
      <c r="AO661" s="158"/>
      <c r="AP661" s="158"/>
      <c r="AQ661" s="158"/>
      <c r="AR661" s="158"/>
      <c r="AS661" s="56">
        <v>0.74219999999999997</v>
      </c>
      <c r="AT661" s="58" t="s">
        <v>38</v>
      </c>
      <c r="AU661" s="386"/>
      <c r="AV661" s="51"/>
      <c r="AW661" s="158"/>
      <c r="AX661" s="158"/>
      <c r="AY661" s="158"/>
      <c r="AZ661" s="158"/>
      <c r="BA661" s="158"/>
      <c r="BB661" s="69"/>
      <c r="BC661" s="69"/>
      <c r="BD661" s="271"/>
      <c r="BE661" s="271">
        <v>2019</v>
      </c>
      <c r="BF661" s="271">
        <v>2020</v>
      </c>
    </row>
    <row r="662" spans="1:58" s="204" customFormat="1" ht="18" customHeight="1">
      <c r="A662" s="160" t="s">
        <v>511</v>
      </c>
      <c r="B662" s="58" t="s">
        <v>284</v>
      </c>
      <c r="C662" s="58" t="s">
        <v>1009</v>
      </c>
      <c r="D662" s="33" t="s">
        <v>119</v>
      </c>
      <c r="E662" s="33"/>
      <c r="F662" s="33"/>
      <c r="G662" s="33"/>
      <c r="H662" s="30" t="s">
        <v>968</v>
      </c>
      <c r="I662" s="272" t="s">
        <v>1648</v>
      </c>
      <c r="J662" s="212" t="s">
        <v>1447</v>
      </c>
      <c r="K662" s="158">
        <v>11</v>
      </c>
      <c r="L662" s="158">
        <v>11</v>
      </c>
      <c r="M662" s="158"/>
      <c r="N662" s="51">
        <v>11</v>
      </c>
      <c r="O662" s="158"/>
      <c r="P662" s="158">
        <v>380272837</v>
      </c>
      <c r="Q662" s="158"/>
      <c r="R662" s="158"/>
      <c r="S662" s="158"/>
      <c r="T662" s="586"/>
      <c r="U662" s="158"/>
      <c r="V662" s="311"/>
      <c r="W662" s="311"/>
      <c r="X662" s="311"/>
      <c r="Y662" s="94">
        <v>380272837</v>
      </c>
      <c r="Z662" s="69">
        <v>10</v>
      </c>
      <c r="AA662" s="311">
        <v>43647</v>
      </c>
      <c r="AB662" s="577"/>
      <c r="AC662" s="69"/>
      <c r="AD662" s="158"/>
      <c r="AE662" s="158">
        <f t="shared" si="119"/>
        <v>0</v>
      </c>
      <c r="AF662" s="158"/>
      <c r="AG662" s="94">
        <v>0</v>
      </c>
      <c r="AH662" s="94"/>
      <c r="AI662" s="94"/>
      <c r="AJ662" s="158">
        <f t="shared" si="120"/>
        <v>0</v>
      </c>
      <c r="AK662" s="158">
        <v>877</v>
      </c>
      <c r="AL662" s="158">
        <v>10</v>
      </c>
      <c r="AM662" s="158"/>
      <c r="AN662" s="158">
        <v>11</v>
      </c>
      <c r="AO662" s="158"/>
      <c r="AP662" s="158"/>
      <c r="AQ662" s="158"/>
      <c r="AR662" s="158"/>
      <c r="AS662" s="56">
        <v>0.61419999999999997</v>
      </c>
      <c r="AT662" s="58" t="s">
        <v>38</v>
      </c>
      <c r="AU662" s="386"/>
      <c r="AV662" s="51"/>
      <c r="AW662" s="158"/>
      <c r="AX662" s="158"/>
      <c r="AY662" s="158"/>
      <c r="AZ662" s="158"/>
      <c r="BA662" s="158"/>
      <c r="BB662" s="69"/>
      <c r="BC662" s="69"/>
      <c r="BD662" s="271"/>
      <c r="BE662" s="271">
        <v>2019</v>
      </c>
      <c r="BF662" s="271">
        <v>2020</v>
      </c>
    </row>
    <row r="663" spans="1:58" s="204" customFormat="1" ht="18" customHeight="1">
      <c r="A663" s="248" t="s">
        <v>511</v>
      </c>
      <c r="B663" s="58" t="s">
        <v>1023</v>
      </c>
      <c r="C663" s="251" t="s">
        <v>1022</v>
      </c>
      <c r="D663" s="33" t="s">
        <v>119</v>
      </c>
      <c r="E663" s="33"/>
      <c r="F663" s="33"/>
      <c r="G663" s="33"/>
      <c r="H663" s="30" t="s">
        <v>968</v>
      </c>
      <c r="I663" s="272" t="s">
        <v>1647</v>
      </c>
      <c r="J663" s="212" t="s">
        <v>1464</v>
      </c>
      <c r="K663" s="94">
        <v>21</v>
      </c>
      <c r="L663" s="94">
        <v>21</v>
      </c>
      <c r="M663" s="94"/>
      <c r="N663" s="51">
        <v>21</v>
      </c>
      <c r="O663" s="94"/>
      <c r="P663" s="94">
        <v>1480100830</v>
      </c>
      <c r="Q663" s="94"/>
      <c r="R663" s="94"/>
      <c r="S663" s="94"/>
      <c r="T663" s="586">
        <v>609523076</v>
      </c>
      <c r="U663" s="94">
        <v>20</v>
      </c>
      <c r="V663" s="311"/>
      <c r="W663" s="311"/>
      <c r="X663" s="311"/>
      <c r="Y663" s="94">
        <v>870577754</v>
      </c>
      <c r="Z663" s="94">
        <v>10</v>
      </c>
      <c r="AA663" s="311">
        <v>43525</v>
      </c>
      <c r="AB663" s="583"/>
      <c r="AC663" s="254"/>
      <c r="AD663" s="158"/>
      <c r="AE663" s="158">
        <f t="shared" si="119"/>
        <v>0</v>
      </c>
      <c r="AF663" s="158"/>
      <c r="AG663" s="94">
        <v>0</v>
      </c>
      <c r="AH663" s="94"/>
      <c r="AI663" s="94"/>
      <c r="AJ663" s="158">
        <f t="shared" si="120"/>
        <v>0</v>
      </c>
      <c r="AK663" s="158">
        <v>877</v>
      </c>
      <c r="AL663" s="158">
        <v>10</v>
      </c>
      <c r="AM663" s="158"/>
      <c r="AN663" s="158">
        <v>21</v>
      </c>
      <c r="AO663" s="158"/>
      <c r="AP663" s="158"/>
      <c r="AQ663" s="158"/>
      <c r="AR663" s="158"/>
      <c r="AS663" s="56">
        <v>0.67149999999999999</v>
      </c>
      <c r="AT663" s="58" t="s">
        <v>38</v>
      </c>
      <c r="AU663" s="386"/>
      <c r="AV663" s="51"/>
      <c r="AW663" s="158"/>
      <c r="AX663" s="158"/>
      <c r="AY663" s="158"/>
      <c r="AZ663" s="158"/>
      <c r="BA663" s="158"/>
      <c r="BB663" s="69"/>
      <c r="BC663" s="69"/>
      <c r="BD663" s="271"/>
      <c r="BE663" s="271">
        <v>2019</v>
      </c>
      <c r="BF663" s="271">
        <v>2020</v>
      </c>
    </row>
    <row r="664" spans="1:58" s="204" customFormat="1" ht="18" hidden="1" customHeight="1">
      <c r="A664" s="160" t="s">
        <v>511</v>
      </c>
      <c r="B664" s="58" t="s">
        <v>284</v>
      </c>
      <c r="C664" s="58" t="s">
        <v>1081</v>
      </c>
      <c r="D664" s="33" t="s">
        <v>287</v>
      </c>
      <c r="E664" s="33"/>
      <c r="F664" s="33"/>
      <c r="G664" s="33"/>
      <c r="H664" s="30" t="s">
        <v>968</v>
      </c>
      <c r="I664" s="272">
        <v>1408</v>
      </c>
      <c r="J664" s="212">
        <v>43273</v>
      </c>
      <c r="K664" s="94">
        <v>12</v>
      </c>
      <c r="L664" s="94">
        <v>12</v>
      </c>
      <c r="M664" s="94"/>
      <c r="N664" s="51"/>
      <c r="O664" s="94"/>
      <c r="P664" s="94">
        <v>763215957</v>
      </c>
      <c r="Q664" s="94"/>
      <c r="R664" s="94"/>
      <c r="S664" s="94"/>
      <c r="T664" s="586">
        <v>338718634</v>
      </c>
      <c r="U664" s="94">
        <v>20</v>
      </c>
      <c r="V664" s="311"/>
      <c r="W664" s="311"/>
      <c r="X664" s="311"/>
      <c r="Y664" s="94">
        <v>424497323</v>
      </c>
      <c r="Z664" s="94">
        <v>10</v>
      </c>
      <c r="AA664" s="311">
        <v>43525</v>
      </c>
      <c r="AB664" s="311"/>
      <c r="AC664" s="94"/>
      <c r="AD664" s="158"/>
      <c r="AE664" s="158">
        <f t="shared" si="119"/>
        <v>0</v>
      </c>
      <c r="AF664" s="158"/>
      <c r="AG664" s="94">
        <v>0</v>
      </c>
      <c r="AH664" s="94"/>
      <c r="AI664" s="94"/>
      <c r="AJ664" s="158">
        <f t="shared" si="120"/>
        <v>0</v>
      </c>
      <c r="AK664" s="158">
        <v>877</v>
      </c>
      <c r="AL664" s="158">
        <v>10</v>
      </c>
      <c r="AM664" s="158"/>
      <c r="AN664" s="158"/>
      <c r="AO664" s="94"/>
      <c r="AP664" s="158"/>
      <c r="AQ664" s="158"/>
      <c r="AR664" s="158"/>
      <c r="AS664" s="56">
        <v>1</v>
      </c>
      <c r="AT664" s="58" t="s">
        <v>646</v>
      </c>
      <c r="AU664" s="386"/>
      <c r="AV664" s="51"/>
      <c r="AW664" s="158"/>
      <c r="AX664" s="158"/>
      <c r="AY664" s="94">
        <v>12</v>
      </c>
      <c r="AZ664" s="94"/>
      <c r="BA664" s="158"/>
      <c r="BB664" s="218">
        <v>12</v>
      </c>
      <c r="BC664" s="218"/>
      <c r="BD664" s="271">
        <v>2019</v>
      </c>
      <c r="BE664" s="271">
        <v>2019</v>
      </c>
      <c r="BF664" s="271"/>
    </row>
    <row r="665" spans="1:58" s="204" customFormat="1" ht="18" hidden="1" customHeight="1">
      <c r="A665" s="230" t="s">
        <v>511</v>
      </c>
      <c r="B665" s="58" t="s">
        <v>523</v>
      </c>
      <c r="C665" s="58" t="s">
        <v>1213</v>
      </c>
      <c r="D665" s="33" t="s">
        <v>30</v>
      </c>
      <c r="E665" s="33"/>
      <c r="F665" s="33"/>
      <c r="G665" s="33"/>
      <c r="H665" s="30" t="s">
        <v>1116</v>
      </c>
      <c r="I665" s="30">
        <v>321</v>
      </c>
      <c r="J665" s="212">
        <v>43405</v>
      </c>
      <c r="K665" s="94">
        <v>44</v>
      </c>
      <c r="L665" s="94">
        <v>44</v>
      </c>
      <c r="M665" s="94"/>
      <c r="N665" s="51"/>
      <c r="O665" s="94"/>
      <c r="P665" s="94">
        <v>2896405339</v>
      </c>
      <c r="Q665" s="94"/>
      <c r="R665" s="94"/>
      <c r="S665" s="94"/>
      <c r="T665" s="586">
        <v>1281754395</v>
      </c>
      <c r="U665" s="94">
        <v>10</v>
      </c>
      <c r="V665" s="311"/>
      <c r="W665" s="311"/>
      <c r="X665" s="311"/>
      <c r="Y665" s="94">
        <v>1614650944</v>
      </c>
      <c r="Z665" s="214">
        <v>10</v>
      </c>
      <c r="AA665" s="311">
        <v>43586</v>
      </c>
      <c r="AB665" s="329"/>
      <c r="AC665" s="279"/>
      <c r="AD665" s="158"/>
      <c r="AE665" s="158">
        <f t="shared" si="119"/>
        <v>0</v>
      </c>
      <c r="AF665" s="158"/>
      <c r="AG665" s="94">
        <v>0</v>
      </c>
      <c r="AH665" s="94"/>
      <c r="AI665" s="94"/>
      <c r="AJ665" s="158">
        <f t="shared" si="120"/>
        <v>0</v>
      </c>
      <c r="AK665" s="158">
        <v>877</v>
      </c>
      <c r="AL665" s="158">
        <v>10</v>
      </c>
      <c r="AM665" s="158"/>
      <c r="AN665" s="158"/>
      <c r="AO665" s="158"/>
      <c r="AP665" s="158"/>
      <c r="AQ665" s="158"/>
      <c r="AR665" s="158"/>
      <c r="AS665" s="2">
        <v>1</v>
      </c>
      <c r="AT665" s="58" t="s">
        <v>646</v>
      </c>
      <c r="AU665" s="386"/>
      <c r="AV665" s="51"/>
      <c r="AW665" s="158"/>
      <c r="AX665" s="158"/>
      <c r="AY665" s="158">
        <v>44</v>
      </c>
      <c r="AZ665" s="158"/>
      <c r="BA665" s="158"/>
      <c r="BB665" s="69">
        <v>44</v>
      </c>
      <c r="BC665" s="69"/>
      <c r="BD665" s="271">
        <v>2019</v>
      </c>
      <c r="BE665" s="271">
        <v>2019</v>
      </c>
      <c r="BF665" s="271"/>
    </row>
    <row r="666" spans="1:58" s="204" customFormat="1" ht="18" customHeight="1">
      <c r="A666" s="160" t="s">
        <v>511</v>
      </c>
      <c r="B666" s="58" t="s">
        <v>1651</v>
      </c>
      <c r="C666" s="58" t="s">
        <v>1250</v>
      </c>
      <c r="D666" s="33" t="s">
        <v>7</v>
      </c>
      <c r="E666" s="33"/>
      <c r="F666" s="33"/>
      <c r="G666" s="33"/>
      <c r="H666" s="30" t="s">
        <v>1232</v>
      </c>
      <c r="I666" s="30">
        <v>521</v>
      </c>
      <c r="J666" s="212">
        <v>43544</v>
      </c>
      <c r="K666" s="94"/>
      <c r="L666" s="94"/>
      <c r="M666" s="94">
        <f>64-1</f>
        <v>63</v>
      </c>
      <c r="N666" s="51">
        <v>63</v>
      </c>
      <c r="O666" s="94"/>
      <c r="P666" s="94">
        <f>5098438720-79663104</f>
        <v>5018775616</v>
      </c>
      <c r="Q666" s="94"/>
      <c r="R666" s="94"/>
      <c r="S666" s="94"/>
      <c r="T666" s="586">
        <v>2705967882</v>
      </c>
      <c r="U666" s="94">
        <v>10</v>
      </c>
      <c r="V666" s="311">
        <v>43617</v>
      </c>
      <c r="W666" s="311"/>
      <c r="X666" s="311"/>
      <c r="Y666" s="94">
        <v>2312807734</v>
      </c>
      <c r="Z666" s="218">
        <v>20</v>
      </c>
      <c r="AA666" s="311">
        <v>43770</v>
      </c>
      <c r="AB666" s="577"/>
      <c r="AC666" s="218"/>
      <c r="AD666" s="158"/>
      <c r="AE666" s="158">
        <f t="shared" si="119"/>
        <v>0</v>
      </c>
      <c r="AF666" s="158"/>
      <c r="AG666" s="94">
        <v>0</v>
      </c>
      <c r="AH666" s="94"/>
      <c r="AI666" s="94"/>
      <c r="AJ666" s="158">
        <f t="shared" si="120"/>
        <v>0</v>
      </c>
      <c r="AK666" s="158">
        <v>877</v>
      </c>
      <c r="AL666" s="158">
        <v>20</v>
      </c>
      <c r="AM666" s="158"/>
      <c r="AN666" s="158">
        <v>63</v>
      </c>
      <c r="AO666" s="158"/>
      <c r="AP666" s="158"/>
      <c r="AQ666" s="158"/>
      <c r="AR666" s="158"/>
      <c r="AS666" s="2">
        <v>0.55359999999999998</v>
      </c>
      <c r="AT666" s="58" t="s">
        <v>38</v>
      </c>
      <c r="AU666" s="386"/>
      <c r="AV666" s="51"/>
      <c r="AW666" s="158"/>
      <c r="AX666" s="158"/>
      <c r="AY666" s="158"/>
      <c r="AZ666" s="158"/>
      <c r="BA666" s="158"/>
      <c r="BB666" s="69"/>
      <c r="BC666" s="69"/>
      <c r="BD666" s="271"/>
      <c r="BE666" s="271">
        <v>2019</v>
      </c>
      <c r="BF666" s="271">
        <v>2020</v>
      </c>
    </row>
    <row r="667" spans="1:58" s="204" customFormat="1" ht="18" customHeight="1">
      <c r="A667" s="160" t="s">
        <v>511</v>
      </c>
      <c r="B667" s="58" t="s">
        <v>1651</v>
      </c>
      <c r="C667" s="485" t="s">
        <v>1250</v>
      </c>
      <c r="D667" s="483" t="s">
        <v>7</v>
      </c>
      <c r="E667" s="483"/>
      <c r="F667" s="483"/>
      <c r="G667" s="483"/>
      <c r="H667" s="30" t="s">
        <v>1232</v>
      </c>
      <c r="I667" s="30">
        <v>521</v>
      </c>
      <c r="J667" s="212">
        <v>43544</v>
      </c>
      <c r="K667" s="94"/>
      <c r="L667" s="94"/>
      <c r="M667" s="94">
        <v>1</v>
      </c>
      <c r="N667" s="51">
        <v>1</v>
      </c>
      <c r="O667" s="94"/>
      <c r="P667" s="94">
        <v>79663104</v>
      </c>
      <c r="Q667" s="94"/>
      <c r="R667" s="94"/>
      <c r="S667" s="94"/>
      <c r="T667" s="624">
        <v>42965578</v>
      </c>
      <c r="U667" s="175">
        <v>10</v>
      </c>
      <c r="V667" s="484">
        <v>43888</v>
      </c>
      <c r="W667" s="484"/>
      <c r="X667" s="484"/>
      <c r="Y667" s="94"/>
      <c r="Z667" s="218"/>
      <c r="AA667" s="218"/>
      <c r="AB667" s="622"/>
      <c r="AC667" s="218"/>
      <c r="AD667" s="158"/>
      <c r="AE667" s="158">
        <f t="shared" si="119"/>
        <v>36697526</v>
      </c>
      <c r="AF667" s="158"/>
      <c r="AG667" s="94">
        <v>0</v>
      </c>
      <c r="AH667" s="94"/>
      <c r="AI667" s="94"/>
      <c r="AJ667" s="158">
        <f>AE667+AG667</f>
        <v>36697526</v>
      </c>
      <c r="AK667" s="158">
        <v>877</v>
      </c>
      <c r="AL667" s="158">
        <v>10</v>
      </c>
      <c r="AM667" s="158"/>
      <c r="AN667" s="72">
        <v>1</v>
      </c>
      <c r="AO667" s="158"/>
      <c r="AP667" s="158"/>
      <c r="AQ667" s="158"/>
      <c r="AR667" s="158"/>
      <c r="AS667" s="2">
        <v>0</v>
      </c>
      <c r="AT667" s="485" t="s">
        <v>38</v>
      </c>
      <c r="AU667" s="386"/>
      <c r="AV667" s="51"/>
      <c r="AW667" s="158"/>
      <c r="AX667" s="158"/>
      <c r="AY667" s="158"/>
      <c r="AZ667" s="72">
        <v>1</v>
      </c>
      <c r="BA667" s="158"/>
      <c r="BB667" s="69"/>
      <c r="BC667" s="69"/>
      <c r="BD667" s="271"/>
      <c r="BE667" s="271">
        <v>2019</v>
      </c>
      <c r="BF667" s="430">
        <v>2020</v>
      </c>
    </row>
    <row r="668" spans="1:58" s="204" customFormat="1" ht="18" customHeight="1">
      <c r="A668" s="243" t="s">
        <v>511</v>
      </c>
      <c r="B668" s="58" t="s">
        <v>1023</v>
      </c>
      <c r="C668" s="246" t="s">
        <v>1345</v>
      </c>
      <c r="D668" s="33" t="s">
        <v>157</v>
      </c>
      <c r="E668" s="33"/>
      <c r="F668" s="33"/>
      <c r="G668" s="33"/>
      <c r="H668" s="30" t="s">
        <v>1232</v>
      </c>
      <c r="I668" s="30">
        <v>487</v>
      </c>
      <c r="J668" s="212">
        <v>43539</v>
      </c>
      <c r="K668" s="94"/>
      <c r="L668" s="94"/>
      <c r="M668" s="94">
        <v>5</v>
      </c>
      <c r="N668" s="51">
        <v>5</v>
      </c>
      <c r="O668" s="94"/>
      <c r="P668" s="94">
        <v>342395126</v>
      </c>
      <c r="Q668" s="94"/>
      <c r="R668" s="94"/>
      <c r="S668" s="94"/>
      <c r="T668" s="586">
        <v>178080962</v>
      </c>
      <c r="U668" s="94">
        <v>10</v>
      </c>
      <c r="V668" s="311">
        <v>43586</v>
      </c>
      <c r="W668" s="311"/>
      <c r="X668" s="311"/>
      <c r="Y668" s="94">
        <v>164314164</v>
      </c>
      <c r="Z668" s="94">
        <v>20</v>
      </c>
      <c r="AA668" s="311">
        <v>43709</v>
      </c>
      <c r="AB668" s="584"/>
      <c r="AC668" s="252"/>
      <c r="AD668" s="158"/>
      <c r="AE668" s="158">
        <f t="shared" si="119"/>
        <v>0</v>
      </c>
      <c r="AF668" s="158"/>
      <c r="AG668" s="158">
        <f>P668-T668-Y668</f>
        <v>0</v>
      </c>
      <c r="AH668" s="158"/>
      <c r="AI668" s="158"/>
      <c r="AJ668" s="158">
        <f t="shared" ref="AJ668:AJ669" si="121">AE668+AG668</f>
        <v>0</v>
      </c>
      <c r="AK668" s="158">
        <v>877</v>
      </c>
      <c r="AL668" s="158">
        <v>20</v>
      </c>
      <c r="AM668" s="158"/>
      <c r="AN668" s="158">
        <v>5</v>
      </c>
      <c r="AO668" s="158"/>
      <c r="AP668" s="158"/>
      <c r="AQ668" s="158"/>
      <c r="AR668" s="158"/>
      <c r="AS668" s="56">
        <v>0.74409999999999998</v>
      </c>
      <c r="AT668" s="58" t="s">
        <v>38</v>
      </c>
      <c r="AU668" s="386"/>
      <c r="AV668" s="51"/>
      <c r="AW668" s="158"/>
      <c r="AX668" s="158"/>
      <c r="AY668" s="158"/>
      <c r="AZ668" s="158"/>
      <c r="BA668" s="158"/>
      <c r="BB668" s="69"/>
      <c r="BC668" s="69"/>
      <c r="BD668" s="271"/>
      <c r="BE668" s="271">
        <v>2019</v>
      </c>
      <c r="BF668" s="271">
        <v>2020</v>
      </c>
    </row>
    <row r="669" spans="1:58" s="204" customFormat="1" ht="18" customHeight="1">
      <c r="A669" s="160" t="s">
        <v>511</v>
      </c>
      <c r="B669" s="58" t="s">
        <v>1023</v>
      </c>
      <c r="C669" s="58" t="s">
        <v>1346</v>
      </c>
      <c r="D669" s="33" t="s">
        <v>157</v>
      </c>
      <c r="E669" s="33"/>
      <c r="F669" s="33"/>
      <c r="G669" s="33"/>
      <c r="H669" s="30" t="s">
        <v>1232</v>
      </c>
      <c r="I669" s="30">
        <v>491</v>
      </c>
      <c r="J669" s="212">
        <v>43539</v>
      </c>
      <c r="K669" s="94"/>
      <c r="L669" s="94"/>
      <c r="M669" s="94">
        <f>22-1</f>
        <v>21</v>
      </c>
      <c r="N669" s="51">
        <v>21</v>
      </c>
      <c r="O669" s="94"/>
      <c r="P669" s="94">
        <f>1545232529-70237842</f>
        <v>1474994687</v>
      </c>
      <c r="Q669" s="94"/>
      <c r="R669" s="94"/>
      <c r="S669" s="94"/>
      <c r="T669" s="586">
        <v>772079709</v>
      </c>
      <c r="U669" s="94">
        <v>10</v>
      </c>
      <c r="V669" s="311">
        <v>43556</v>
      </c>
      <c r="W669" s="311"/>
      <c r="X669" s="311"/>
      <c r="Y669" s="94">
        <v>702914978</v>
      </c>
      <c r="Z669" s="218">
        <v>20</v>
      </c>
      <c r="AA669" s="311">
        <v>43739</v>
      </c>
      <c r="AB669" s="577"/>
      <c r="AC669" s="218"/>
      <c r="AD669" s="158"/>
      <c r="AE669" s="158">
        <f t="shared" si="119"/>
        <v>0</v>
      </c>
      <c r="AF669" s="158"/>
      <c r="AG669" s="158">
        <f>P669-T669-Y669</f>
        <v>0</v>
      </c>
      <c r="AH669" s="158"/>
      <c r="AI669" s="158"/>
      <c r="AJ669" s="158">
        <f t="shared" si="121"/>
        <v>0</v>
      </c>
      <c r="AK669" s="158">
        <v>877</v>
      </c>
      <c r="AL669" s="158">
        <v>20</v>
      </c>
      <c r="AM669" s="158"/>
      <c r="AN669" s="158">
        <v>21</v>
      </c>
      <c r="AO669" s="158"/>
      <c r="AP669" s="158"/>
      <c r="AQ669" s="158"/>
      <c r="AR669" s="158"/>
      <c r="AS669" s="56">
        <v>0.55200000000000005</v>
      </c>
      <c r="AT669" s="58" t="s">
        <v>38</v>
      </c>
      <c r="AU669" s="386"/>
      <c r="AV669" s="51"/>
      <c r="AW669" s="158"/>
      <c r="AX669" s="158"/>
      <c r="AY669" s="158"/>
      <c r="AZ669" s="158"/>
      <c r="BA669" s="158"/>
      <c r="BB669" s="69"/>
      <c r="BC669" s="69"/>
      <c r="BD669" s="271"/>
      <c r="BE669" s="271">
        <v>2019</v>
      </c>
      <c r="BF669" s="271">
        <v>2020</v>
      </c>
    </row>
    <row r="670" spans="1:58" s="204" customFormat="1" ht="18" customHeight="1">
      <c r="A670" s="160" t="s">
        <v>511</v>
      </c>
      <c r="B670" s="58" t="s">
        <v>1023</v>
      </c>
      <c r="C670" s="58" t="s">
        <v>1346</v>
      </c>
      <c r="D670" s="33" t="s">
        <v>157</v>
      </c>
      <c r="E670" s="33"/>
      <c r="F670" s="33"/>
      <c r="G670" s="33"/>
      <c r="H670" s="30" t="s">
        <v>1232</v>
      </c>
      <c r="I670" s="30">
        <v>491</v>
      </c>
      <c r="J670" s="212">
        <v>43539</v>
      </c>
      <c r="K670" s="94"/>
      <c r="L670" s="94"/>
      <c r="M670" s="94">
        <v>1</v>
      </c>
      <c r="N670" s="51">
        <v>1</v>
      </c>
      <c r="O670" s="94"/>
      <c r="P670" s="94">
        <v>70237842</v>
      </c>
      <c r="Q670" s="94"/>
      <c r="R670" s="94"/>
      <c r="S670" s="94"/>
      <c r="T670" s="586"/>
      <c r="U670" s="94"/>
      <c r="V670" s="311"/>
      <c r="W670" s="311"/>
      <c r="X670" s="311"/>
      <c r="Y670" s="94"/>
      <c r="Z670" s="218"/>
      <c r="AA670" s="218"/>
      <c r="AB670" s="218"/>
      <c r="AC670" s="218"/>
      <c r="AD670" s="158"/>
      <c r="AE670" s="158">
        <f t="shared" si="119"/>
        <v>70237842</v>
      </c>
      <c r="AF670" s="158"/>
      <c r="AG670" s="94">
        <v>0</v>
      </c>
      <c r="AH670" s="94"/>
      <c r="AI670" s="94"/>
      <c r="AJ670" s="158">
        <f>AE670+AG670</f>
        <v>70237842</v>
      </c>
      <c r="AK670" s="158">
        <v>877</v>
      </c>
      <c r="AL670" s="158">
        <v>10</v>
      </c>
      <c r="AM670" s="158">
        <v>1</v>
      </c>
      <c r="AN670" s="158"/>
      <c r="AO670" s="158"/>
      <c r="AP670" s="158"/>
      <c r="AQ670" s="158"/>
      <c r="AR670" s="158"/>
      <c r="AS670" s="2">
        <v>0</v>
      </c>
      <c r="AT670" s="58" t="s">
        <v>38</v>
      </c>
      <c r="AU670" s="386"/>
      <c r="AV670" s="51"/>
      <c r="AW670" s="158"/>
      <c r="AX670" s="158"/>
      <c r="AY670" s="158"/>
      <c r="AZ670" s="158"/>
      <c r="BA670" s="158"/>
      <c r="BB670" s="69"/>
      <c r="BC670" s="69"/>
      <c r="BD670" s="271"/>
      <c r="BE670" s="271">
        <v>2019</v>
      </c>
      <c r="BF670" s="271">
        <v>2020</v>
      </c>
    </row>
    <row r="671" spans="1:58" s="204" customFormat="1" ht="18" customHeight="1">
      <c r="A671" s="160" t="s">
        <v>511</v>
      </c>
      <c r="B671" s="58" t="s">
        <v>288</v>
      </c>
      <c r="C671" s="485" t="s">
        <v>1589</v>
      </c>
      <c r="D671" s="483" t="s">
        <v>287</v>
      </c>
      <c r="E671" s="483"/>
      <c r="F671" s="483"/>
      <c r="G671" s="483"/>
      <c r="H671" s="30" t="s">
        <v>1553</v>
      </c>
      <c r="I671" s="30">
        <v>1649</v>
      </c>
      <c r="J671" s="212">
        <v>43728</v>
      </c>
      <c r="K671" s="94"/>
      <c r="L671" s="94"/>
      <c r="M671" s="94">
        <v>17</v>
      </c>
      <c r="N671" s="51">
        <v>17</v>
      </c>
      <c r="O671" s="94"/>
      <c r="P671" s="94">
        <v>1237265038</v>
      </c>
      <c r="Q671" s="94"/>
      <c r="R671" s="94"/>
      <c r="S671" s="94"/>
      <c r="T671" s="586">
        <v>675992790</v>
      </c>
      <c r="U671" s="94">
        <v>20</v>
      </c>
      <c r="V671" s="311">
        <v>43739</v>
      </c>
      <c r="W671" s="311"/>
      <c r="X671" s="311"/>
      <c r="Y671" s="626">
        <v>561272248</v>
      </c>
      <c r="Z671" s="492">
        <v>20</v>
      </c>
      <c r="AA671" s="484">
        <v>43861</v>
      </c>
      <c r="AB671" s="616"/>
      <c r="AC671" s="283"/>
      <c r="AD671" s="158"/>
      <c r="AE671" s="158">
        <f>P671-T671-Y671-AG671</f>
        <v>0</v>
      </c>
      <c r="AF671" s="158"/>
      <c r="AG671" s="158">
        <f>P671-T671-Y671</f>
        <v>0</v>
      </c>
      <c r="AH671" s="158"/>
      <c r="AI671" s="158"/>
      <c r="AJ671" s="158">
        <f t="shared" ref="AJ671" si="122">AE671+AG671</f>
        <v>0</v>
      </c>
      <c r="AK671" s="158">
        <v>877</v>
      </c>
      <c r="AL671" s="158">
        <v>20</v>
      </c>
      <c r="AM671" s="158"/>
      <c r="AN671" s="72">
        <v>17</v>
      </c>
      <c r="AO671" s="158"/>
      <c r="AP671" s="158"/>
      <c r="AQ671" s="158"/>
      <c r="AR671" s="158"/>
      <c r="AS671" s="493">
        <v>0</v>
      </c>
      <c r="AT671" s="485" t="s">
        <v>38</v>
      </c>
      <c r="AU671" s="386"/>
      <c r="AV671" s="51"/>
      <c r="AW671" s="158"/>
      <c r="AX671" s="158"/>
      <c r="AY671" s="158"/>
      <c r="AZ671" s="158"/>
      <c r="BA671" s="158"/>
      <c r="BB671" s="69"/>
      <c r="BC671" s="69"/>
      <c r="BD671" s="271"/>
      <c r="BE671" s="271">
        <v>2019</v>
      </c>
      <c r="BF671" s="271">
        <v>2020</v>
      </c>
    </row>
    <row r="672" spans="1:58" s="204" customFormat="1" ht="18" customHeight="1">
      <c r="A672" s="160" t="s">
        <v>511</v>
      </c>
      <c r="B672" s="617" t="s">
        <v>1594</v>
      </c>
      <c r="C672" s="485" t="s">
        <v>1590</v>
      </c>
      <c r="D672" s="483" t="s">
        <v>1593</v>
      </c>
      <c r="E672" s="483"/>
      <c r="F672" s="483"/>
      <c r="G672" s="483"/>
      <c r="H672" s="30" t="s">
        <v>1553</v>
      </c>
      <c r="I672" s="30">
        <v>1653</v>
      </c>
      <c r="J672" s="212">
        <v>43728</v>
      </c>
      <c r="K672" s="94"/>
      <c r="L672" s="94"/>
      <c r="M672" s="94">
        <v>13</v>
      </c>
      <c r="N672" s="51">
        <v>13</v>
      </c>
      <c r="O672" s="94"/>
      <c r="P672" s="94">
        <v>947813871</v>
      </c>
      <c r="Q672" s="94"/>
      <c r="R672" s="94"/>
      <c r="S672" s="94"/>
      <c r="T672" s="586">
        <v>516185647</v>
      </c>
      <c r="U672" s="94">
        <v>20</v>
      </c>
      <c r="V672" s="311">
        <v>43739</v>
      </c>
      <c r="W672" s="311"/>
      <c r="X672" s="311"/>
      <c r="Y672" s="625">
        <v>431628224</v>
      </c>
      <c r="Z672" s="492">
        <v>20</v>
      </c>
      <c r="AA672" s="484">
        <v>43889</v>
      </c>
      <c r="AB672" s="616"/>
      <c r="AC672" s="283"/>
      <c r="AD672" s="158"/>
      <c r="AE672" s="158">
        <f>P672-T672-Y672-AG672</f>
        <v>0</v>
      </c>
      <c r="AF672" s="158"/>
      <c r="AG672" s="158">
        <f>P672-T672-Y672</f>
        <v>0</v>
      </c>
      <c r="AH672" s="158"/>
      <c r="AI672" s="158"/>
      <c r="AJ672" s="158">
        <f>AE672+AG672</f>
        <v>0</v>
      </c>
      <c r="AK672" s="158">
        <v>877</v>
      </c>
      <c r="AL672" s="158">
        <v>20</v>
      </c>
      <c r="AM672" s="158"/>
      <c r="AN672" s="72">
        <v>13</v>
      </c>
      <c r="AO672" s="158"/>
      <c r="AP672" s="158"/>
      <c r="AQ672" s="158"/>
      <c r="AR672" s="158"/>
      <c r="AS672" s="493">
        <v>0.1179</v>
      </c>
      <c r="AT672" s="485" t="s">
        <v>38</v>
      </c>
      <c r="AU672" s="386"/>
      <c r="AV672" s="51"/>
      <c r="AW672" s="158"/>
      <c r="AX672" s="158"/>
      <c r="AY672" s="158"/>
      <c r="AZ672" s="158"/>
      <c r="BA672" s="158"/>
      <c r="BB672" s="69"/>
      <c r="BC672" s="69"/>
      <c r="BD672" s="271"/>
      <c r="BE672" s="271">
        <v>2019</v>
      </c>
      <c r="BF672" s="271">
        <v>2020</v>
      </c>
    </row>
    <row r="673" spans="1:59" s="204" customFormat="1" ht="27" customHeight="1">
      <c r="A673" s="160" t="s">
        <v>511</v>
      </c>
      <c r="B673" s="58" t="s">
        <v>1595</v>
      </c>
      <c r="C673" s="487" t="s">
        <v>1591</v>
      </c>
      <c r="D673" s="483" t="s">
        <v>1078</v>
      </c>
      <c r="E673" s="483"/>
      <c r="F673" s="483"/>
      <c r="G673" s="483"/>
      <c r="H673" s="30" t="s">
        <v>1553</v>
      </c>
      <c r="I673" s="115" t="s">
        <v>2186</v>
      </c>
      <c r="J673" s="212">
        <v>43728</v>
      </c>
      <c r="K673" s="94"/>
      <c r="L673" s="94"/>
      <c r="M673" s="94">
        <v>40</v>
      </c>
      <c r="N673" s="51">
        <v>40</v>
      </c>
      <c r="O673" s="94"/>
      <c r="P673" s="94">
        <f>3449996934-119942934</f>
        <v>3330054000</v>
      </c>
      <c r="Q673" s="94"/>
      <c r="R673" s="94"/>
      <c r="S673" s="158"/>
      <c r="T673" s="586">
        <v>1830631000</v>
      </c>
      <c r="U673" s="94">
        <v>20</v>
      </c>
      <c r="V673" s="311">
        <v>43770</v>
      </c>
      <c r="W673" s="311"/>
      <c r="X673" s="311"/>
      <c r="Y673" s="625">
        <v>1499423000</v>
      </c>
      <c r="Z673" s="492">
        <v>20</v>
      </c>
      <c r="AA673" s="484">
        <v>43920</v>
      </c>
      <c r="AB673" s="616"/>
      <c r="AC673" s="283"/>
      <c r="AD673" s="158"/>
      <c r="AE673" s="158">
        <f>P673-T673-Y673-AG673</f>
        <v>0</v>
      </c>
      <c r="AF673" s="158"/>
      <c r="AG673" s="158">
        <f>P673-T673-Y673</f>
        <v>0</v>
      </c>
      <c r="AH673" s="158"/>
      <c r="AI673" s="158"/>
      <c r="AJ673" s="158">
        <f>AE673+AG673</f>
        <v>0</v>
      </c>
      <c r="AK673" s="158">
        <v>877</v>
      </c>
      <c r="AL673" s="158">
        <v>20</v>
      </c>
      <c r="AM673" s="158"/>
      <c r="AN673" s="72">
        <v>40</v>
      </c>
      <c r="AO673" s="158"/>
      <c r="AP673" s="158"/>
      <c r="AQ673" s="158"/>
      <c r="AR673" s="158"/>
      <c r="AS673" s="493">
        <v>0</v>
      </c>
      <c r="AT673" s="485" t="s">
        <v>38</v>
      </c>
      <c r="AU673" s="386"/>
      <c r="AV673" s="51"/>
      <c r="AW673" s="158"/>
      <c r="AX673" s="158"/>
      <c r="AY673" s="158"/>
      <c r="AZ673" s="158"/>
      <c r="BA673" s="158"/>
      <c r="BB673" s="69"/>
      <c r="BC673" s="69"/>
      <c r="BD673" s="271"/>
      <c r="BE673" s="271">
        <v>2019</v>
      </c>
      <c r="BF673" s="271">
        <v>2020</v>
      </c>
    </row>
    <row r="674" spans="1:59" s="204" customFormat="1" ht="18" customHeight="1">
      <c r="A674" s="160" t="s">
        <v>511</v>
      </c>
      <c r="B674" s="58" t="s">
        <v>523</v>
      </c>
      <c r="C674" s="485" t="s">
        <v>1592</v>
      </c>
      <c r="D674" s="483" t="s">
        <v>1596</v>
      </c>
      <c r="E674" s="483"/>
      <c r="F674" s="483"/>
      <c r="G674" s="483"/>
      <c r="H674" s="30" t="s">
        <v>1553</v>
      </c>
      <c r="I674" s="30">
        <v>1647</v>
      </c>
      <c r="J674" s="212">
        <v>43728</v>
      </c>
      <c r="K674" s="94"/>
      <c r="L674" s="94"/>
      <c r="M674" s="94">
        <v>53</v>
      </c>
      <c r="N674" s="51">
        <v>53</v>
      </c>
      <c r="O674" s="94"/>
      <c r="P674" s="94">
        <v>3730349830</v>
      </c>
      <c r="Q674" s="94"/>
      <c r="R674" s="94"/>
      <c r="S674" s="94"/>
      <c r="T674" s="586">
        <v>2022242277</v>
      </c>
      <c r="U674" s="94">
        <v>20</v>
      </c>
      <c r="V674" s="311">
        <v>43739</v>
      </c>
      <c r="W674" s="311"/>
      <c r="X674" s="311"/>
      <c r="Y674" s="625">
        <v>1708107553</v>
      </c>
      <c r="Z674" s="492">
        <v>20</v>
      </c>
      <c r="AA674" s="484">
        <v>43889</v>
      </c>
      <c r="AB674" s="616"/>
      <c r="AC674" s="283"/>
      <c r="AD674" s="158"/>
      <c r="AE674" s="158">
        <f>P674-T674-Y674-AG674</f>
        <v>0</v>
      </c>
      <c r="AF674" s="158"/>
      <c r="AG674" s="158">
        <f>P674-T674-Y674</f>
        <v>0</v>
      </c>
      <c r="AH674" s="158"/>
      <c r="AI674" s="158"/>
      <c r="AJ674" s="158">
        <f>AE674+AG674</f>
        <v>0</v>
      </c>
      <c r="AK674" s="158">
        <v>877</v>
      </c>
      <c r="AL674" s="158">
        <v>20</v>
      </c>
      <c r="AM674" s="158"/>
      <c r="AN674" s="72">
        <v>53</v>
      </c>
      <c r="AO674" s="158"/>
      <c r="AP674" s="158"/>
      <c r="AQ674" s="158"/>
      <c r="AR674" s="158"/>
      <c r="AS674" s="493">
        <v>0</v>
      </c>
      <c r="AT674" s="485" t="s">
        <v>38</v>
      </c>
      <c r="AU674" s="386"/>
      <c r="AV674" s="51"/>
      <c r="AW674" s="158"/>
      <c r="AX674" s="158"/>
      <c r="AY674" s="158"/>
      <c r="AZ674" s="158"/>
      <c r="BA674" s="158"/>
      <c r="BB674" s="69"/>
      <c r="BC674" s="69"/>
      <c r="BD674" s="271"/>
      <c r="BE674" s="271">
        <v>2019</v>
      </c>
      <c r="BF674" s="430">
        <v>2020</v>
      </c>
    </row>
    <row r="675" spans="1:59" ht="22.5" customHeight="1">
      <c r="A675" s="371" t="s">
        <v>512</v>
      </c>
      <c r="B675" s="371"/>
      <c r="C675" s="371"/>
      <c r="D675" s="371"/>
      <c r="E675" s="371"/>
      <c r="F675" s="371"/>
      <c r="G675" s="371"/>
      <c r="H675" s="371"/>
      <c r="I675" s="371"/>
      <c r="J675" s="371"/>
      <c r="K675" s="371">
        <f>SUM(K676:K724)</f>
        <v>340</v>
      </c>
      <c r="L675" s="370">
        <f t="shared" ref="L675:O675" si="123">SUM(L676:L724)</f>
        <v>710</v>
      </c>
      <c r="M675" s="370">
        <f t="shared" si="123"/>
        <v>555</v>
      </c>
      <c r="N675" s="370">
        <f t="shared" si="123"/>
        <v>734</v>
      </c>
      <c r="O675" s="370">
        <f t="shared" si="123"/>
        <v>121</v>
      </c>
      <c r="P675" s="371"/>
      <c r="Q675" s="371"/>
      <c r="R675" s="371"/>
      <c r="S675" s="371"/>
      <c r="T675" s="586"/>
      <c r="U675" s="371"/>
      <c r="V675" s="371"/>
      <c r="W675" s="371"/>
      <c r="X675" s="371"/>
      <c r="Y675" s="371"/>
      <c r="Z675" s="371"/>
      <c r="AA675" s="371"/>
      <c r="AB675" s="371"/>
      <c r="AC675" s="371"/>
      <c r="AD675" s="371"/>
      <c r="AE675" s="371"/>
      <c r="AF675" s="371"/>
      <c r="AG675" s="371"/>
      <c r="AH675" s="371"/>
      <c r="AI675" s="371"/>
      <c r="AJ675" s="371"/>
      <c r="AK675" s="371"/>
      <c r="AL675" s="371"/>
      <c r="AM675" s="370">
        <f t="shared" ref="AM675:AR675" si="124">SUM(AM676:AM724)</f>
        <v>87</v>
      </c>
      <c r="AN675" s="370">
        <f t="shared" si="124"/>
        <v>653</v>
      </c>
      <c r="AO675" s="370">
        <f t="shared" si="124"/>
        <v>0</v>
      </c>
      <c r="AP675" s="370">
        <f t="shared" si="124"/>
        <v>58</v>
      </c>
      <c r="AQ675" s="370">
        <f t="shared" si="124"/>
        <v>58</v>
      </c>
      <c r="AR675" s="370">
        <f t="shared" si="124"/>
        <v>1</v>
      </c>
      <c r="AS675" s="371"/>
      <c r="AT675" s="371"/>
      <c r="AU675" s="385"/>
      <c r="AV675" s="370">
        <f t="shared" ref="AV675:BC675" si="125">SUM(AV676:AV724)</f>
        <v>32</v>
      </c>
      <c r="AW675" s="370">
        <f t="shared" si="125"/>
        <v>377</v>
      </c>
      <c r="AX675" s="370">
        <f t="shared" si="125"/>
        <v>496</v>
      </c>
      <c r="AY675" s="370">
        <f t="shared" si="125"/>
        <v>409</v>
      </c>
      <c r="AZ675" s="370"/>
      <c r="BA675" s="370">
        <f t="shared" si="125"/>
        <v>357</v>
      </c>
      <c r="BB675" s="370">
        <f t="shared" si="125"/>
        <v>548</v>
      </c>
      <c r="BC675" s="371">
        <f t="shared" si="125"/>
        <v>8</v>
      </c>
      <c r="BD675" s="371"/>
      <c r="BE675" s="371">
        <v>2019</v>
      </c>
      <c r="BF675" s="371">
        <v>2020</v>
      </c>
    </row>
    <row r="676" spans="1:59" s="204" customFormat="1" ht="18" hidden="1" customHeight="1">
      <c r="A676" s="230" t="s">
        <v>512</v>
      </c>
      <c r="B676" s="58" t="s">
        <v>548</v>
      </c>
      <c r="C676" s="49" t="s">
        <v>293</v>
      </c>
      <c r="D676" s="33" t="s">
        <v>543</v>
      </c>
      <c r="E676" s="33"/>
      <c r="F676" s="33"/>
      <c r="G676" s="33"/>
      <c r="H676" s="30" t="s">
        <v>680</v>
      </c>
      <c r="I676" s="78">
        <v>2076</v>
      </c>
      <c r="J676" s="212">
        <v>41935</v>
      </c>
      <c r="K676" s="158"/>
      <c r="L676" s="158">
        <v>45</v>
      </c>
      <c r="M676" s="158"/>
      <c r="N676" s="158"/>
      <c r="O676" s="158"/>
      <c r="P676" s="158">
        <v>2414791861</v>
      </c>
      <c r="Q676" s="158"/>
      <c r="R676" s="158"/>
      <c r="S676" s="158"/>
      <c r="T676" s="586">
        <v>1011968447</v>
      </c>
      <c r="U676" s="158">
        <v>20</v>
      </c>
      <c r="V676" s="311"/>
      <c r="W676" s="311"/>
      <c r="X676" s="311"/>
      <c r="Y676" s="94">
        <v>1402823414</v>
      </c>
      <c r="Z676" s="158">
        <v>20</v>
      </c>
      <c r="AA676" s="5"/>
      <c r="AB676" s="5"/>
      <c r="AC676" s="5"/>
      <c r="AD676" s="158"/>
      <c r="AE676" s="158">
        <f>P676-T676-Y676</f>
        <v>0</v>
      </c>
      <c r="AF676" s="158"/>
      <c r="AG676" s="94">
        <v>0</v>
      </c>
      <c r="AH676" s="94"/>
      <c r="AI676" s="94"/>
      <c r="AJ676" s="158">
        <f t="shared" ref="AJ676" si="126">AE676+AG676</f>
        <v>0</v>
      </c>
      <c r="AK676" s="158"/>
      <c r="AL676" s="158">
        <v>20</v>
      </c>
      <c r="AM676" s="158"/>
      <c r="AN676" s="158"/>
      <c r="AO676" s="158"/>
      <c r="AP676" s="158"/>
      <c r="AQ676" s="158"/>
      <c r="AR676" s="158"/>
      <c r="AS676" s="98">
        <v>1</v>
      </c>
      <c r="AT676" s="58" t="s">
        <v>646</v>
      </c>
      <c r="AU676" s="386"/>
      <c r="AV676" s="158"/>
      <c r="AW676" s="158"/>
      <c r="AX676" s="158"/>
      <c r="AY676" s="158">
        <v>45</v>
      </c>
      <c r="AZ676" s="158"/>
      <c r="BA676" s="158"/>
      <c r="BB676" s="69">
        <v>45</v>
      </c>
      <c r="BC676" s="69"/>
      <c r="BD676" s="351">
        <v>2019</v>
      </c>
      <c r="BE676" s="351">
        <v>2019</v>
      </c>
      <c r="BF676" s="271"/>
      <c r="BG676" s="480"/>
    </row>
    <row r="677" spans="1:59" s="204" customFormat="1" ht="18" customHeight="1">
      <c r="A677" s="160" t="s">
        <v>512</v>
      </c>
      <c r="B677" s="58" t="s">
        <v>548</v>
      </c>
      <c r="C677" s="1" t="s">
        <v>293</v>
      </c>
      <c r="D677" s="33" t="s">
        <v>543</v>
      </c>
      <c r="E677" s="33"/>
      <c r="F677" s="33"/>
      <c r="G677" s="33"/>
      <c r="H677" s="30" t="s">
        <v>680</v>
      </c>
      <c r="I677" s="78">
        <v>2076</v>
      </c>
      <c r="J677" s="212">
        <v>41935</v>
      </c>
      <c r="K677" s="158"/>
      <c r="L677" s="158"/>
      <c r="M677" s="158">
        <v>4</v>
      </c>
      <c r="N677" s="158"/>
      <c r="O677" s="158">
        <v>4</v>
      </c>
      <c r="P677" s="158">
        <v>214648165</v>
      </c>
      <c r="Q677" s="158"/>
      <c r="R677" s="158"/>
      <c r="S677" s="158"/>
      <c r="T677" s="586">
        <v>95893751</v>
      </c>
      <c r="U677" s="158">
        <v>20</v>
      </c>
      <c r="V677" s="311"/>
      <c r="W677" s="311"/>
      <c r="X677" s="311"/>
      <c r="Y677" s="94"/>
      <c r="Z677" s="69"/>
      <c r="AA677" s="69"/>
      <c r="AB677" s="69"/>
      <c r="AC677" s="69"/>
      <c r="AD677" s="158"/>
      <c r="AE677" s="158">
        <f>P677-T677-Y677</f>
        <v>118754414</v>
      </c>
      <c r="AF677" s="158"/>
      <c r="AG677" s="94">
        <v>0</v>
      </c>
      <c r="AH677" s="94"/>
      <c r="AI677" s="94"/>
      <c r="AJ677" s="158">
        <f>AE677+AG677</f>
        <v>118754414</v>
      </c>
      <c r="AK677" s="158">
        <v>877</v>
      </c>
      <c r="AL677" s="158">
        <v>10</v>
      </c>
      <c r="AM677" s="158">
        <v>4</v>
      </c>
      <c r="AN677" s="158"/>
      <c r="AO677" s="158"/>
      <c r="AP677" s="158"/>
      <c r="AQ677" s="158"/>
      <c r="AR677" s="158"/>
      <c r="AS677" s="98">
        <v>0</v>
      </c>
      <c r="AT677" s="58" t="s">
        <v>521</v>
      </c>
      <c r="AU677" s="479" t="s">
        <v>1486</v>
      </c>
      <c r="AV677" s="158"/>
      <c r="AW677" s="158"/>
      <c r="AX677" s="158"/>
      <c r="AY677" s="158"/>
      <c r="AZ677" s="158"/>
      <c r="BA677" s="158"/>
      <c r="BB677" s="69"/>
      <c r="BC677" s="69"/>
      <c r="BD677" s="351"/>
      <c r="BE677" s="351">
        <v>2019</v>
      </c>
      <c r="BF677" s="271">
        <v>2020</v>
      </c>
      <c r="BG677" s="480"/>
    </row>
    <row r="678" spans="1:59" s="204" customFormat="1" ht="15" hidden="1" customHeight="1">
      <c r="A678" s="248" t="s">
        <v>512</v>
      </c>
      <c r="B678" s="58" t="s">
        <v>295</v>
      </c>
      <c r="C678" s="3" t="s">
        <v>294</v>
      </c>
      <c r="D678" s="33" t="s">
        <v>30</v>
      </c>
      <c r="E678" s="33"/>
      <c r="F678" s="33"/>
      <c r="G678" s="33"/>
      <c r="H678" s="30" t="s">
        <v>681</v>
      </c>
      <c r="I678" s="30"/>
      <c r="J678" s="212"/>
      <c r="K678" s="158"/>
      <c r="L678" s="158"/>
      <c r="M678" s="158"/>
      <c r="N678" s="158"/>
      <c r="O678" s="158"/>
      <c r="P678" s="158"/>
      <c r="Q678" s="158"/>
      <c r="R678" s="158"/>
      <c r="S678" s="158"/>
      <c r="T678" s="586"/>
      <c r="U678" s="158"/>
      <c r="V678" s="311"/>
      <c r="W678" s="311"/>
      <c r="X678" s="311"/>
      <c r="Y678" s="94"/>
      <c r="Z678" s="158"/>
      <c r="AA678" s="92"/>
      <c r="AB678" s="92"/>
      <c r="AC678" s="92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2">
        <v>1</v>
      </c>
      <c r="AT678" s="58" t="s">
        <v>646</v>
      </c>
      <c r="AU678" s="105"/>
      <c r="AV678" s="158"/>
      <c r="AW678" s="158">
        <v>144</v>
      </c>
      <c r="AX678" s="158"/>
      <c r="AY678" s="158"/>
      <c r="AZ678" s="158"/>
      <c r="BA678" s="158"/>
      <c r="BB678" s="69"/>
      <c r="BC678" s="69"/>
      <c r="BD678" s="351">
        <v>2017</v>
      </c>
      <c r="BE678" s="351"/>
      <c r="BF678" s="446"/>
      <c r="BG678" s="480"/>
    </row>
    <row r="679" spans="1:59" s="204" customFormat="1" ht="15" hidden="1" customHeight="1">
      <c r="A679" s="160" t="s">
        <v>512</v>
      </c>
      <c r="B679" s="58" t="s">
        <v>295</v>
      </c>
      <c r="C679" s="1" t="s">
        <v>294</v>
      </c>
      <c r="D679" s="33" t="s">
        <v>30</v>
      </c>
      <c r="E679" s="33"/>
      <c r="F679" s="33"/>
      <c r="G679" s="33"/>
      <c r="H679" s="30" t="s">
        <v>681</v>
      </c>
      <c r="I679" s="30"/>
      <c r="J679" s="212"/>
      <c r="K679" s="158"/>
      <c r="L679" s="158"/>
      <c r="M679" s="158"/>
      <c r="N679" s="158"/>
      <c r="O679" s="158"/>
      <c r="P679" s="158"/>
      <c r="Q679" s="300"/>
      <c r="R679" s="158"/>
      <c r="S679" s="158"/>
      <c r="T679" s="586"/>
      <c r="U679" s="158"/>
      <c r="V679" s="311"/>
      <c r="W679" s="311"/>
      <c r="X679" s="311"/>
      <c r="Y679" s="94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2">
        <v>0</v>
      </c>
      <c r="AT679" s="58" t="s">
        <v>687</v>
      </c>
      <c r="AU679" s="347" t="s">
        <v>1665</v>
      </c>
      <c r="AV679" s="158"/>
      <c r="AW679" s="158"/>
      <c r="AX679" s="158"/>
      <c r="AY679" s="158"/>
      <c r="AZ679" s="158"/>
      <c r="BA679" s="158"/>
      <c r="BB679" s="69"/>
      <c r="BC679" s="69">
        <v>7</v>
      </c>
      <c r="BD679" s="351" t="s">
        <v>1704</v>
      </c>
      <c r="BE679" s="351"/>
      <c r="BF679" s="446"/>
      <c r="BG679" s="480"/>
    </row>
    <row r="680" spans="1:59" s="204" customFormat="1" ht="15" hidden="1" customHeight="1">
      <c r="A680" s="160" t="s">
        <v>512</v>
      </c>
      <c r="B680" s="58" t="s">
        <v>295</v>
      </c>
      <c r="C680" s="1" t="s">
        <v>296</v>
      </c>
      <c r="D680" s="33" t="s">
        <v>165</v>
      </c>
      <c r="E680" s="33"/>
      <c r="F680" s="33"/>
      <c r="G680" s="33"/>
      <c r="H680" s="30" t="s">
        <v>682</v>
      </c>
      <c r="I680" s="115" t="s">
        <v>1693</v>
      </c>
      <c r="J680" s="212">
        <v>42689</v>
      </c>
      <c r="K680" s="158"/>
      <c r="L680" s="158"/>
      <c r="M680" s="158"/>
      <c r="N680" s="158"/>
      <c r="O680" s="158"/>
      <c r="P680" s="158">
        <f>5516629022-2867327101-330997742</f>
        <v>2318304179</v>
      </c>
      <c r="Q680" s="158"/>
      <c r="R680" s="158"/>
      <c r="S680" s="158"/>
      <c r="T680" s="586">
        <v>2166792839</v>
      </c>
      <c r="U680" s="158"/>
      <c r="V680" s="311"/>
      <c r="W680" s="311"/>
      <c r="X680" s="311"/>
      <c r="Y680" s="94">
        <v>151511340</v>
      </c>
      <c r="Z680" s="158">
        <v>20</v>
      </c>
      <c r="AA680" s="311">
        <v>43739</v>
      </c>
      <c r="AB680" s="311"/>
      <c r="AC680" s="158"/>
      <c r="AD680" s="158"/>
      <c r="AE680" s="158">
        <f>P680-T680-Y680</f>
        <v>0</v>
      </c>
      <c r="AF680" s="158"/>
      <c r="AG680" s="158"/>
      <c r="AH680" s="158"/>
      <c r="AI680" s="158"/>
      <c r="AJ680" s="158"/>
      <c r="AK680" s="158">
        <v>877</v>
      </c>
      <c r="AL680" s="158">
        <v>20</v>
      </c>
      <c r="AM680" s="158"/>
      <c r="AN680" s="158"/>
      <c r="AO680" s="158"/>
      <c r="AP680" s="158"/>
      <c r="AQ680" s="158"/>
      <c r="AR680" s="158"/>
      <c r="AS680" s="2">
        <v>1</v>
      </c>
      <c r="AT680" s="58" t="s">
        <v>646</v>
      </c>
      <c r="AU680" s="105"/>
      <c r="AV680" s="158" t="s">
        <v>0</v>
      </c>
      <c r="AW680" s="158">
        <v>42</v>
      </c>
      <c r="AX680" s="158"/>
      <c r="AY680" s="158"/>
      <c r="AZ680" s="158"/>
      <c r="BA680" s="158"/>
      <c r="BB680" s="69"/>
      <c r="BC680" s="69"/>
      <c r="BD680" s="351" t="s">
        <v>1707</v>
      </c>
      <c r="BE680" s="351" t="s">
        <v>1707</v>
      </c>
      <c r="BF680" s="271"/>
      <c r="BG680" s="480"/>
    </row>
    <row r="681" spans="1:59" s="204" customFormat="1" ht="18" customHeight="1">
      <c r="A681" s="160" t="s">
        <v>512</v>
      </c>
      <c r="B681" s="58" t="s">
        <v>295</v>
      </c>
      <c r="C681" s="1" t="s">
        <v>296</v>
      </c>
      <c r="D681" s="33" t="s">
        <v>165</v>
      </c>
      <c r="E681" s="33"/>
      <c r="F681" s="33"/>
      <c r="G681" s="33"/>
      <c r="H681" s="30" t="s">
        <v>682</v>
      </c>
      <c r="I681" s="115" t="s">
        <v>1693</v>
      </c>
      <c r="J681" s="212">
        <v>42689</v>
      </c>
      <c r="K681" s="158"/>
      <c r="L681" s="158"/>
      <c r="M681" s="158">
        <v>52</v>
      </c>
      <c r="N681" s="158"/>
      <c r="O681" s="158">
        <v>52</v>
      </c>
      <c r="P681" s="158">
        <v>2867327101</v>
      </c>
      <c r="Q681" s="158"/>
      <c r="R681" s="158"/>
      <c r="S681" s="158"/>
      <c r="T681" s="586"/>
      <c r="U681" s="158"/>
      <c r="V681" s="311"/>
      <c r="W681" s="311"/>
      <c r="X681" s="311"/>
      <c r="Y681" s="94"/>
      <c r="Z681" s="158"/>
      <c r="AA681" s="158"/>
      <c r="AB681" s="158"/>
      <c r="AC681" s="158">
        <v>2867327101</v>
      </c>
      <c r="AD681" s="158"/>
      <c r="AE681" s="158">
        <f>P681-T681-Y681-AC681</f>
        <v>0</v>
      </c>
      <c r="AF681" s="158"/>
      <c r="AG681" s="94">
        <v>0</v>
      </c>
      <c r="AH681" s="94"/>
      <c r="AI681" s="94"/>
      <c r="AJ681" s="158">
        <f t="shared" ref="AJ681" si="127">AE681+AG681</f>
        <v>0</v>
      </c>
      <c r="AK681" s="158">
        <v>877</v>
      </c>
      <c r="AL681" s="158">
        <v>10</v>
      </c>
      <c r="AM681" s="158"/>
      <c r="AN681" s="158"/>
      <c r="AO681" s="158"/>
      <c r="AP681" s="158">
        <v>52</v>
      </c>
      <c r="AQ681" s="158"/>
      <c r="AR681" s="158"/>
      <c r="AS681" s="2">
        <v>0.44679999999999997</v>
      </c>
      <c r="AT681" s="58" t="s">
        <v>942</v>
      </c>
      <c r="AU681" s="386" t="s">
        <v>1124</v>
      </c>
      <c r="AV681" s="158"/>
      <c r="AW681" s="158"/>
      <c r="AX681" s="158"/>
      <c r="AY681" s="158"/>
      <c r="AZ681" s="158"/>
      <c r="BA681" s="158"/>
      <c r="BB681" s="69"/>
      <c r="BC681" s="69"/>
      <c r="BD681" s="271"/>
      <c r="BE681" s="271">
        <v>2019</v>
      </c>
      <c r="BF681" s="271">
        <v>2020</v>
      </c>
    </row>
    <row r="682" spans="1:59" s="204" customFormat="1" ht="18" customHeight="1">
      <c r="A682" s="160" t="s">
        <v>512</v>
      </c>
      <c r="B682" s="58" t="s">
        <v>295</v>
      </c>
      <c r="C682" s="1" t="s">
        <v>296</v>
      </c>
      <c r="D682" s="33" t="s">
        <v>165</v>
      </c>
      <c r="E682" s="33"/>
      <c r="F682" s="33"/>
      <c r="G682" s="33"/>
      <c r="H682" s="30" t="s">
        <v>682</v>
      </c>
      <c r="I682" s="30">
        <v>2469</v>
      </c>
      <c r="J682" s="212">
        <v>42689</v>
      </c>
      <c r="K682" s="158"/>
      <c r="L682" s="158"/>
      <c r="M682" s="158">
        <v>6</v>
      </c>
      <c r="N682" s="158"/>
      <c r="O682" s="158">
        <v>6</v>
      </c>
      <c r="P682" s="158">
        <v>330997742</v>
      </c>
      <c r="Q682" s="158"/>
      <c r="R682" s="158"/>
      <c r="S682" s="158"/>
      <c r="T682" s="586"/>
      <c r="U682" s="158"/>
      <c r="V682" s="311"/>
      <c r="W682" s="311"/>
      <c r="X682" s="311"/>
      <c r="Y682" s="94"/>
      <c r="Z682" s="158"/>
      <c r="AA682" s="158"/>
      <c r="AB682" s="158"/>
      <c r="AC682" s="158">
        <v>330997742</v>
      </c>
      <c r="AD682" s="158"/>
      <c r="AE682" s="158">
        <f>P682-T682-Y682-AC682</f>
        <v>0</v>
      </c>
      <c r="AF682" s="158"/>
      <c r="AG682" s="94">
        <v>0</v>
      </c>
      <c r="AH682" s="94"/>
      <c r="AI682" s="94"/>
      <c r="AJ682" s="158">
        <f>AE682+AG682</f>
        <v>0</v>
      </c>
      <c r="AK682" s="158">
        <v>877</v>
      </c>
      <c r="AL682" s="158">
        <v>10</v>
      </c>
      <c r="AM682" s="158"/>
      <c r="AN682" s="158"/>
      <c r="AO682" s="158"/>
      <c r="AP682" s="158">
        <v>6</v>
      </c>
      <c r="AQ682" s="158"/>
      <c r="AR682" s="158"/>
      <c r="AS682" s="2">
        <v>0.44679999999999997</v>
      </c>
      <c r="AT682" s="58" t="s">
        <v>942</v>
      </c>
      <c r="AU682" s="386" t="s">
        <v>1124</v>
      </c>
      <c r="AV682" s="158" t="s">
        <v>0</v>
      </c>
      <c r="AW682" s="158"/>
      <c r="AX682" s="158"/>
      <c r="AY682" s="158"/>
      <c r="AZ682" s="158"/>
      <c r="BA682" s="158"/>
      <c r="BB682" s="69"/>
      <c r="BC682" s="69"/>
      <c r="BD682" s="271"/>
      <c r="BE682" s="271">
        <v>2019</v>
      </c>
      <c r="BF682" s="271">
        <v>2020</v>
      </c>
    </row>
    <row r="683" spans="1:59" s="204" customFormat="1" ht="15" hidden="1" customHeight="1">
      <c r="A683" s="160" t="s">
        <v>512</v>
      </c>
      <c r="B683" s="58" t="s">
        <v>298</v>
      </c>
      <c r="C683" s="1" t="s">
        <v>297</v>
      </c>
      <c r="D683" s="33" t="s">
        <v>67</v>
      </c>
      <c r="E683" s="33"/>
      <c r="F683" s="33"/>
      <c r="G683" s="33"/>
      <c r="H683" s="30" t="s">
        <v>682</v>
      </c>
      <c r="I683" s="30"/>
      <c r="J683" s="212"/>
      <c r="K683" s="158"/>
      <c r="L683" s="158"/>
      <c r="M683" s="158"/>
      <c r="N683" s="158"/>
      <c r="O683" s="158"/>
      <c r="P683" s="158"/>
      <c r="Q683" s="158"/>
      <c r="R683" s="158"/>
      <c r="S683" s="158"/>
      <c r="T683" s="586"/>
      <c r="U683" s="158"/>
      <c r="V683" s="311"/>
      <c r="W683" s="311"/>
      <c r="X683" s="311"/>
      <c r="Y683" s="94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2">
        <v>1</v>
      </c>
      <c r="AT683" s="58" t="s">
        <v>646</v>
      </c>
      <c r="AU683" s="105"/>
      <c r="AV683" s="158" t="s">
        <v>0</v>
      </c>
      <c r="AW683" s="158">
        <v>43</v>
      </c>
      <c r="AX683" s="158"/>
      <c r="AY683" s="158"/>
      <c r="AZ683" s="158"/>
      <c r="BA683" s="158"/>
      <c r="BB683" s="69"/>
      <c r="BC683" s="69"/>
      <c r="BD683" s="271">
        <v>2017</v>
      </c>
      <c r="BE683" s="271"/>
      <c r="BF683" s="268"/>
    </row>
    <row r="684" spans="1:59" s="204" customFormat="1" ht="15" hidden="1" customHeight="1">
      <c r="A684" s="160" t="s">
        <v>512</v>
      </c>
      <c r="B684" s="58" t="s">
        <v>298</v>
      </c>
      <c r="C684" s="1" t="s">
        <v>297</v>
      </c>
      <c r="D684" s="33" t="s">
        <v>67</v>
      </c>
      <c r="E684" s="33"/>
      <c r="F684" s="33"/>
      <c r="G684" s="33"/>
      <c r="H684" s="30" t="s">
        <v>682</v>
      </c>
      <c r="I684" s="30"/>
      <c r="J684" s="212"/>
      <c r="K684" s="158"/>
      <c r="L684" s="158"/>
      <c r="M684" s="158"/>
      <c r="N684" s="158"/>
      <c r="O684" s="158"/>
      <c r="P684" s="158"/>
      <c r="Q684" s="158"/>
      <c r="R684" s="158"/>
      <c r="S684" s="158"/>
      <c r="T684" s="586"/>
      <c r="U684" s="158"/>
      <c r="V684" s="311"/>
      <c r="W684" s="311"/>
      <c r="X684" s="311"/>
      <c r="Y684" s="94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2">
        <v>1</v>
      </c>
      <c r="AT684" s="58" t="s">
        <v>646</v>
      </c>
      <c r="AU684" s="105" t="s">
        <v>637</v>
      </c>
      <c r="AV684" s="158"/>
      <c r="AW684" s="158"/>
      <c r="AX684" s="158">
        <v>6</v>
      </c>
      <c r="AY684" s="158"/>
      <c r="AZ684" s="158"/>
      <c r="BA684" s="158">
        <v>6</v>
      </c>
      <c r="BB684" s="69"/>
      <c r="BC684" s="69"/>
      <c r="BD684" s="271">
        <v>2018</v>
      </c>
      <c r="BE684" s="271"/>
      <c r="BF684" s="268"/>
    </row>
    <row r="685" spans="1:59" s="204" customFormat="1" ht="15" hidden="1" customHeight="1">
      <c r="A685" s="160" t="s">
        <v>512</v>
      </c>
      <c r="B685" s="58" t="s">
        <v>298</v>
      </c>
      <c r="C685" s="1" t="s">
        <v>297</v>
      </c>
      <c r="D685" s="33" t="s">
        <v>67</v>
      </c>
      <c r="E685" s="33"/>
      <c r="F685" s="33"/>
      <c r="G685" s="33"/>
      <c r="H685" s="30" t="s">
        <v>682</v>
      </c>
      <c r="I685" s="30"/>
      <c r="J685" s="212"/>
      <c r="K685" s="158"/>
      <c r="L685" s="158"/>
      <c r="M685" s="158"/>
      <c r="N685" s="158"/>
      <c r="O685" s="158"/>
      <c r="P685" s="158"/>
      <c r="Q685" s="158"/>
      <c r="R685" s="158"/>
      <c r="S685" s="158"/>
      <c r="T685" s="586"/>
      <c r="U685" s="158"/>
      <c r="V685" s="311"/>
      <c r="W685" s="311"/>
      <c r="X685" s="311"/>
      <c r="Y685" s="94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2">
        <v>1</v>
      </c>
      <c r="AT685" s="58" t="s">
        <v>646</v>
      </c>
      <c r="AU685" s="105"/>
      <c r="AV685" s="158" t="s">
        <v>0</v>
      </c>
      <c r="AW685" s="158"/>
      <c r="AX685" s="158">
        <v>44</v>
      </c>
      <c r="AY685" s="158"/>
      <c r="AZ685" s="158"/>
      <c r="BA685" s="158">
        <v>44</v>
      </c>
      <c r="BB685" s="69"/>
      <c r="BC685" s="69"/>
      <c r="BD685" s="271">
        <v>2018</v>
      </c>
      <c r="BE685" s="271"/>
      <c r="BF685" s="268"/>
    </row>
    <row r="686" spans="1:59" s="204" customFormat="1" ht="24" customHeight="1">
      <c r="A686" s="230" t="s">
        <v>512</v>
      </c>
      <c r="B686" s="58" t="s">
        <v>295</v>
      </c>
      <c r="C686" s="49" t="s">
        <v>299</v>
      </c>
      <c r="D686" s="33" t="s">
        <v>170</v>
      </c>
      <c r="E686" s="33"/>
      <c r="F686" s="33"/>
      <c r="G686" s="33"/>
      <c r="H686" s="30" t="s">
        <v>682</v>
      </c>
      <c r="I686" s="30">
        <v>2470</v>
      </c>
      <c r="J686" s="215" t="s">
        <v>1701</v>
      </c>
      <c r="K686" s="158"/>
      <c r="L686" s="158"/>
      <c r="M686" s="158">
        <v>58</v>
      </c>
      <c r="N686" s="158"/>
      <c r="O686" s="158">
        <v>58</v>
      </c>
      <c r="P686" s="158">
        <v>3175799827</v>
      </c>
      <c r="Q686" s="158"/>
      <c r="R686" s="158"/>
      <c r="S686" s="158"/>
      <c r="T686" s="586">
        <v>1428668804</v>
      </c>
      <c r="U686" s="158">
        <v>20</v>
      </c>
      <c r="V686" s="311"/>
      <c r="W686" s="311"/>
      <c r="X686" s="311"/>
      <c r="Y686" s="158">
        <v>1747131023</v>
      </c>
      <c r="Z686" s="158">
        <v>20</v>
      </c>
      <c r="AA686" s="5"/>
      <c r="AB686" s="5"/>
      <c r="AC686" s="5"/>
      <c r="AD686" s="158"/>
      <c r="AE686" s="158">
        <f>P686-T686-Y686</f>
        <v>0</v>
      </c>
      <c r="AF686" s="158"/>
      <c r="AG686" s="94">
        <v>0</v>
      </c>
      <c r="AH686" s="94"/>
      <c r="AI686" s="94"/>
      <c r="AJ686" s="158">
        <f t="shared" ref="AJ686:AJ687" si="128">AE686+AG686</f>
        <v>0</v>
      </c>
      <c r="AK686" s="158">
        <v>877</v>
      </c>
      <c r="AL686" s="158">
        <v>20</v>
      </c>
      <c r="AM686" s="158"/>
      <c r="AN686" s="158"/>
      <c r="AO686" s="158"/>
      <c r="AP686" s="158"/>
      <c r="AQ686" s="158">
        <v>58</v>
      </c>
      <c r="AR686" s="158"/>
      <c r="AS686" s="2">
        <v>0.76980000000000004</v>
      </c>
      <c r="AT686" s="58" t="s">
        <v>986</v>
      </c>
      <c r="AU686" s="386"/>
      <c r="AV686" s="158" t="s">
        <v>0</v>
      </c>
      <c r="AW686" s="158"/>
      <c r="AX686" s="158"/>
      <c r="AY686" s="158"/>
      <c r="AZ686" s="158"/>
      <c r="BA686" s="158"/>
      <c r="BB686" s="69"/>
      <c r="BC686" s="69"/>
      <c r="BD686" s="271"/>
      <c r="BE686" s="271">
        <v>2019</v>
      </c>
      <c r="BF686" s="271">
        <v>2020</v>
      </c>
    </row>
    <row r="687" spans="1:59" s="204" customFormat="1" ht="26.25" customHeight="1">
      <c r="A687" s="160" t="s">
        <v>512</v>
      </c>
      <c r="B687" s="58" t="s">
        <v>295</v>
      </c>
      <c r="C687" s="1" t="s">
        <v>299</v>
      </c>
      <c r="D687" s="33" t="s">
        <v>170</v>
      </c>
      <c r="E687" s="33"/>
      <c r="F687" s="33"/>
      <c r="G687" s="33"/>
      <c r="H687" s="30" t="s">
        <v>682</v>
      </c>
      <c r="I687" s="78">
        <v>2470</v>
      </c>
      <c r="J687" s="212">
        <v>42709</v>
      </c>
      <c r="K687" s="158"/>
      <c r="L687" s="158"/>
      <c r="M687" s="158">
        <v>2</v>
      </c>
      <c r="N687" s="158">
        <v>2</v>
      </c>
      <c r="O687" s="158"/>
      <c r="P687" s="158">
        <v>109510339</v>
      </c>
      <c r="Q687" s="158"/>
      <c r="R687" s="158"/>
      <c r="S687" s="158"/>
      <c r="T687" s="586">
        <v>49279653</v>
      </c>
      <c r="U687" s="158">
        <v>10</v>
      </c>
      <c r="V687" s="311">
        <v>43497</v>
      </c>
      <c r="W687" s="311"/>
      <c r="X687" s="311"/>
      <c r="Y687" s="94"/>
      <c r="Z687" s="69"/>
      <c r="AA687" s="69"/>
      <c r="AB687" s="69"/>
      <c r="AC687" s="69"/>
      <c r="AD687" s="158"/>
      <c r="AE687" s="158">
        <f>P687-T687-Y687</f>
        <v>60230686</v>
      </c>
      <c r="AF687" s="158"/>
      <c r="AG687" s="94">
        <v>0</v>
      </c>
      <c r="AH687" s="94"/>
      <c r="AI687" s="94"/>
      <c r="AJ687" s="158">
        <f t="shared" si="128"/>
        <v>60230686</v>
      </c>
      <c r="AK687" s="158">
        <v>877</v>
      </c>
      <c r="AL687" s="158">
        <v>20</v>
      </c>
      <c r="AM687" s="158">
        <v>2</v>
      </c>
      <c r="AN687" s="158"/>
      <c r="AO687" s="158"/>
      <c r="AP687" s="158"/>
      <c r="AQ687" s="158"/>
      <c r="AR687" s="158"/>
      <c r="AS687" s="2">
        <v>0</v>
      </c>
      <c r="AT687" s="58" t="s">
        <v>521</v>
      </c>
      <c r="AU687" s="386"/>
      <c r="AV687" s="158" t="s">
        <v>0</v>
      </c>
      <c r="AW687" s="158"/>
      <c r="AX687" s="158"/>
      <c r="AY687" s="158"/>
      <c r="AZ687" s="158"/>
      <c r="BA687" s="158"/>
      <c r="BB687" s="69"/>
      <c r="BC687" s="69"/>
      <c r="BD687" s="271"/>
      <c r="BE687" s="271">
        <v>2019</v>
      </c>
      <c r="BF687" s="271">
        <v>2020</v>
      </c>
    </row>
    <row r="688" spans="1:59" s="204" customFormat="1" ht="15" hidden="1" customHeight="1">
      <c r="A688" s="248" t="s">
        <v>512</v>
      </c>
      <c r="B688" s="58" t="s">
        <v>548</v>
      </c>
      <c r="C688" s="251" t="s">
        <v>300</v>
      </c>
      <c r="D688" s="33" t="s">
        <v>40</v>
      </c>
      <c r="E688" s="33"/>
      <c r="F688" s="33"/>
      <c r="G688" s="33"/>
      <c r="H688" s="30"/>
      <c r="I688" s="30"/>
      <c r="J688" s="212"/>
      <c r="K688" s="158"/>
      <c r="L688" s="158"/>
      <c r="M688" s="158"/>
      <c r="N688" s="158"/>
      <c r="O688" s="158"/>
      <c r="P688" s="158"/>
      <c r="Q688" s="158"/>
      <c r="R688" s="158"/>
      <c r="S688" s="158"/>
      <c r="T688" s="586"/>
      <c r="U688" s="158"/>
      <c r="V688" s="311"/>
      <c r="W688" s="311"/>
      <c r="X688" s="311"/>
      <c r="Y688" s="94"/>
      <c r="Z688" s="158"/>
      <c r="AA688" s="92"/>
      <c r="AB688" s="92"/>
      <c r="AC688" s="92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2"/>
      <c r="AT688" s="58"/>
      <c r="AU688" s="105"/>
      <c r="AV688" s="158">
        <v>32</v>
      </c>
      <c r="AW688" s="158"/>
      <c r="AX688" s="158"/>
      <c r="AY688" s="158"/>
      <c r="AZ688" s="158"/>
      <c r="BA688" s="158"/>
      <c r="BB688" s="69"/>
      <c r="BC688" s="69"/>
      <c r="BD688" s="271">
        <v>2016</v>
      </c>
      <c r="BE688" s="271"/>
      <c r="BF688" s="268"/>
    </row>
    <row r="689" spans="1:58" s="204" customFormat="1" ht="15" hidden="1" customHeight="1">
      <c r="A689" s="160" t="s">
        <v>512</v>
      </c>
      <c r="B689" s="58" t="s">
        <v>295</v>
      </c>
      <c r="C689" s="58" t="s">
        <v>708</v>
      </c>
      <c r="D689" s="33" t="s">
        <v>302</v>
      </c>
      <c r="E689" s="33"/>
      <c r="F689" s="33"/>
      <c r="G689" s="33"/>
      <c r="H689" s="30" t="s">
        <v>681</v>
      </c>
      <c r="I689" s="30"/>
      <c r="J689" s="212"/>
      <c r="K689" s="158"/>
      <c r="L689" s="158"/>
      <c r="M689" s="158"/>
      <c r="N689" s="158"/>
      <c r="O689" s="158"/>
      <c r="P689" s="158"/>
      <c r="Q689" s="158"/>
      <c r="R689" s="158"/>
      <c r="S689" s="158"/>
      <c r="T689" s="586"/>
      <c r="U689" s="158"/>
      <c r="V689" s="311"/>
      <c r="W689" s="311"/>
      <c r="X689" s="311"/>
      <c r="Y689" s="94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2">
        <v>1</v>
      </c>
      <c r="AT689" s="58" t="s">
        <v>646</v>
      </c>
      <c r="AU689" s="105"/>
      <c r="AV689" s="2"/>
      <c r="AW689" s="158">
        <v>34</v>
      </c>
      <c r="AX689" s="158"/>
      <c r="AY689" s="158"/>
      <c r="AZ689" s="158"/>
      <c r="BA689" s="158"/>
      <c r="BB689" s="69"/>
      <c r="BC689" s="69"/>
      <c r="BD689" s="271">
        <v>2017</v>
      </c>
      <c r="BE689" s="271"/>
      <c r="BF689" s="268"/>
    </row>
    <row r="690" spans="1:58" s="204" customFormat="1" ht="15" hidden="1" customHeight="1">
      <c r="A690" s="160" t="s">
        <v>512</v>
      </c>
      <c r="B690" s="58" t="s">
        <v>548</v>
      </c>
      <c r="C690" s="58" t="s">
        <v>301</v>
      </c>
      <c r="D690" s="33" t="s">
        <v>67</v>
      </c>
      <c r="E690" s="33"/>
      <c r="F690" s="33"/>
      <c r="G690" s="33"/>
      <c r="H690" s="30" t="s">
        <v>683</v>
      </c>
      <c r="I690" s="30"/>
      <c r="J690" s="212"/>
      <c r="K690" s="158"/>
      <c r="L690" s="158"/>
      <c r="M690" s="158"/>
      <c r="N690" s="158"/>
      <c r="O690" s="158"/>
      <c r="P690" s="158"/>
      <c r="Q690" s="158"/>
      <c r="R690" s="158"/>
      <c r="S690" s="158"/>
      <c r="T690" s="586"/>
      <c r="U690" s="158"/>
      <c r="V690" s="311"/>
      <c r="W690" s="311"/>
      <c r="X690" s="311"/>
      <c r="Y690" s="94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1"/>
      <c r="AP690" s="11"/>
      <c r="AQ690" s="11"/>
      <c r="AR690" s="158"/>
      <c r="AS690" s="2">
        <v>1</v>
      </c>
      <c r="AT690" s="58" t="s">
        <v>646</v>
      </c>
      <c r="AU690" s="105" t="s">
        <v>679</v>
      </c>
      <c r="AV690" s="158"/>
      <c r="AW690" s="158">
        <v>36</v>
      </c>
      <c r="AX690" s="11"/>
      <c r="AY690" s="11"/>
      <c r="AZ690" s="11"/>
      <c r="BA690" s="11"/>
      <c r="BB690" s="70"/>
      <c r="BC690" s="70"/>
      <c r="BD690" s="271">
        <v>2017</v>
      </c>
      <c r="BE690" s="271"/>
      <c r="BF690" s="268"/>
    </row>
    <row r="691" spans="1:58" s="204" customFormat="1" ht="15" hidden="1" customHeight="1">
      <c r="A691" s="160" t="s">
        <v>512</v>
      </c>
      <c r="B691" s="58" t="s">
        <v>548</v>
      </c>
      <c r="C691" s="58" t="s">
        <v>303</v>
      </c>
      <c r="D691" s="33" t="s">
        <v>67</v>
      </c>
      <c r="E691" s="33"/>
      <c r="F691" s="33"/>
      <c r="G691" s="33"/>
      <c r="H691" s="30" t="s">
        <v>683</v>
      </c>
      <c r="I691" s="30"/>
      <c r="J691" s="212"/>
      <c r="K691" s="158"/>
      <c r="L691" s="158"/>
      <c r="M691" s="158"/>
      <c r="N691" s="158"/>
      <c r="O691" s="158"/>
      <c r="P691" s="158"/>
      <c r="Q691" s="158"/>
      <c r="R691" s="158"/>
      <c r="S691" s="158"/>
      <c r="T691" s="586"/>
      <c r="U691" s="158"/>
      <c r="V691" s="311"/>
      <c r="W691" s="311"/>
      <c r="X691" s="311"/>
      <c r="Y691" s="94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2">
        <v>1</v>
      </c>
      <c r="AT691" s="58" t="s">
        <v>646</v>
      </c>
      <c r="AU691" s="105"/>
      <c r="AV691" s="158"/>
      <c r="AW691" s="11">
        <v>39</v>
      </c>
      <c r="AX691" s="158"/>
      <c r="AY691" s="158"/>
      <c r="AZ691" s="158"/>
      <c r="BA691" s="158"/>
      <c r="BB691" s="69"/>
      <c r="BC691" s="69"/>
      <c r="BD691" s="271">
        <v>2017</v>
      </c>
      <c r="BE691" s="271"/>
      <c r="BF691" s="268"/>
    </row>
    <row r="692" spans="1:58" s="204" customFormat="1" ht="15" hidden="1" customHeight="1">
      <c r="A692" s="160" t="s">
        <v>512</v>
      </c>
      <c r="B692" s="58" t="s">
        <v>548</v>
      </c>
      <c r="C692" s="1" t="s">
        <v>303</v>
      </c>
      <c r="D692" s="33" t="s">
        <v>67</v>
      </c>
      <c r="E692" s="33"/>
      <c r="F692" s="33"/>
      <c r="G692" s="33"/>
      <c r="H692" s="30" t="s">
        <v>683</v>
      </c>
      <c r="I692" s="30"/>
      <c r="J692" s="212"/>
      <c r="K692" s="158"/>
      <c r="L692" s="158"/>
      <c r="M692" s="158"/>
      <c r="N692" s="158"/>
      <c r="O692" s="158"/>
      <c r="P692" s="158"/>
      <c r="Q692" s="158"/>
      <c r="R692" s="158"/>
      <c r="S692" s="158"/>
      <c r="T692" s="586"/>
      <c r="U692" s="158"/>
      <c r="V692" s="311"/>
      <c r="W692" s="311"/>
      <c r="X692" s="311"/>
      <c r="Y692" s="94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2">
        <v>1</v>
      </c>
      <c r="AT692" s="58" t="s">
        <v>646</v>
      </c>
      <c r="AU692" s="105"/>
      <c r="AV692" s="158"/>
      <c r="AW692" s="158"/>
      <c r="AX692" s="12">
        <v>45</v>
      </c>
      <c r="AY692" s="158"/>
      <c r="AZ692" s="158"/>
      <c r="BA692" s="11">
        <v>45</v>
      </c>
      <c r="BB692" s="70"/>
      <c r="BC692" s="70"/>
      <c r="BD692" s="271">
        <v>2018</v>
      </c>
      <c r="BE692" s="271"/>
      <c r="BF692" s="268"/>
    </row>
    <row r="693" spans="1:58" s="204" customFormat="1" ht="15" hidden="1" customHeight="1">
      <c r="A693" s="160" t="s">
        <v>512</v>
      </c>
      <c r="B693" s="58" t="s">
        <v>1008</v>
      </c>
      <c r="C693" s="1" t="s">
        <v>304</v>
      </c>
      <c r="D693" s="33" t="s">
        <v>16</v>
      </c>
      <c r="E693" s="33"/>
      <c r="F693" s="33"/>
      <c r="G693" s="33"/>
      <c r="H693" s="30" t="s">
        <v>683</v>
      </c>
      <c r="I693" s="30"/>
      <c r="J693" s="212"/>
      <c r="K693" s="158"/>
      <c r="L693" s="158"/>
      <c r="M693" s="158"/>
      <c r="N693" s="158"/>
      <c r="O693" s="158"/>
      <c r="P693" s="158"/>
      <c r="Q693" s="158"/>
      <c r="R693" s="158"/>
      <c r="S693" s="158"/>
      <c r="T693" s="586"/>
      <c r="U693" s="158"/>
      <c r="V693" s="311"/>
      <c r="W693" s="311"/>
      <c r="X693" s="311"/>
      <c r="Y693" s="94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2">
        <v>1</v>
      </c>
      <c r="AT693" s="58" t="s">
        <v>646</v>
      </c>
      <c r="AU693" s="105"/>
      <c r="AV693" s="158"/>
      <c r="AW693" s="158">
        <v>39</v>
      </c>
      <c r="AX693" s="12"/>
      <c r="AY693" s="158"/>
      <c r="AZ693" s="158"/>
      <c r="BA693" s="158"/>
      <c r="BB693" s="69"/>
      <c r="BC693" s="69"/>
      <c r="BD693" s="271">
        <v>2017</v>
      </c>
      <c r="BE693" s="271"/>
      <c r="BF693" s="268"/>
    </row>
    <row r="694" spans="1:58" s="204" customFormat="1" ht="15" hidden="1" customHeight="1">
      <c r="A694" s="160" t="s">
        <v>512</v>
      </c>
      <c r="B694" s="58" t="s">
        <v>1008</v>
      </c>
      <c r="C694" s="1" t="s">
        <v>304</v>
      </c>
      <c r="D694" s="33" t="s">
        <v>16</v>
      </c>
      <c r="E694" s="33"/>
      <c r="F694" s="33"/>
      <c r="G694" s="33"/>
      <c r="H694" s="30" t="s">
        <v>683</v>
      </c>
      <c r="I694" s="30"/>
      <c r="J694" s="212"/>
      <c r="K694" s="158"/>
      <c r="L694" s="158"/>
      <c r="M694" s="158"/>
      <c r="N694" s="158"/>
      <c r="O694" s="158"/>
      <c r="P694" s="158"/>
      <c r="Q694" s="158"/>
      <c r="R694" s="158"/>
      <c r="S694" s="158"/>
      <c r="T694" s="586"/>
      <c r="U694" s="158"/>
      <c r="V694" s="311"/>
      <c r="W694" s="311"/>
      <c r="X694" s="311"/>
      <c r="Y694" s="94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2">
        <v>1</v>
      </c>
      <c r="AT694" s="58" t="s">
        <v>646</v>
      </c>
      <c r="AU694" s="105"/>
      <c r="AV694" s="158"/>
      <c r="AW694" s="158"/>
      <c r="AX694" s="12">
        <v>1</v>
      </c>
      <c r="AY694" s="158"/>
      <c r="AZ694" s="158"/>
      <c r="BA694" s="158">
        <v>1</v>
      </c>
      <c r="BB694" s="69"/>
      <c r="BC694" s="69"/>
      <c r="BD694" s="271">
        <v>2018</v>
      </c>
      <c r="BE694" s="271"/>
      <c r="BF694" s="268"/>
    </row>
    <row r="695" spans="1:58" s="204" customFormat="1" ht="15" hidden="1" customHeight="1">
      <c r="A695" s="160" t="s">
        <v>512</v>
      </c>
      <c r="B695" s="58" t="s">
        <v>548</v>
      </c>
      <c r="C695" s="58" t="s">
        <v>1084</v>
      </c>
      <c r="D695" s="33" t="s">
        <v>30</v>
      </c>
      <c r="E695" s="33"/>
      <c r="F695" s="33"/>
      <c r="G695" s="33"/>
      <c r="H695" s="30" t="s">
        <v>630</v>
      </c>
      <c r="I695" s="30"/>
      <c r="J695" s="212"/>
      <c r="K695" s="158"/>
      <c r="L695" s="158"/>
      <c r="M695" s="158"/>
      <c r="N695" s="158"/>
      <c r="O695" s="158"/>
      <c r="P695" s="158"/>
      <c r="Q695" s="158"/>
      <c r="R695" s="158"/>
      <c r="S695" s="158"/>
      <c r="T695" s="586"/>
      <c r="U695" s="158"/>
      <c r="V695" s="311"/>
      <c r="W695" s="311"/>
      <c r="X695" s="311"/>
      <c r="Y695" s="94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2">
        <v>1</v>
      </c>
      <c r="AT695" s="58" t="s">
        <v>646</v>
      </c>
      <c r="AU695" s="105"/>
      <c r="AV695" s="158"/>
      <c r="AW695" s="158"/>
      <c r="AX695" s="12">
        <v>94</v>
      </c>
      <c r="AY695" s="158"/>
      <c r="AZ695" s="158"/>
      <c r="BA695" s="158">
        <v>94</v>
      </c>
      <c r="BB695" s="69"/>
      <c r="BC695" s="69"/>
      <c r="BD695" s="271">
        <v>2018</v>
      </c>
      <c r="BE695" s="271"/>
      <c r="BF695" s="268"/>
    </row>
    <row r="696" spans="1:58" s="204" customFormat="1" ht="15" hidden="1" customHeight="1">
      <c r="A696" s="160" t="s">
        <v>512</v>
      </c>
      <c r="B696" s="58" t="s">
        <v>928</v>
      </c>
      <c r="C696" s="148" t="s">
        <v>1055</v>
      </c>
      <c r="D696" s="33" t="s">
        <v>782</v>
      </c>
      <c r="E696" s="33"/>
      <c r="F696" s="33"/>
      <c r="G696" s="33"/>
      <c r="H696" s="30" t="s">
        <v>630</v>
      </c>
      <c r="I696" s="30"/>
      <c r="J696" s="212"/>
      <c r="K696" s="158"/>
      <c r="L696" s="158"/>
      <c r="M696" s="158"/>
      <c r="N696" s="158"/>
      <c r="O696" s="158"/>
      <c r="P696" s="158"/>
      <c r="Q696" s="158"/>
      <c r="R696" s="158"/>
      <c r="S696" s="158"/>
      <c r="T696" s="586"/>
      <c r="U696" s="158"/>
      <c r="V696" s="311"/>
      <c r="W696" s="311"/>
      <c r="X696" s="311"/>
      <c r="Y696" s="94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2">
        <v>1</v>
      </c>
      <c r="AT696" s="58" t="s">
        <v>646</v>
      </c>
      <c r="AU696" s="105"/>
      <c r="AV696" s="51"/>
      <c r="AW696" s="158"/>
      <c r="AX696" s="12">
        <v>57</v>
      </c>
      <c r="AY696" s="158"/>
      <c r="AZ696" s="158"/>
      <c r="BA696" s="11">
        <v>57</v>
      </c>
      <c r="BB696" s="70"/>
      <c r="BC696" s="70"/>
      <c r="BD696" s="271">
        <v>2018</v>
      </c>
      <c r="BE696" s="271"/>
      <c r="BF696" s="268"/>
    </row>
    <row r="697" spans="1:58" s="204" customFormat="1" ht="18" hidden="1" customHeight="1">
      <c r="A697" s="160" t="s">
        <v>512</v>
      </c>
      <c r="B697" s="58" t="s">
        <v>928</v>
      </c>
      <c r="C697" s="148" t="s">
        <v>1055</v>
      </c>
      <c r="D697" s="33" t="s">
        <v>782</v>
      </c>
      <c r="E697" s="33"/>
      <c r="F697" s="33"/>
      <c r="G697" s="33"/>
      <c r="H697" s="30" t="s">
        <v>630</v>
      </c>
      <c r="I697" s="30">
        <v>1357</v>
      </c>
      <c r="J697" s="212">
        <v>42921</v>
      </c>
      <c r="K697" s="158"/>
      <c r="L697" s="158">
        <v>1</v>
      </c>
      <c r="M697" s="158"/>
      <c r="N697" s="158"/>
      <c r="O697" s="158"/>
      <c r="P697" s="158"/>
      <c r="Q697" s="158"/>
      <c r="R697" s="158"/>
      <c r="S697" s="158"/>
      <c r="T697" s="586"/>
      <c r="U697" s="158"/>
      <c r="V697" s="311"/>
      <c r="W697" s="311"/>
      <c r="X697" s="311"/>
      <c r="Y697" s="94"/>
      <c r="Z697" s="158"/>
      <c r="AA697" s="158"/>
      <c r="AB697" s="158"/>
      <c r="AC697" s="158"/>
      <c r="AD697" s="158"/>
      <c r="AE697" s="158">
        <f>P697-T697-Y697</f>
        <v>0</v>
      </c>
      <c r="AF697" s="158"/>
      <c r="AG697" s="94">
        <v>0</v>
      </c>
      <c r="AH697" s="94"/>
      <c r="AI697" s="94"/>
      <c r="AJ697" s="158">
        <f t="shared" ref="AJ697" si="129">AE697+AG697</f>
        <v>0</v>
      </c>
      <c r="AK697" s="158"/>
      <c r="AL697" s="158"/>
      <c r="AM697" s="158"/>
      <c r="AN697" s="158"/>
      <c r="AO697" s="158"/>
      <c r="AP697" s="158"/>
      <c r="AQ697" s="158"/>
      <c r="AR697" s="158"/>
      <c r="AS697" s="2">
        <v>1</v>
      </c>
      <c r="AT697" s="58" t="s">
        <v>646</v>
      </c>
      <c r="AU697" s="386"/>
      <c r="AV697" s="51"/>
      <c r="AW697" s="158"/>
      <c r="AX697" s="12"/>
      <c r="AY697" s="158">
        <v>1</v>
      </c>
      <c r="AZ697" s="158"/>
      <c r="BA697" s="158"/>
      <c r="BB697" s="69">
        <v>1</v>
      </c>
      <c r="BC697" s="69"/>
      <c r="BD697" s="271">
        <v>2019</v>
      </c>
      <c r="BE697" s="271">
        <v>2019</v>
      </c>
      <c r="BF697" s="271"/>
    </row>
    <row r="698" spans="1:58" s="204" customFormat="1" ht="22.5" hidden="1" customHeight="1">
      <c r="A698" s="160" t="s">
        <v>512</v>
      </c>
      <c r="B698" s="58" t="s">
        <v>295</v>
      </c>
      <c r="C698" s="148" t="s">
        <v>789</v>
      </c>
      <c r="D698" s="33" t="s">
        <v>743</v>
      </c>
      <c r="E698" s="33"/>
      <c r="F698" s="33"/>
      <c r="G698" s="33"/>
      <c r="H698" s="30" t="s">
        <v>713</v>
      </c>
      <c r="I698" s="30"/>
      <c r="J698" s="212"/>
      <c r="K698" s="51"/>
      <c r="L698" s="51"/>
      <c r="M698" s="51"/>
      <c r="N698" s="51"/>
      <c r="O698" s="51"/>
      <c r="P698" s="51"/>
      <c r="Q698" s="51"/>
      <c r="R698" s="51"/>
      <c r="S698" s="51"/>
      <c r="T698" s="586"/>
      <c r="U698" s="51"/>
      <c r="V698" s="311"/>
      <c r="W698" s="311"/>
      <c r="X698" s="311"/>
      <c r="Y698" s="94"/>
      <c r="Z698" s="51"/>
      <c r="AA698" s="51"/>
      <c r="AB698" s="51"/>
      <c r="AC698" s="51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2">
        <v>1</v>
      </c>
      <c r="AT698" s="58" t="s">
        <v>646</v>
      </c>
      <c r="AU698" s="105"/>
      <c r="AV698" s="51"/>
      <c r="AW698" s="158"/>
      <c r="AX698" s="12">
        <v>103</v>
      </c>
      <c r="AY698" s="158"/>
      <c r="AZ698" s="158"/>
      <c r="BA698" s="158">
        <v>103</v>
      </c>
      <c r="BB698" s="69"/>
      <c r="BC698" s="69"/>
      <c r="BD698" s="271">
        <v>2018</v>
      </c>
      <c r="BE698" s="271"/>
      <c r="BF698" s="268"/>
    </row>
    <row r="699" spans="1:58" s="204" customFormat="1" ht="23.25" hidden="1" customHeight="1">
      <c r="A699" s="160" t="s">
        <v>512</v>
      </c>
      <c r="B699" s="58" t="s">
        <v>295</v>
      </c>
      <c r="C699" s="148" t="s">
        <v>789</v>
      </c>
      <c r="D699" s="33" t="s">
        <v>743</v>
      </c>
      <c r="E699" s="33"/>
      <c r="F699" s="33"/>
      <c r="G699" s="33"/>
      <c r="H699" s="30" t="s">
        <v>713</v>
      </c>
      <c r="I699" s="30"/>
      <c r="J699" s="212"/>
      <c r="K699" s="51"/>
      <c r="L699" s="51"/>
      <c r="M699" s="51"/>
      <c r="N699" s="51"/>
      <c r="O699" s="51"/>
      <c r="P699" s="51"/>
      <c r="Q699" s="51"/>
      <c r="R699" s="51"/>
      <c r="S699" s="51"/>
      <c r="T699" s="586"/>
      <c r="U699" s="51"/>
      <c r="V699" s="311"/>
      <c r="W699" s="311"/>
      <c r="X699" s="311"/>
      <c r="Y699" s="94"/>
      <c r="Z699" s="51"/>
      <c r="AA699" s="51"/>
      <c r="AB699" s="51"/>
      <c r="AC699" s="51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2">
        <v>1</v>
      </c>
      <c r="AT699" s="58" t="s">
        <v>646</v>
      </c>
      <c r="AU699" s="105"/>
      <c r="AV699" s="51"/>
      <c r="AW699" s="158"/>
      <c r="AX699" s="12">
        <v>7</v>
      </c>
      <c r="AY699" s="158"/>
      <c r="AZ699" s="158"/>
      <c r="BA699" s="158">
        <v>7</v>
      </c>
      <c r="BB699" s="69"/>
      <c r="BC699" s="69"/>
      <c r="BD699" s="271">
        <v>2018</v>
      </c>
      <c r="BE699" s="271"/>
      <c r="BF699" s="268"/>
    </row>
    <row r="700" spans="1:58" s="204" customFormat="1" ht="18" customHeight="1">
      <c r="A700" s="160" t="s">
        <v>512</v>
      </c>
      <c r="B700" s="58" t="s">
        <v>548</v>
      </c>
      <c r="C700" s="64" t="s">
        <v>790</v>
      </c>
      <c r="D700" s="33" t="s">
        <v>787</v>
      </c>
      <c r="E700" s="33"/>
      <c r="F700" s="33"/>
      <c r="G700" s="33"/>
      <c r="H700" s="30" t="s">
        <v>713</v>
      </c>
      <c r="I700" s="30">
        <v>2004</v>
      </c>
      <c r="J700" s="212">
        <v>42997</v>
      </c>
      <c r="K700" s="51"/>
      <c r="L700" s="51"/>
      <c r="M700" s="51">
        <v>43</v>
      </c>
      <c r="N700" s="51">
        <v>43</v>
      </c>
      <c r="O700" s="51"/>
      <c r="P700" s="158">
        <v>3243946306</v>
      </c>
      <c r="Q700" s="51"/>
      <c r="R700" s="51"/>
      <c r="S700" s="51"/>
      <c r="T700" s="586"/>
      <c r="U700" s="51"/>
      <c r="V700" s="311"/>
      <c r="W700" s="311"/>
      <c r="X700" s="311"/>
      <c r="Y700" s="94"/>
      <c r="Z700" s="51"/>
      <c r="AA700" s="51"/>
      <c r="AB700" s="51"/>
      <c r="AC700" s="51"/>
      <c r="AD700" s="158"/>
      <c r="AE700" s="158">
        <f>P700-T700-Y700-3243946306</f>
        <v>0</v>
      </c>
      <c r="AF700" s="158"/>
      <c r="AG700" s="158">
        <v>3243946306</v>
      </c>
      <c r="AH700" s="158"/>
      <c r="AI700" s="158"/>
      <c r="AJ700" s="158">
        <f>AE700+AG700</f>
        <v>3243946306</v>
      </c>
      <c r="AK700" s="158">
        <v>877</v>
      </c>
      <c r="AL700" s="158">
        <v>10</v>
      </c>
      <c r="AM700" s="158">
        <v>43</v>
      </c>
      <c r="AN700" s="158"/>
      <c r="AO700" s="158"/>
      <c r="AP700" s="158"/>
      <c r="AQ700" s="158"/>
      <c r="AR700" s="158"/>
      <c r="AS700" s="56">
        <v>0</v>
      </c>
      <c r="AT700" s="58" t="s">
        <v>521</v>
      </c>
      <c r="AU700" s="386" t="s">
        <v>1327</v>
      </c>
      <c r="AV700" s="51"/>
      <c r="AW700" s="158"/>
      <c r="AX700" s="12"/>
      <c r="AY700" s="158"/>
      <c r="AZ700" s="158"/>
      <c r="BA700" s="158"/>
      <c r="BB700" s="69"/>
      <c r="BC700" s="69"/>
      <c r="BD700" s="271"/>
      <c r="BE700" s="271">
        <v>2019</v>
      </c>
      <c r="BF700" s="271">
        <v>2020</v>
      </c>
    </row>
    <row r="701" spans="1:58" s="204" customFormat="1" ht="28.5" hidden="1" customHeight="1">
      <c r="A701" s="160" t="s">
        <v>512</v>
      </c>
      <c r="B701" s="58" t="s">
        <v>548</v>
      </c>
      <c r="C701" s="63" t="s">
        <v>842</v>
      </c>
      <c r="D701" s="33" t="s">
        <v>16</v>
      </c>
      <c r="E701" s="33"/>
      <c r="F701" s="33"/>
      <c r="G701" s="33"/>
      <c r="H701" s="30" t="s">
        <v>715</v>
      </c>
      <c r="I701" s="228" t="s">
        <v>1539</v>
      </c>
      <c r="J701" s="215" t="s">
        <v>1532</v>
      </c>
      <c r="K701" s="51"/>
      <c r="L701" s="51"/>
      <c r="M701" s="51"/>
      <c r="N701" s="51"/>
      <c r="O701" s="51"/>
      <c r="P701" s="158">
        <f>8583960680-60879154-60879154</f>
        <v>8462202372</v>
      </c>
      <c r="Q701" s="51"/>
      <c r="R701" s="51"/>
      <c r="S701" s="51"/>
      <c r="T701" s="586">
        <v>3728774829</v>
      </c>
      <c r="U701" s="51">
        <v>20</v>
      </c>
      <c r="V701" s="311"/>
      <c r="W701" s="311"/>
      <c r="X701" s="311"/>
      <c r="Y701" s="94">
        <v>4733427543</v>
      </c>
      <c r="Z701" s="51">
        <v>10</v>
      </c>
      <c r="AA701" s="51"/>
      <c r="AB701" s="51"/>
      <c r="AC701" s="51"/>
      <c r="AD701" s="158"/>
      <c r="AE701" s="158">
        <f>P701-T701-Y701</f>
        <v>0</v>
      </c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1"/>
      <c r="AQ701" s="11"/>
      <c r="AR701" s="11"/>
      <c r="AS701" s="2">
        <v>1</v>
      </c>
      <c r="AT701" s="58" t="s">
        <v>646</v>
      </c>
      <c r="AU701" s="105"/>
      <c r="AV701" s="51"/>
      <c r="AW701" s="158"/>
      <c r="AX701" s="12">
        <v>139</v>
      </c>
      <c r="AY701" s="158"/>
      <c r="AZ701" s="158"/>
      <c r="BA701" s="158"/>
      <c r="BB701" s="69">
        <f>+AX701</f>
        <v>139</v>
      </c>
      <c r="BC701" s="69"/>
      <c r="BD701" s="271">
        <v>2018</v>
      </c>
      <c r="BE701" s="271"/>
    </row>
    <row r="702" spans="1:58" s="204" customFormat="1" ht="18" customHeight="1">
      <c r="A702" s="230" t="s">
        <v>512</v>
      </c>
      <c r="B702" s="58" t="s">
        <v>548</v>
      </c>
      <c r="C702" s="499" t="s">
        <v>842</v>
      </c>
      <c r="D702" s="483" t="s">
        <v>16</v>
      </c>
      <c r="E702" s="483"/>
      <c r="F702" s="483"/>
      <c r="G702" s="483"/>
      <c r="H702" s="30" t="s">
        <v>715</v>
      </c>
      <c r="I702" s="228" t="s">
        <v>1539</v>
      </c>
      <c r="J702" s="215" t="s">
        <v>1532</v>
      </c>
      <c r="K702" s="51"/>
      <c r="L702" s="51">
        <v>1</v>
      </c>
      <c r="M702" s="51"/>
      <c r="N702" s="51"/>
      <c r="O702" s="51"/>
      <c r="P702" s="158">
        <v>60879154</v>
      </c>
      <c r="Q702" s="158"/>
      <c r="R702" s="158"/>
      <c r="S702" s="158"/>
      <c r="T702" s="624">
        <v>26825718</v>
      </c>
      <c r="U702" s="74">
        <v>20</v>
      </c>
      <c r="V702" s="484">
        <v>43888</v>
      </c>
      <c r="W702" s="484"/>
      <c r="X702" s="484"/>
      <c r="Y702" s="625">
        <v>34053436</v>
      </c>
      <c r="Z702" s="74">
        <v>20</v>
      </c>
      <c r="AA702" s="484">
        <v>43888</v>
      </c>
      <c r="AB702" s="615"/>
      <c r="AC702" s="51"/>
      <c r="AD702" s="158"/>
      <c r="AE702" s="158">
        <f>P702-T702-Y702</f>
        <v>0</v>
      </c>
      <c r="AF702" s="158"/>
      <c r="AG702" s="94">
        <v>0</v>
      </c>
      <c r="AH702" s="94"/>
      <c r="AI702" s="94"/>
      <c r="AJ702" s="158">
        <f t="shared" ref="AJ702:AJ724" si="130">AE702+AG702</f>
        <v>0</v>
      </c>
      <c r="AK702" s="158">
        <v>877</v>
      </c>
      <c r="AL702" s="158">
        <v>20</v>
      </c>
      <c r="AM702" s="72"/>
      <c r="AN702" s="72">
        <v>1</v>
      </c>
      <c r="AO702" s="158"/>
      <c r="AP702" s="11"/>
      <c r="AQ702" s="11"/>
      <c r="AR702" s="11"/>
      <c r="AS702" s="493">
        <v>1</v>
      </c>
      <c r="AT702" s="485" t="s">
        <v>646</v>
      </c>
      <c r="AU702" s="590" t="s">
        <v>1343</v>
      </c>
      <c r="AV702" s="51"/>
      <c r="AW702" s="158"/>
      <c r="AX702" s="12"/>
      <c r="AY702" s="158">
        <v>1</v>
      </c>
      <c r="AZ702" s="158"/>
      <c r="BA702" s="158"/>
      <c r="BB702" s="495">
        <v>1</v>
      </c>
      <c r="BC702" s="69"/>
      <c r="BD702" s="271">
        <v>2019</v>
      </c>
      <c r="BE702" s="271">
        <v>2019</v>
      </c>
      <c r="BF702" s="271" t="s">
        <v>2194</v>
      </c>
    </row>
    <row r="703" spans="1:58" s="204" customFormat="1" ht="18" customHeight="1">
      <c r="A703" s="160" t="s">
        <v>512</v>
      </c>
      <c r="B703" s="58" t="s">
        <v>548</v>
      </c>
      <c r="C703" s="595" t="s">
        <v>842</v>
      </c>
      <c r="D703" s="483" t="s">
        <v>16</v>
      </c>
      <c r="E703" s="483"/>
      <c r="F703" s="483"/>
      <c r="G703" s="483"/>
      <c r="H703" s="30" t="s">
        <v>715</v>
      </c>
      <c r="I703" s="228" t="s">
        <v>1539</v>
      </c>
      <c r="J703" s="215" t="s">
        <v>1532</v>
      </c>
      <c r="K703" s="51"/>
      <c r="L703" s="51">
        <v>1</v>
      </c>
      <c r="M703" s="51"/>
      <c r="N703" s="51"/>
      <c r="O703" s="51"/>
      <c r="P703" s="158"/>
      <c r="Q703" s="158"/>
      <c r="R703" s="158"/>
      <c r="S703" s="158"/>
      <c r="T703" s="586"/>
      <c r="U703" s="51"/>
      <c r="V703" s="311"/>
      <c r="W703" s="311"/>
      <c r="X703" s="311"/>
      <c r="Y703" s="94"/>
      <c r="Z703" s="71"/>
      <c r="AA703" s="71"/>
      <c r="AB703" s="71"/>
      <c r="AC703" s="71"/>
      <c r="AD703" s="158"/>
      <c r="AE703" s="158">
        <f>P703-T703-Y703-60879154</f>
        <v>-60879154</v>
      </c>
      <c r="AF703" s="158"/>
      <c r="AG703" s="158">
        <v>60879154</v>
      </c>
      <c r="AH703" s="158"/>
      <c r="AI703" s="158"/>
      <c r="AJ703" s="158">
        <f>AE703+AG703</f>
        <v>0</v>
      </c>
      <c r="AK703" s="158">
        <v>877</v>
      </c>
      <c r="AL703" s="158">
        <v>10</v>
      </c>
      <c r="AN703" s="158"/>
      <c r="AO703" s="158"/>
      <c r="AP703" s="11"/>
      <c r="AQ703" s="11"/>
      <c r="AR703" s="72">
        <v>1</v>
      </c>
      <c r="AS703" s="505">
        <v>0</v>
      </c>
      <c r="AT703" s="485" t="s">
        <v>687</v>
      </c>
      <c r="AU703" s="478" t="s">
        <v>2222</v>
      </c>
      <c r="AV703" s="51"/>
      <c r="AW703" s="158"/>
      <c r="AX703" s="158"/>
      <c r="AY703" s="158"/>
      <c r="AZ703" s="158"/>
      <c r="BA703" s="158"/>
      <c r="BB703" s="69"/>
      <c r="BC703" s="69">
        <v>1</v>
      </c>
      <c r="BD703" s="271">
        <v>2020</v>
      </c>
      <c r="BE703" s="271">
        <v>2019</v>
      </c>
      <c r="BF703" s="271">
        <v>2020</v>
      </c>
    </row>
    <row r="704" spans="1:58" s="204" customFormat="1" ht="28.5" hidden="1" customHeight="1">
      <c r="A704" s="243" t="s">
        <v>512</v>
      </c>
      <c r="B704" s="58" t="s">
        <v>548</v>
      </c>
      <c r="C704" s="167" t="s">
        <v>791</v>
      </c>
      <c r="D704" s="33" t="s">
        <v>778</v>
      </c>
      <c r="E704" s="33"/>
      <c r="F704" s="33"/>
      <c r="G704" s="33"/>
      <c r="H704" s="30" t="s">
        <v>715</v>
      </c>
      <c r="I704" s="30">
        <v>2913</v>
      </c>
      <c r="J704" s="212" t="s">
        <v>1649</v>
      </c>
      <c r="K704" s="51"/>
      <c r="L704" s="51">
        <v>132</v>
      </c>
      <c r="M704" s="51"/>
      <c r="N704" s="51"/>
      <c r="O704" s="51"/>
      <c r="P704" s="158">
        <f>8506879487-189041767</f>
        <v>8317837720</v>
      </c>
      <c r="Q704" s="51"/>
      <c r="R704" s="51"/>
      <c r="S704" s="51"/>
      <c r="T704" s="586">
        <f>3827833102-3827833102+3742770143</f>
        <v>3742770143</v>
      </c>
      <c r="U704" s="51">
        <v>20</v>
      </c>
      <c r="V704" s="311"/>
      <c r="W704" s="311"/>
      <c r="X704" s="311"/>
      <c r="Y704" s="94">
        <v>4575067577</v>
      </c>
      <c r="Z704" s="51">
        <v>20</v>
      </c>
      <c r="AA704" s="280"/>
      <c r="AB704" s="280"/>
      <c r="AC704" s="51"/>
      <c r="AD704" s="158"/>
      <c r="AE704" s="158">
        <f t="shared" ref="AE704:AE718" si="131">P704-T704-Y704</f>
        <v>0</v>
      </c>
      <c r="AF704" s="158"/>
      <c r="AG704" s="158">
        <f>P704-T704-Y704</f>
        <v>0</v>
      </c>
      <c r="AH704" s="158"/>
      <c r="AI704" s="158"/>
      <c r="AJ704" s="158">
        <f t="shared" si="130"/>
        <v>0</v>
      </c>
      <c r="AK704" s="158">
        <v>877</v>
      </c>
      <c r="AL704" s="158">
        <v>20</v>
      </c>
      <c r="AM704" s="158"/>
      <c r="AN704" s="158"/>
      <c r="AO704" s="51"/>
      <c r="AP704" s="158"/>
      <c r="AQ704" s="158"/>
      <c r="AR704" s="158"/>
      <c r="AS704" s="2">
        <v>1</v>
      </c>
      <c r="AT704" s="58" t="s">
        <v>646</v>
      </c>
      <c r="AU704" s="479"/>
      <c r="AV704" s="51"/>
      <c r="AW704" s="158"/>
      <c r="AX704" s="158"/>
      <c r="AY704" s="158">
        <v>132</v>
      </c>
      <c r="AZ704" s="158"/>
      <c r="BA704" s="158"/>
      <c r="BB704" s="69">
        <v>132</v>
      </c>
      <c r="BC704" s="69"/>
      <c r="BD704" s="271">
        <v>2019</v>
      </c>
      <c r="BE704" s="271">
        <v>2019</v>
      </c>
      <c r="BF704" s="271"/>
    </row>
    <row r="705" spans="1:58" s="204" customFormat="1" ht="22.5" customHeight="1">
      <c r="A705" s="160" t="s">
        <v>512</v>
      </c>
      <c r="B705" s="58" t="s">
        <v>548</v>
      </c>
      <c r="C705" s="167" t="s">
        <v>791</v>
      </c>
      <c r="D705" s="33" t="s">
        <v>778</v>
      </c>
      <c r="E705" s="33"/>
      <c r="F705" s="33"/>
      <c r="G705" s="33"/>
      <c r="H705" s="30" t="s">
        <v>715</v>
      </c>
      <c r="I705" s="228" t="s">
        <v>1533</v>
      </c>
      <c r="J705" s="215" t="s">
        <v>1532</v>
      </c>
      <c r="K705" s="51"/>
      <c r="L705" s="51"/>
      <c r="M705" s="51">
        <v>3</v>
      </c>
      <c r="N705" s="51">
        <v>3</v>
      </c>
      <c r="O705" s="51"/>
      <c r="P705" s="158">
        <v>189041767</v>
      </c>
      <c r="Q705" s="158"/>
      <c r="R705" s="158"/>
      <c r="S705" s="158"/>
      <c r="T705" s="586"/>
      <c r="U705" s="51"/>
      <c r="V705" s="311"/>
      <c r="W705" s="311"/>
      <c r="X705" s="311"/>
      <c r="Y705" s="94"/>
      <c r="Z705" s="71"/>
      <c r="AA705" s="71"/>
      <c r="AB705" s="71"/>
      <c r="AC705" s="71"/>
      <c r="AD705" s="158"/>
      <c r="AE705" s="158">
        <f t="shared" si="131"/>
        <v>189041767</v>
      </c>
      <c r="AF705" s="158"/>
      <c r="AG705" s="94">
        <v>0</v>
      </c>
      <c r="AH705" s="94"/>
      <c r="AI705" s="94"/>
      <c r="AJ705" s="158">
        <f t="shared" si="130"/>
        <v>189041767</v>
      </c>
      <c r="AK705" s="158">
        <v>877</v>
      </c>
      <c r="AL705" s="158">
        <v>20</v>
      </c>
      <c r="AM705" s="158">
        <v>3</v>
      </c>
      <c r="AN705" s="158"/>
      <c r="AO705" s="158"/>
      <c r="AP705" s="158"/>
      <c r="AQ705" s="158"/>
      <c r="AR705" s="158"/>
      <c r="AS705" s="56">
        <v>0</v>
      </c>
      <c r="AT705" s="58" t="s">
        <v>521</v>
      </c>
      <c r="AU705" s="479" t="s">
        <v>2189</v>
      </c>
      <c r="AV705" s="51"/>
      <c r="AW705" s="158"/>
      <c r="AX705" s="158"/>
      <c r="AY705" s="158"/>
      <c r="AZ705" s="158"/>
      <c r="BA705" s="158"/>
      <c r="BB705" s="69"/>
      <c r="BC705" s="69"/>
      <c r="BD705" s="271"/>
      <c r="BE705" s="271">
        <v>2019</v>
      </c>
      <c r="BF705" s="271">
        <v>2020</v>
      </c>
    </row>
    <row r="706" spans="1:58" s="204" customFormat="1" ht="18" hidden="1" customHeight="1">
      <c r="A706" s="248" t="s">
        <v>512</v>
      </c>
      <c r="B706" s="58" t="s">
        <v>295</v>
      </c>
      <c r="C706" s="259" t="s">
        <v>788</v>
      </c>
      <c r="D706" s="33" t="s">
        <v>743</v>
      </c>
      <c r="E706" s="33"/>
      <c r="F706" s="33"/>
      <c r="G706" s="33"/>
      <c r="H706" s="30" t="s">
        <v>715</v>
      </c>
      <c r="I706" s="30">
        <v>2833</v>
      </c>
      <c r="J706" s="212">
        <v>43076</v>
      </c>
      <c r="K706" s="51"/>
      <c r="L706" s="51">
        <v>100</v>
      </c>
      <c r="M706" s="51"/>
      <c r="N706" s="51"/>
      <c r="O706" s="51"/>
      <c r="P706" s="51"/>
      <c r="Q706" s="51"/>
      <c r="R706" s="51"/>
      <c r="S706" s="51"/>
      <c r="T706" s="586"/>
      <c r="U706" s="51"/>
      <c r="V706" s="311"/>
      <c r="W706" s="311"/>
      <c r="X706" s="311"/>
      <c r="Y706" s="94"/>
      <c r="Z706" s="51"/>
      <c r="AA706" s="53"/>
      <c r="AB706" s="53"/>
      <c r="AC706" s="53"/>
      <c r="AD706" s="158"/>
      <c r="AE706" s="158">
        <f t="shared" si="131"/>
        <v>0</v>
      </c>
      <c r="AF706" s="158"/>
      <c r="AG706" s="94">
        <v>0</v>
      </c>
      <c r="AH706" s="94"/>
      <c r="AI706" s="94"/>
      <c r="AJ706" s="158">
        <f t="shared" si="130"/>
        <v>0</v>
      </c>
      <c r="AK706" s="158"/>
      <c r="AL706" s="158"/>
      <c r="AM706" s="158"/>
      <c r="AN706" s="158"/>
      <c r="AO706" s="51"/>
      <c r="AP706" s="158"/>
      <c r="AQ706" s="158"/>
      <c r="AR706" s="158"/>
      <c r="AS706" s="2">
        <v>1</v>
      </c>
      <c r="AT706" s="58" t="s">
        <v>646</v>
      </c>
      <c r="AU706" s="479"/>
      <c r="AV706" s="51"/>
      <c r="AW706" s="158"/>
      <c r="AX706" s="158"/>
      <c r="AY706" s="81">
        <v>100</v>
      </c>
      <c r="AZ706" s="81"/>
      <c r="BA706" s="81"/>
      <c r="BB706" s="220">
        <v>100</v>
      </c>
      <c r="BC706" s="220"/>
      <c r="BD706" s="271">
        <v>2019</v>
      </c>
      <c r="BE706" s="271">
        <v>2019</v>
      </c>
      <c r="BF706" s="271"/>
    </row>
    <row r="707" spans="1:58" s="204" customFormat="1" ht="18" hidden="1" customHeight="1">
      <c r="A707" s="160" t="s">
        <v>512</v>
      </c>
      <c r="B707" s="58" t="s">
        <v>295</v>
      </c>
      <c r="C707" s="148" t="s">
        <v>788</v>
      </c>
      <c r="D707" s="33" t="s">
        <v>743</v>
      </c>
      <c r="E707" s="33"/>
      <c r="F707" s="33"/>
      <c r="G707" s="33"/>
      <c r="H707" s="30" t="s">
        <v>715</v>
      </c>
      <c r="I707" s="30">
        <v>2833</v>
      </c>
      <c r="J707" s="212">
        <v>43076</v>
      </c>
      <c r="K707" s="51"/>
      <c r="L707" s="51">
        <v>1</v>
      </c>
      <c r="M707" s="51"/>
      <c r="N707" s="51"/>
      <c r="O707" s="51"/>
      <c r="P707" s="51"/>
      <c r="Q707" s="51"/>
      <c r="R707" s="51"/>
      <c r="S707" s="51"/>
      <c r="T707" s="586"/>
      <c r="U707" s="51"/>
      <c r="V707" s="311"/>
      <c r="W707" s="311"/>
      <c r="X707" s="311"/>
      <c r="Y707" s="94"/>
      <c r="Z707" s="51"/>
      <c r="AA707" s="51"/>
      <c r="AB707" s="51"/>
      <c r="AC707" s="51"/>
      <c r="AD707" s="158"/>
      <c r="AE707" s="158">
        <f t="shared" si="131"/>
        <v>0</v>
      </c>
      <c r="AF707" s="158"/>
      <c r="AG707" s="94">
        <v>0</v>
      </c>
      <c r="AH707" s="94"/>
      <c r="AI707" s="94"/>
      <c r="AJ707" s="158">
        <f t="shared" si="130"/>
        <v>0</v>
      </c>
      <c r="AK707" s="158"/>
      <c r="AL707" s="158"/>
      <c r="AM707" s="158"/>
      <c r="AN707" s="158"/>
      <c r="AO707" s="51"/>
      <c r="AP707" s="158"/>
      <c r="AQ707" s="158"/>
      <c r="AR707" s="158"/>
      <c r="AS707" s="2">
        <v>1</v>
      </c>
      <c r="AT707" s="58" t="s">
        <v>646</v>
      </c>
      <c r="AU707" s="479"/>
      <c r="AV707" s="51"/>
      <c r="AW707" s="158"/>
      <c r="AX707" s="158"/>
      <c r="AY707" s="81">
        <v>1</v>
      </c>
      <c r="AZ707" s="81"/>
      <c r="BA707" s="81"/>
      <c r="BB707" s="220">
        <v>1</v>
      </c>
      <c r="BC707" s="220"/>
      <c r="BD707" s="271">
        <v>2019</v>
      </c>
      <c r="BE707" s="271">
        <v>2019</v>
      </c>
      <c r="BF707" s="271"/>
    </row>
    <row r="708" spans="1:58" s="204" customFormat="1" ht="18" customHeight="1">
      <c r="A708" s="160" t="s">
        <v>512</v>
      </c>
      <c r="B708" s="58" t="s">
        <v>295</v>
      </c>
      <c r="C708" s="148" t="s">
        <v>993</v>
      </c>
      <c r="D708" s="33" t="s">
        <v>765</v>
      </c>
      <c r="E708" s="33"/>
      <c r="F708" s="33"/>
      <c r="G708" s="33"/>
      <c r="H708" s="30" t="s">
        <v>720</v>
      </c>
      <c r="I708" s="228">
        <v>3014</v>
      </c>
      <c r="J708" s="212">
        <v>43091</v>
      </c>
      <c r="K708" s="51"/>
      <c r="L708" s="51"/>
      <c r="M708" s="51">
        <v>57</v>
      </c>
      <c r="N708" s="51">
        <v>57</v>
      </c>
      <c r="O708" s="51"/>
      <c r="P708" s="158">
        <v>3619370312</v>
      </c>
      <c r="Q708" s="51"/>
      <c r="R708" s="51"/>
      <c r="S708" s="51"/>
      <c r="T708" s="586">
        <v>1627110750</v>
      </c>
      <c r="U708" s="51">
        <v>10</v>
      </c>
      <c r="V708" s="311"/>
      <c r="W708" s="311"/>
      <c r="X708" s="311"/>
      <c r="Y708" s="94">
        <v>1992259562</v>
      </c>
      <c r="Z708" s="51">
        <v>10</v>
      </c>
      <c r="AA708" s="311">
        <v>43678</v>
      </c>
      <c r="AB708" s="311"/>
      <c r="AC708" s="51"/>
      <c r="AD708" s="158"/>
      <c r="AE708" s="158">
        <f t="shared" si="131"/>
        <v>0</v>
      </c>
      <c r="AF708" s="158"/>
      <c r="AG708" s="94">
        <v>0</v>
      </c>
      <c r="AH708" s="94"/>
      <c r="AI708" s="94"/>
      <c r="AJ708" s="158">
        <f t="shared" si="130"/>
        <v>0</v>
      </c>
      <c r="AK708" s="158">
        <v>877</v>
      </c>
      <c r="AL708" s="158">
        <v>10</v>
      </c>
      <c r="AM708" s="158"/>
      <c r="AN708" s="158">
        <v>57</v>
      </c>
      <c r="AO708" s="158"/>
      <c r="AP708" s="158"/>
      <c r="AQ708" s="158"/>
      <c r="AR708" s="158"/>
      <c r="AS708" s="56">
        <v>0.61199999999999999</v>
      </c>
      <c r="AT708" s="58" t="s">
        <v>38</v>
      </c>
      <c r="AU708" s="479" t="s">
        <v>2205</v>
      </c>
      <c r="AV708" s="51"/>
      <c r="AW708" s="158"/>
      <c r="AX708" s="158"/>
      <c r="AY708" s="158"/>
      <c r="AZ708" s="158"/>
      <c r="BA708" s="158"/>
      <c r="BB708" s="69"/>
      <c r="BC708" s="69"/>
      <c r="BD708" s="271"/>
      <c r="BE708" s="271">
        <v>2019</v>
      </c>
      <c r="BF708" s="271">
        <v>2020</v>
      </c>
    </row>
    <row r="709" spans="1:58" s="204" customFormat="1" ht="18" customHeight="1">
      <c r="A709" s="160" t="s">
        <v>512</v>
      </c>
      <c r="B709" s="58" t="s">
        <v>295</v>
      </c>
      <c r="C709" s="148" t="s">
        <v>1082</v>
      </c>
      <c r="D709" s="33" t="s">
        <v>765</v>
      </c>
      <c r="E709" s="33"/>
      <c r="F709" s="33"/>
      <c r="G709" s="33"/>
      <c r="H709" s="30" t="s">
        <v>720</v>
      </c>
      <c r="I709" s="30">
        <v>3015</v>
      </c>
      <c r="J709" s="212">
        <v>43091</v>
      </c>
      <c r="K709" s="51"/>
      <c r="L709" s="51"/>
      <c r="M709" s="51">
        <v>61</v>
      </c>
      <c r="N709" s="51">
        <v>61</v>
      </c>
      <c r="O709" s="51"/>
      <c r="P709" s="158">
        <v>3879207695</v>
      </c>
      <c r="Q709" s="299"/>
      <c r="R709" s="51"/>
      <c r="S709" s="51"/>
      <c r="T709" s="586">
        <v>1745330023</v>
      </c>
      <c r="U709" s="51">
        <v>10</v>
      </c>
      <c r="V709" s="311"/>
      <c r="W709" s="311"/>
      <c r="X709" s="311"/>
      <c r="Y709" s="94">
        <v>2133877672</v>
      </c>
      <c r="Z709" s="81">
        <v>20</v>
      </c>
      <c r="AA709" s="311">
        <v>43800</v>
      </c>
      <c r="AB709" s="311"/>
      <c r="AC709" s="51"/>
      <c r="AD709" s="158"/>
      <c r="AE709" s="158">
        <f>P709-T709-Y709</f>
        <v>0</v>
      </c>
      <c r="AF709" s="158"/>
      <c r="AG709" s="94">
        <v>0</v>
      </c>
      <c r="AH709" s="94"/>
      <c r="AI709" s="94"/>
      <c r="AJ709" s="158">
        <f t="shared" si="130"/>
        <v>0</v>
      </c>
      <c r="AK709" s="158">
        <v>877</v>
      </c>
      <c r="AL709" s="158">
        <v>20</v>
      </c>
      <c r="AM709" s="158"/>
      <c r="AN709" s="158">
        <v>61</v>
      </c>
      <c r="AO709" s="158"/>
      <c r="AP709" s="158"/>
      <c r="AQ709" s="158"/>
      <c r="AR709" s="158"/>
      <c r="AS709" s="56">
        <v>0.46500000000000002</v>
      </c>
      <c r="AT709" s="58" t="s">
        <v>38</v>
      </c>
      <c r="AU709" s="479"/>
      <c r="AV709" s="51"/>
      <c r="AW709" s="158"/>
      <c r="AX709" s="158"/>
      <c r="AY709" s="158"/>
      <c r="AZ709" s="158"/>
      <c r="BA709" s="158"/>
      <c r="BB709" s="69"/>
      <c r="BC709" s="69"/>
      <c r="BD709" s="271"/>
      <c r="BE709" s="271">
        <v>2019</v>
      </c>
      <c r="BF709" s="271">
        <v>2020</v>
      </c>
    </row>
    <row r="710" spans="1:58" s="204" customFormat="1" ht="18" hidden="1" customHeight="1">
      <c r="A710" s="160" t="s">
        <v>512</v>
      </c>
      <c r="B710" s="58" t="s">
        <v>295</v>
      </c>
      <c r="C710" s="148" t="s">
        <v>1083</v>
      </c>
      <c r="D710" s="33" t="s">
        <v>765</v>
      </c>
      <c r="E710" s="33"/>
      <c r="F710" s="33"/>
      <c r="G710" s="33"/>
      <c r="H710" s="30" t="s">
        <v>720</v>
      </c>
      <c r="I710" s="30">
        <v>3013</v>
      </c>
      <c r="J710" s="212">
        <v>43090</v>
      </c>
      <c r="K710" s="51"/>
      <c r="L710" s="51">
        <v>89</v>
      </c>
      <c r="M710" s="51"/>
      <c r="N710" s="51"/>
      <c r="O710" s="51"/>
      <c r="P710" s="51"/>
      <c r="Q710" s="51"/>
      <c r="R710" s="51"/>
      <c r="S710" s="51"/>
      <c r="T710" s="586"/>
      <c r="U710" s="51"/>
      <c r="V710" s="311"/>
      <c r="W710" s="311"/>
      <c r="X710" s="311"/>
      <c r="Y710" s="94"/>
      <c r="Z710" s="51"/>
      <c r="AA710" s="51"/>
      <c r="AB710" s="51"/>
      <c r="AC710" s="51"/>
      <c r="AD710" s="158"/>
      <c r="AE710" s="158">
        <f t="shared" si="131"/>
        <v>0</v>
      </c>
      <c r="AF710" s="158"/>
      <c r="AG710" s="94">
        <v>0</v>
      </c>
      <c r="AH710" s="94"/>
      <c r="AI710" s="94"/>
      <c r="AJ710" s="158">
        <f t="shared" si="130"/>
        <v>0</v>
      </c>
      <c r="AK710" s="158"/>
      <c r="AL710" s="158"/>
      <c r="AM710" s="158"/>
      <c r="AN710" s="158"/>
      <c r="AO710" s="158"/>
      <c r="AP710" s="158"/>
      <c r="AQ710" s="158"/>
      <c r="AR710" s="158"/>
      <c r="AS710" s="2">
        <v>1</v>
      </c>
      <c r="AT710" s="58" t="s">
        <v>646</v>
      </c>
      <c r="AU710" s="479"/>
      <c r="AV710" s="51"/>
      <c r="AW710" s="158"/>
      <c r="AX710" s="158"/>
      <c r="AY710" s="158">
        <v>89</v>
      </c>
      <c r="AZ710" s="158"/>
      <c r="BA710" s="158"/>
      <c r="BB710" s="69">
        <v>89</v>
      </c>
      <c r="BC710" s="69"/>
      <c r="BD710" s="271">
        <v>2019</v>
      </c>
      <c r="BE710" s="271">
        <v>2019</v>
      </c>
      <c r="BF710" s="271"/>
    </row>
    <row r="711" spans="1:58" s="204" customFormat="1" ht="18" customHeight="1">
      <c r="A711" s="160" t="s">
        <v>512</v>
      </c>
      <c r="B711" s="58" t="s">
        <v>1008</v>
      </c>
      <c r="C711" s="148" t="s">
        <v>1007</v>
      </c>
      <c r="D711" s="33" t="s">
        <v>1328</v>
      </c>
      <c r="E711" s="33"/>
      <c r="F711" s="33"/>
      <c r="G711" s="33"/>
      <c r="H711" s="30" t="s">
        <v>968</v>
      </c>
      <c r="I711" s="30">
        <v>566</v>
      </c>
      <c r="J711" s="212">
        <v>43147</v>
      </c>
      <c r="K711" s="81">
        <v>69</v>
      </c>
      <c r="L711" s="81">
        <v>69</v>
      </c>
      <c r="M711" s="81"/>
      <c r="N711" s="81">
        <v>69</v>
      </c>
      <c r="O711" s="81"/>
      <c r="P711" s="158">
        <v>2501220178</v>
      </c>
      <c r="Q711" s="81"/>
      <c r="R711" s="81"/>
      <c r="S711" s="81"/>
      <c r="T711" s="586"/>
      <c r="U711" s="81"/>
      <c r="V711" s="311"/>
      <c r="W711" s="311"/>
      <c r="X711" s="311"/>
      <c r="Y711" s="94">
        <v>2253282468</v>
      </c>
      <c r="Z711" s="81">
        <v>20</v>
      </c>
      <c r="AA711" s="311">
        <v>43709</v>
      </c>
      <c r="AB711" s="311"/>
      <c r="AC711" s="81"/>
      <c r="AD711" s="158"/>
      <c r="AE711" s="158">
        <f t="shared" si="131"/>
        <v>247937710</v>
      </c>
      <c r="AF711" s="158"/>
      <c r="AG711" s="158"/>
      <c r="AH711" s="158"/>
      <c r="AI711" s="158"/>
      <c r="AJ711" s="158">
        <f t="shared" si="130"/>
        <v>247937710</v>
      </c>
      <c r="AK711" s="158">
        <v>877</v>
      </c>
      <c r="AL711" s="158">
        <v>20</v>
      </c>
      <c r="AM711" s="158"/>
      <c r="AN711" s="158">
        <v>69</v>
      </c>
      <c r="AO711" s="158"/>
      <c r="AP711" s="158"/>
      <c r="AQ711" s="158"/>
      <c r="AR711" s="158"/>
      <c r="AS711" s="56">
        <v>0.53080000000000005</v>
      </c>
      <c r="AT711" s="58" t="s">
        <v>38</v>
      </c>
      <c r="AU711" s="479" t="s">
        <v>1223</v>
      </c>
      <c r="AV711" s="51"/>
      <c r="AW711" s="158"/>
      <c r="AX711" s="158"/>
      <c r="AY711" s="158"/>
      <c r="AZ711" s="158"/>
      <c r="BA711" s="158"/>
      <c r="BB711" s="69"/>
      <c r="BC711" s="69"/>
      <c r="BD711" s="271"/>
      <c r="BE711" s="271">
        <v>2019</v>
      </c>
      <c r="BF711" s="271">
        <v>2020</v>
      </c>
    </row>
    <row r="712" spans="1:58" s="204" customFormat="1" ht="18" customHeight="1">
      <c r="A712" s="160" t="s">
        <v>512</v>
      </c>
      <c r="B712" s="58" t="s">
        <v>1008</v>
      </c>
      <c r="C712" s="58" t="s">
        <v>1024</v>
      </c>
      <c r="D712" s="33" t="s">
        <v>772</v>
      </c>
      <c r="E712" s="33"/>
      <c r="F712" s="33"/>
      <c r="G712" s="33"/>
      <c r="H712" s="30" t="s">
        <v>968</v>
      </c>
      <c r="I712" s="228" t="s">
        <v>1466</v>
      </c>
      <c r="J712" s="215" t="s">
        <v>1465</v>
      </c>
      <c r="K712" s="81">
        <v>24</v>
      </c>
      <c r="L712" s="81">
        <v>24</v>
      </c>
      <c r="M712" s="81"/>
      <c r="N712" s="81">
        <v>24</v>
      </c>
      <c r="O712" s="81"/>
      <c r="P712" s="213">
        <v>1515076314</v>
      </c>
      <c r="Q712" s="213"/>
      <c r="R712" s="213"/>
      <c r="S712" s="213"/>
      <c r="T712" s="586">
        <v>629281439</v>
      </c>
      <c r="U712" s="81">
        <v>20</v>
      </c>
      <c r="V712" s="311"/>
      <c r="W712" s="311"/>
      <c r="X712" s="311"/>
      <c r="Y712" s="94">
        <v>885794875</v>
      </c>
      <c r="Z712" s="81">
        <v>10</v>
      </c>
      <c r="AA712" s="311">
        <v>43525</v>
      </c>
      <c r="AB712" s="311"/>
      <c r="AC712" s="81"/>
      <c r="AD712" s="158"/>
      <c r="AE712" s="158">
        <f t="shared" si="131"/>
        <v>0</v>
      </c>
      <c r="AF712" s="158"/>
      <c r="AG712" s="94">
        <v>0</v>
      </c>
      <c r="AH712" s="94"/>
      <c r="AI712" s="94"/>
      <c r="AJ712" s="158">
        <f t="shared" si="130"/>
        <v>0</v>
      </c>
      <c r="AK712" s="158">
        <v>877</v>
      </c>
      <c r="AL712" s="158">
        <v>10</v>
      </c>
      <c r="AM712" s="158"/>
      <c r="AN712" s="158">
        <v>24</v>
      </c>
      <c r="AO712" s="158"/>
      <c r="AP712" s="158"/>
      <c r="AQ712" s="158"/>
      <c r="AR712" s="158"/>
      <c r="AS712" s="56">
        <v>0.64300000000000002</v>
      </c>
      <c r="AT712" s="58" t="s">
        <v>38</v>
      </c>
      <c r="AU712" s="479"/>
      <c r="AV712" s="51"/>
      <c r="AW712" s="158"/>
      <c r="AX712" s="158"/>
      <c r="AY712" s="158"/>
      <c r="AZ712" s="158"/>
      <c r="BA712" s="158"/>
      <c r="BB712" s="69"/>
      <c r="BC712" s="69"/>
      <c r="BD712" s="271"/>
      <c r="BE712" s="271">
        <v>2019</v>
      </c>
      <c r="BF712" s="271">
        <v>2020</v>
      </c>
    </row>
    <row r="713" spans="1:58" s="204" customFormat="1" ht="18" customHeight="1">
      <c r="A713" s="160" t="s">
        <v>512</v>
      </c>
      <c r="B713" s="58" t="s">
        <v>295</v>
      </c>
      <c r="C713" s="58" t="s">
        <v>1102</v>
      </c>
      <c r="D713" s="33" t="s">
        <v>16</v>
      </c>
      <c r="E713" s="33"/>
      <c r="F713" s="33"/>
      <c r="G713" s="33"/>
      <c r="H713" s="30" t="s">
        <v>1058</v>
      </c>
      <c r="I713" s="115" t="s">
        <v>1445</v>
      </c>
      <c r="J713" s="215" t="s">
        <v>1446</v>
      </c>
      <c r="K713" s="81">
        <v>123</v>
      </c>
      <c r="L713" s="81">
        <v>123</v>
      </c>
      <c r="M713" s="81"/>
      <c r="N713" s="81">
        <v>123</v>
      </c>
      <c r="O713" s="81"/>
      <c r="P713" s="12">
        <v>8094154673</v>
      </c>
      <c r="Q713" s="12"/>
      <c r="R713" s="12"/>
      <c r="S713" s="12"/>
      <c r="T713" s="586">
        <v>3502318027</v>
      </c>
      <c r="U713" s="213"/>
      <c r="V713" s="311"/>
      <c r="W713" s="311"/>
      <c r="X713" s="311"/>
      <c r="Y713" s="94">
        <v>4591836646</v>
      </c>
      <c r="Z713" s="81">
        <v>20</v>
      </c>
      <c r="AA713" s="311">
        <v>43678</v>
      </c>
      <c r="AB713" s="311"/>
      <c r="AC713" s="81"/>
      <c r="AD713" s="158"/>
      <c r="AE713" s="158">
        <f t="shared" si="131"/>
        <v>0</v>
      </c>
      <c r="AF713" s="158"/>
      <c r="AG713" s="94">
        <v>0</v>
      </c>
      <c r="AH713" s="94"/>
      <c r="AI713" s="94"/>
      <c r="AJ713" s="158">
        <f t="shared" si="130"/>
        <v>0</v>
      </c>
      <c r="AK713" s="158">
        <v>877</v>
      </c>
      <c r="AL713" s="158">
        <v>20</v>
      </c>
      <c r="AM713" s="158"/>
      <c r="AN713" s="158">
        <v>123</v>
      </c>
      <c r="AO713" s="158"/>
      <c r="AP713" s="158"/>
      <c r="AQ713" s="158"/>
      <c r="AR713" s="158"/>
      <c r="AS713" s="56">
        <v>0.9</v>
      </c>
      <c r="AT713" s="58" t="s">
        <v>38</v>
      </c>
      <c r="AU713" s="479" t="s">
        <v>1223</v>
      </c>
      <c r="AV713" s="51"/>
      <c r="AW713" s="158"/>
      <c r="AX713" s="158"/>
      <c r="AY713" s="158"/>
      <c r="AZ713" s="158"/>
      <c r="BA713" s="158"/>
      <c r="BB713" s="69"/>
      <c r="BC713" s="69"/>
      <c r="BD713" s="271"/>
      <c r="BE713" s="271">
        <v>2019</v>
      </c>
      <c r="BF713" s="271">
        <v>2020</v>
      </c>
    </row>
    <row r="714" spans="1:58" s="204" customFormat="1" ht="18" hidden="1" customHeight="1">
      <c r="A714" s="160" t="s">
        <v>512</v>
      </c>
      <c r="B714" s="58" t="s">
        <v>1165</v>
      </c>
      <c r="C714" s="58" t="s">
        <v>293</v>
      </c>
      <c r="D714" s="33" t="s">
        <v>287</v>
      </c>
      <c r="E714" s="33"/>
      <c r="F714" s="33"/>
      <c r="G714" s="33"/>
      <c r="H714" s="30" t="s">
        <v>1058</v>
      </c>
      <c r="I714" s="78">
        <v>349</v>
      </c>
      <c r="J714" s="212">
        <v>43410</v>
      </c>
      <c r="K714" s="81">
        <v>40</v>
      </c>
      <c r="L714" s="81">
        <v>40</v>
      </c>
      <c r="M714" s="81"/>
      <c r="N714" s="81"/>
      <c r="O714" s="81"/>
      <c r="P714" s="158">
        <v>2540529190</v>
      </c>
      <c r="Q714" s="158"/>
      <c r="R714" s="158"/>
      <c r="S714" s="158"/>
      <c r="T714" s="586">
        <v>1055629557</v>
      </c>
      <c r="U714" s="94">
        <v>10</v>
      </c>
      <c r="V714" s="311"/>
      <c r="W714" s="311"/>
      <c r="X714" s="311"/>
      <c r="Y714" s="94">
        <v>1484899633</v>
      </c>
      <c r="Z714" s="221">
        <v>10</v>
      </c>
      <c r="AA714" s="311">
        <v>43678</v>
      </c>
      <c r="AB714" s="577"/>
      <c r="AC714" s="221"/>
      <c r="AD714" s="158"/>
      <c r="AE714" s="158">
        <f t="shared" si="131"/>
        <v>0</v>
      </c>
      <c r="AF714" s="158"/>
      <c r="AG714" s="94">
        <v>0</v>
      </c>
      <c r="AH714" s="94"/>
      <c r="AI714" s="94"/>
      <c r="AJ714" s="158">
        <f t="shared" si="130"/>
        <v>0</v>
      </c>
      <c r="AK714" s="158">
        <v>877</v>
      </c>
      <c r="AL714" s="158">
        <v>10</v>
      </c>
      <c r="AM714" s="158"/>
      <c r="AN714" s="158"/>
      <c r="AO714" s="158"/>
      <c r="AP714" s="158"/>
      <c r="AQ714" s="158"/>
      <c r="AR714" s="158"/>
      <c r="AS714" s="2">
        <v>1</v>
      </c>
      <c r="AT714" s="58" t="s">
        <v>646</v>
      </c>
      <c r="AU714" s="479"/>
      <c r="AV714" s="51"/>
      <c r="AW714" s="158"/>
      <c r="AX714" s="158"/>
      <c r="AY714" s="158">
        <v>40</v>
      </c>
      <c r="AZ714" s="158"/>
      <c r="BA714" s="158"/>
      <c r="BB714" s="69">
        <v>40</v>
      </c>
      <c r="BC714" s="69"/>
      <c r="BD714" s="271">
        <v>2019</v>
      </c>
      <c r="BE714" s="271">
        <v>2019</v>
      </c>
      <c r="BF714" s="271"/>
    </row>
    <row r="715" spans="1:58" s="204" customFormat="1" ht="18" customHeight="1">
      <c r="A715" s="160" t="s">
        <v>512</v>
      </c>
      <c r="B715" s="58" t="s">
        <v>295</v>
      </c>
      <c r="C715" s="58" t="s">
        <v>1331</v>
      </c>
      <c r="D715" s="33" t="s">
        <v>1164</v>
      </c>
      <c r="E715" s="33"/>
      <c r="F715" s="33"/>
      <c r="G715" s="33"/>
      <c r="H715" s="30" t="s">
        <v>1113</v>
      </c>
      <c r="I715" s="82">
        <v>705</v>
      </c>
      <c r="J715" s="212">
        <v>43452</v>
      </c>
      <c r="K715" s="81">
        <v>84</v>
      </c>
      <c r="L715" s="81">
        <v>84</v>
      </c>
      <c r="M715" s="81"/>
      <c r="N715" s="81">
        <v>84</v>
      </c>
      <c r="O715" s="81"/>
      <c r="P715" s="158">
        <f>5595240175-65826355</f>
        <v>5529413820</v>
      </c>
      <c r="Q715" s="158"/>
      <c r="R715" s="158"/>
      <c r="S715" s="158"/>
      <c r="T715" s="586">
        <v>3007738427</v>
      </c>
      <c r="U715" s="158">
        <v>10</v>
      </c>
      <c r="V715" s="311">
        <v>43525</v>
      </c>
      <c r="W715" s="311"/>
      <c r="X715" s="311"/>
      <c r="Y715" s="94">
        <v>2521675393</v>
      </c>
      <c r="Z715" s="158">
        <v>20</v>
      </c>
      <c r="AA715" s="311">
        <v>43739</v>
      </c>
      <c r="AB715" s="583"/>
      <c r="AC715" s="92"/>
      <c r="AD715" s="158"/>
      <c r="AE715" s="158">
        <f>P715-T715-Y715</f>
        <v>0</v>
      </c>
      <c r="AF715" s="158"/>
      <c r="AG715" s="94">
        <v>0</v>
      </c>
      <c r="AH715" s="94"/>
      <c r="AI715" s="94"/>
      <c r="AJ715" s="158">
        <f t="shared" si="130"/>
        <v>0</v>
      </c>
      <c r="AK715" s="158">
        <v>877</v>
      </c>
      <c r="AL715" s="158">
        <v>20</v>
      </c>
      <c r="AM715" s="158"/>
      <c r="AN715" s="158">
        <v>84</v>
      </c>
      <c r="AO715" s="158"/>
      <c r="AP715" s="158"/>
      <c r="AQ715" s="158"/>
      <c r="AR715" s="158"/>
      <c r="AS715" s="24">
        <v>0.80659999999999998</v>
      </c>
      <c r="AT715" s="58" t="s">
        <v>38</v>
      </c>
      <c r="AU715" s="479" t="s">
        <v>1329</v>
      </c>
      <c r="AV715" s="51"/>
      <c r="AW715" s="158"/>
      <c r="AX715" s="158"/>
      <c r="AY715" s="158"/>
      <c r="AZ715" s="158"/>
      <c r="BA715" s="158"/>
      <c r="BB715" s="69"/>
      <c r="BC715" s="69"/>
      <c r="BD715" s="271"/>
      <c r="BE715" s="271">
        <v>2019</v>
      </c>
      <c r="BF715" s="271">
        <v>2020</v>
      </c>
    </row>
    <row r="716" spans="1:58" s="204" customFormat="1" ht="18" customHeight="1">
      <c r="A716" s="160" t="s">
        <v>512</v>
      </c>
      <c r="B716" s="58" t="s">
        <v>295</v>
      </c>
      <c r="C716" s="58" t="s">
        <v>1331</v>
      </c>
      <c r="D716" s="33" t="s">
        <v>1164</v>
      </c>
      <c r="E716" s="33"/>
      <c r="F716" s="33"/>
      <c r="G716" s="33"/>
      <c r="H716" s="30" t="s">
        <v>1113</v>
      </c>
      <c r="I716" s="82">
        <v>705</v>
      </c>
      <c r="J716" s="212">
        <v>43452</v>
      </c>
      <c r="K716" s="81"/>
      <c r="L716" s="81"/>
      <c r="M716" s="81">
        <v>1</v>
      </c>
      <c r="N716" s="81"/>
      <c r="O716" s="81">
        <v>1</v>
      </c>
      <c r="P716" s="158">
        <v>65826355</v>
      </c>
      <c r="Q716" s="158"/>
      <c r="R716" s="158"/>
      <c r="S716" s="158"/>
      <c r="T716" s="586"/>
      <c r="U716" s="81">
        <v>10</v>
      </c>
      <c r="V716" s="311"/>
      <c r="W716" s="311"/>
      <c r="X716" s="311"/>
      <c r="Y716" s="94"/>
      <c r="Z716" s="81"/>
      <c r="AA716" s="81"/>
      <c r="AB716" s="81"/>
      <c r="AC716" s="81"/>
      <c r="AD716" s="158"/>
      <c r="AE716" s="158">
        <f t="shared" si="131"/>
        <v>65826355</v>
      </c>
      <c r="AF716" s="158"/>
      <c r="AG716" s="94">
        <v>0</v>
      </c>
      <c r="AH716" s="94"/>
      <c r="AI716" s="94"/>
      <c r="AJ716" s="158">
        <f>AE716+AG716</f>
        <v>65826355</v>
      </c>
      <c r="AK716" s="158">
        <v>877</v>
      </c>
      <c r="AL716" s="158">
        <v>10</v>
      </c>
      <c r="AM716" s="158">
        <v>1</v>
      </c>
      <c r="AN716" s="158"/>
      <c r="AO716" s="158"/>
      <c r="AP716" s="158"/>
      <c r="AQ716" s="158"/>
      <c r="AR716" s="158"/>
      <c r="AS716" s="98">
        <v>0</v>
      </c>
      <c r="AT716" s="58" t="s">
        <v>521</v>
      </c>
      <c r="AU716" s="478" t="s">
        <v>1297</v>
      </c>
      <c r="AV716" s="51"/>
      <c r="AW716" s="158"/>
      <c r="AX716" s="158"/>
      <c r="AY716" s="158"/>
      <c r="AZ716" s="158"/>
      <c r="BA716" s="158"/>
      <c r="BB716" s="69"/>
      <c r="BC716" s="69"/>
      <c r="BD716" s="271"/>
      <c r="BE716" s="271">
        <v>2019</v>
      </c>
      <c r="BF716" s="271">
        <v>2020</v>
      </c>
    </row>
    <row r="717" spans="1:58" s="204" customFormat="1" ht="18" customHeight="1">
      <c r="A717" s="160" t="s">
        <v>512</v>
      </c>
      <c r="B717" s="58" t="s">
        <v>295</v>
      </c>
      <c r="C717" s="58" t="s">
        <v>1253</v>
      </c>
      <c r="D717" s="33" t="s">
        <v>119</v>
      </c>
      <c r="E717" s="33"/>
      <c r="F717" s="33"/>
      <c r="G717" s="33"/>
      <c r="H717" s="30" t="s">
        <v>1232</v>
      </c>
      <c r="I717" s="82">
        <v>508</v>
      </c>
      <c r="J717" s="212">
        <v>43543</v>
      </c>
      <c r="K717" s="81"/>
      <c r="L717" s="81"/>
      <c r="M717" s="81">
        <v>16</v>
      </c>
      <c r="N717" s="81">
        <v>16</v>
      </c>
      <c r="O717" s="81"/>
      <c r="P717" s="94">
        <v>1110929911</v>
      </c>
      <c r="Q717" s="94"/>
      <c r="R717" s="94"/>
      <c r="S717" s="94"/>
      <c r="T717" s="586">
        <v>577000617</v>
      </c>
      <c r="U717" s="94">
        <v>20</v>
      </c>
      <c r="V717" s="311">
        <v>43617</v>
      </c>
      <c r="W717" s="311"/>
      <c r="X717" s="311"/>
      <c r="Y717" s="94"/>
      <c r="Z717" s="81"/>
      <c r="AA717" s="81"/>
      <c r="AB717" s="81"/>
      <c r="AC717" s="81"/>
      <c r="AD717" s="158"/>
      <c r="AE717" s="158">
        <f t="shared" si="131"/>
        <v>533929294</v>
      </c>
      <c r="AF717" s="158"/>
      <c r="AG717" s="94">
        <v>0</v>
      </c>
      <c r="AH717" s="94"/>
      <c r="AI717" s="94"/>
      <c r="AJ717" s="158">
        <f t="shared" si="130"/>
        <v>533929294</v>
      </c>
      <c r="AK717" s="158">
        <v>877</v>
      </c>
      <c r="AL717" s="158">
        <v>20</v>
      </c>
      <c r="AM717" s="158"/>
      <c r="AN717" s="158">
        <v>16</v>
      </c>
      <c r="AO717" s="158"/>
      <c r="AP717" s="158"/>
      <c r="AQ717" s="158"/>
      <c r="AR717" s="158"/>
      <c r="AS717" s="56">
        <v>0.23730000000000001</v>
      </c>
      <c r="AT717" s="58" t="s">
        <v>38</v>
      </c>
      <c r="AU717" s="479"/>
      <c r="AV717" s="51"/>
      <c r="AW717" s="158"/>
      <c r="AX717" s="158"/>
      <c r="AY717" s="158"/>
      <c r="AZ717" s="158"/>
      <c r="BA717" s="158"/>
      <c r="BB717" s="69"/>
      <c r="BC717" s="69"/>
      <c r="BD717" s="271"/>
      <c r="BE717" s="271">
        <v>2019</v>
      </c>
      <c r="BF717" s="271">
        <v>2020</v>
      </c>
    </row>
    <row r="718" spans="1:58" s="204" customFormat="1" ht="18" customHeight="1">
      <c r="A718" s="160" t="s">
        <v>512</v>
      </c>
      <c r="B718" s="58" t="s">
        <v>295</v>
      </c>
      <c r="C718" s="58" t="s">
        <v>1254</v>
      </c>
      <c r="D718" s="33" t="s">
        <v>119</v>
      </c>
      <c r="E718" s="33"/>
      <c r="F718" s="33"/>
      <c r="G718" s="33"/>
      <c r="H718" s="30" t="s">
        <v>1232</v>
      </c>
      <c r="I718" s="82">
        <v>509</v>
      </c>
      <c r="J718" s="212">
        <v>43543</v>
      </c>
      <c r="K718" s="81"/>
      <c r="L718" s="81"/>
      <c r="M718" s="81">
        <v>29</v>
      </c>
      <c r="N718" s="81">
        <v>29</v>
      </c>
      <c r="O718" s="81"/>
      <c r="P718" s="94">
        <v>2003852898</v>
      </c>
      <c r="Q718" s="94"/>
      <c r="R718" s="94"/>
      <c r="S718" s="94"/>
      <c r="T718" s="586">
        <v>1040698090</v>
      </c>
      <c r="U718" s="94">
        <v>20</v>
      </c>
      <c r="V718" s="311">
        <v>43617</v>
      </c>
      <c r="W718" s="311"/>
      <c r="X718" s="311"/>
      <c r="Y718" s="94"/>
      <c r="Z718" s="81"/>
      <c r="AA718" s="81"/>
      <c r="AB718" s="81"/>
      <c r="AC718" s="81"/>
      <c r="AD718" s="158"/>
      <c r="AE718" s="158">
        <f t="shared" si="131"/>
        <v>963154808</v>
      </c>
      <c r="AF718" s="158"/>
      <c r="AG718" s="94">
        <v>0</v>
      </c>
      <c r="AH718" s="94"/>
      <c r="AI718" s="94"/>
      <c r="AJ718" s="158">
        <f t="shared" si="130"/>
        <v>963154808</v>
      </c>
      <c r="AK718" s="158">
        <v>877</v>
      </c>
      <c r="AL718" s="158">
        <v>20</v>
      </c>
      <c r="AM718" s="158"/>
      <c r="AN718" s="158">
        <v>29</v>
      </c>
      <c r="AO718" s="158"/>
      <c r="AP718" s="158"/>
      <c r="AQ718" s="158"/>
      <c r="AR718" s="158"/>
      <c r="AS718" s="56">
        <v>7.1499999999999994E-2</v>
      </c>
      <c r="AT718" s="58" t="s">
        <v>38</v>
      </c>
      <c r="AU718" s="479"/>
      <c r="AV718" s="51"/>
      <c r="AW718" s="158"/>
      <c r="AX718" s="158"/>
      <c r="AY718" s="158"/>
      <c r="AZ718" s="158"/>
      <c r="BA718" s="158"/>
      <c r="BB718" s="69"/>
      <c r="BC718" s="69"/>
      <c r="BD718" s="271"/>
      <c r="BE718" s="271">
        <v>2019</v>
      </c>
      <c r="BF718" s="271">
        <v>2020</v>
      </c>
    </row>
    <row r="719" spans="1:58" s="204" customFormat="1" ht="18" customHeight="1">
      <c r="A719" s="160" t="s">
        <v>512</v>
      </c>
      <c r="B719" s="58" t="s">
        <v>295</v>
      </c>
      <c r="C719" s="58" t="s">
        <v>1255</v>
      </c>
      <c r="D719" s="33" t="s">
        <v>119</v>
      </c>
      <c r="E719" s="33"/>
      <c r="F719" s="33"/>
      <c r="G719" s="33"/>
      <c r="H719" s="30" t="s">
        <v>1232</v>
      </c>
      <c r="I719" s="82">
        <v>510</v>
      </c>
      <c r="J719" s="212">
        <v>43543</v>
      </c>
      <c r="K719" s="81"/>
      <c r="L719" s="81"/>
      <c r="M719" s="81">
        <f>37-1</f>
        <v>36</v>
      </c>
      <c r="N719" s="81">
        <v>36</v>
      </c>
      <c r="O719" s="81"/>
      <c r="P719" s="94">
        <f>2597901790-70213562</f>
        <v>2527688228</v>
      </c>
      <c r="Q719" s="94"/>
      <c r="R719" s="94"/>
      <c r="S719" s="94"/>
      <c r="T719" s="586">
        <v>1313596330</v>
      </c>
      <c r="U719" s="94">
        <v>20</v>
      </c>
      <c r="V719" s="311">
        <v>43617</v>
      </c>
      <c r="W719" s="311"/>
      <c r="X719" s="311"/>
      <c r="Y719" s="94"/>
      <c r="Z719" s="81"/>
      <c r="AA719" s="81"/>
      <c r="AB719" s="81"/>
      <c r="AC719" s="81"/>
      <c r="AD719" s="158"/>
      <c r="AE719" s="158">
        <f>P719-T719-Y719</f>
        <v>1214091898</v>
      </c>
      <c r="AF719" s="158"/>
      <c r="AG719" s="94">
        <v>0</v>
      </c>
      <c r="AH719" s="94"/>
      <c r="AI719" s="94"/>
      <c r="AJ719" s="158">
        <f t="shared" si="130"/>
        <v>1214091898</v>
      </c>
      <c r="AK719" s="158">
        <v>877</v>
      </c>
      <c r="AL719" s="158">
        <v>20</v>
      </c>
      <c r="AM719" s="158"/>
      <c r="AN719" s="158">
        <v>36</v>
      </c>
      <c r="AO719" s="158"/>
      <c r="AP719" s="158"/>
      <c r="AQ719" s="158"/>
      <c r="AR719" s="158"/>
      <c r="AS719" s="56">
        <v>8.1100000000000005E-2</v>
      </c>
      <c r="AT719" s="58" t="s">
        <v>38</v>
      </c>
      <c r="AU719" s="479" t="s">
        <v>2188</v>
      </c>
      <c r="AV719" s="51"/>
      <c r="AW719" s="158"/>
      <c r="AX719" s="158"/>
      <c r="AY719" s="158"/>
      <c r="AZ719" s="158"/>
      <c r="BA719" s="158"/>
      <c r="BB719" s="69"/>
      <c r="BC719" s="69"/>
      <c r="BD719" s="271"/>
      <c r="BE719" s="271">
        <v>2019</v>
      </c>
      <c r="BF719" s="271">
        <v>2020</v>
      </c>
    </row>
    <row r="720" spans="1:58" s="204" customFormat="1" ht="18" customHeight="1">
      <c r="A720" s="160" t="s">
        <v>512</v>
      </c>
      <c r="B720" s="58" t="s">
        <v>295</v>
      </c>
      <c r="C720" s="58" t="s">
        <v>1255</v>
      </c>
      <c r="D720" s="33" t="s">
        <v>119</v>
      </c>
      <c r="E720" s="33"/>
      <c r="F720" s="33"/>
      <c r="G720" s="33"/>
      <c r="H720" s="30" t="s">
        <v>1232</v>
      </c>
      <c r="I720" s="82">
        <v>510</v>
      </c>
      <c r="J720" s="212">
        <v>43543</v>
      </c>
      <c r="K720" s="81"/>
      <c r="L720" s="81"/>
      <c r="M720" s="81">
        <v>1</v>
      </c>
      <c r="N720" s="81">
        <v>1</v>
      </c>
      <c r="O720" s="81"/>
      <c r="P720" s="94">
        <v>70213562</v>
      </c>
      <c r="Q720" s="94"/>
      <c r="R720" s="94"/>
      <c r="S720" s="94"/>
      <c r="T720" s="586"/>
      <c r="U720" s="94"/>
      <c r="V720" s="311"/>
      <c r="W720" s="311"/>
      <c r="X720" s="311"/>
      <c r="Y720" s="94"/>
      <c r="Z720" s="81"/>
      <c r="AA720" s="81"/>
      <c r="AB720" s="81"/>
      <c r="AC720" s="81"/>
      <c r="AD720" s="158"/>
      <c r="AE720" s="158">
        <f>P720-T720-Y720</f>
        <v>70213562</v>
      </c>
      <c r="AF720" s="158"/>
      <c r="AG720" s="94">
        <v>0</v>
      </c>
      <c r="AH720" s="94"/>
      <c r="AI720" s="94"/>
      <c r="AJ720" s="158">
        <f t="shared" si="130"/>
        <v>70213562</v>
      </c>
      <c r="AK720" s="158">
        <v>877</v>
      </c>
      <c r="AL720" s="158">
        <v>20</v>
      </c>
      <c r="AM720" s="158"/>
      <c r="AN720" s="158">
        <v>1</v>
      </c>
      <c r="AO720" s="158"/>
      <c r="AP720" s="158"/>
      <c r="AQ720" s="158"/>
      <c r="AR720" s="158"/>
      <c r="AS720" s="56">
        <v>8.1100000000000005E-2</v>
      </c>
      <c r="AT720" s="58" t="s">
        <v>38</v>
      </c>
      <c r="AU720" s="479"/>
      <c r="AV720" s="51"/>
      <c r="AW720" s="158"/>
      <c r="AX720" s="158"/>
      <c r="AY720" s="158"/>
      <c r="AZ720" s="158"/>
      <c r="BA720" s="158"/>
      <c r="BB720" s="69"/>
      <c r="BC720" s="69"/>
      <c r="BD720" s="271"/>
      <c r="BE720" s="271">
        <v>2019</v>
      </c>
      <c r="BF720" s="271">
        <v>2020</v>
      </c>
    </row>
    <row r="721" spans="1:58" s="204" customFormat="1" ht="25.5" customHeight="1">
      <c r="A721" s="160" t="s">
        <v>512</v>
      </c>
      <c r="B721" s="58" t="s">
        <v>1579</v>
      </c>
      <c r="C721" s="88" t="s">
        <v>1612</v>
      </c>
      <c r="D721" s="33" t="s">
        <v>46</v>
      </c>
      <c r="E721" s="33"/>
      <c r="F721" s="33"/>
      <c r="G721" s="33"/>
      <c r="H721" s="30" t="s">
        <v>1605</v>
      </c>
      <c r="I721" s="82">
        <v>1382</v>
      </c>
      <c r="J721" s="212">
        <v>43685</v>
      </c>
      <c r="K721" s="81"/>
      <c r="L721" s="81"/>
      <c r="M721" s="81">
        <v>74</v>
      </c>
      <c r="N721" s="81">
        <v>74</v>
      </c>
      <c r="O721" s="81"/>
      <c r="P721" s="94">
        <v>5371476569</v>
      </c>
      <c r="Q721" s="94"/>
      <c r="R721" s="94"/>
      <c r="S721" s="94"/>
      <c r="T721" s="586">
        <f>2937801857+26857382</f>
        <v>2964659239</v>
      </c>
      <c r="U721" s="94">
        <v>20</v>
      </c>
      <c r="V721" s="311">
        <v>43709</v>
      </c>
      <c r="W721" s="311"/>
      <c r="X721" s="311"/>
      <c r="Y721" s="94">
        <v>2406817330</v>
      </c>
      <c r="Z721" s="81">
        <v>20</v>
      </c>
      <c r="AA721" s="311">
        <v>43826</v>
      </c>
      <c r="AB721" s="311"/>
      <c r="AC721" s="81"/>
      <c r="AD721" s="158"/>
      <c r="AE721" s="158">
        <f>P721-T721-Y721</f>
        <v>0</v>
      </c>
      <c r="AF721" s="158"/>
      <c r="AG721" s="94">
        <v>0</v>
      </c>
      <c r="AH721" s="94"/>
      <c r="AI721" s="94"/>
      <c r="AJ721" s="158">
        <f t="shared" si="130"/>
        <v>0</v>
      </c>
      <c r="AK721" s="158">
        <v>877</v>
      </c>
      <c r="AL721" s="158">
        <v>20</v>
      </c>
      <c r="AM721" s="158"/>
      <c r="AN721" s="158">
        <v>74</v>
      </c>
      <c r="AO721" s="158"/>
      <c r="AP721" s="158"/>
      <c r="AQ721" s="158"/>
      <c r="AR721" s="158"/>
      <c r="AS721" s="56">
        <v>0.2278</v>
      </c>
      <c r="AT721" s="58" t="s">
        <v>38</v>
      </c>
      <c r="AU721" s="479"/>
      <c r="AV721" s="51"/>
      <c r="AW721" s="158"/>
      <c r="AX721" s="158"/>
      <c r="AY721" s="158"/>
      <c r="AZ721" s="158"/>
      <c r="BA721" s="158"/>
      <c r="BB721" s="69"/>
      <c r="BC721" s="69"/>
      <c r="BD721" s="271"/>
      <c r="BE721" s="271">
        <v>2019</v>
      </c>
      <c r="BF721" s="271">
        <v>2020</v>
      </c>
    </row>
    <row r="722" spans="1:58" s="204" customFormat="1" ht="27.75" customHeight="1">
      <c r="A722" s="160" t="s">
        <v>512</v>
      </c>
      <c r="B722" s="58" t="s">
        <v>1579</v>
      </c>
      <c r="C722" s="487" t="s">
        <v>1612</v>
      </c>
      <c r="D722" s="483" t="s">
        <v>46</v>
      </c>
      <c r="E722" s="483"/>
      <c r="F722" s="483"/>
      <c r="G722" s="483"/>
      <c r="H722" s="30" t="s">
        <v>1605</v>
      </c>
      <c r="I722" s="82">
        <v>1382</v>
      </c>
      <c r="J722" s="212">
        <v>43685</v>
      </c>
      <c r="K722" s="81"/>
      <c r="L722" s="81"/>
      <c r="M722" s="81">
        <v>1</v>
      </c>
      <c r="N722" s="81">
        <v>1</v>
      </c>
      <c r="O722" s="81"/>
      <c r="P722" s="94">
        <v>72587522</v>
      </c>
      <c r="Q722" s="94"/>
      <c r="R722" s="94"/>
      <c r="S722" s="94"/>
      <c r="T722" s="624">
        <f>39116118+362938</f>
        <v>39479056</v>
      </c>
      <c r="U722" s="175">
        <v>20</v>
      </c>
      <c r="V722" s="484">
        <v>43900</v>
      </c>
      <c r="W722" s="484"/>
      <c r="X722" s="484"/>
      <c r="Y722" s="611">
        <v>33108466</v>
      </c>
      <c r="Z722" s="181">
        <v>20</v>
      </c>
      <c r="AA722" s="484">
        <v>43951</v>
      </c>
      <c r="AB722" s="615"/>
      <c r="AC722" s="81"/>
      <c r="AD722" s="158"/>
      <c r="AE722" s="158">
        <f>P722-T722-Y722</f>
        <v>0</v>
      </c>
      <c r="AF722" s="158"/>
      <c r="AG722" s="158">
        <v>0</v>
      </c>
      <c r="AH722" s="158"/>
      <c r="AI722" s="158"/>
      <c r="AJ722" s="158">
        <f t="shared" si="130"/>
        <v>0</v>
      </c>
      <c r="AK722" s="158">
        <v>877</v>
      </c>
      <c r="AL722" s="158">
        <v>20</v>
      </c>
      <c r="AM722" s="72"/>
      <c r="AN722" s="72">
        <v>1</v>
      </c>
      <c r="AO722" s="158"/>
      <c r="AP722" s="158"/>
      <c r="AQ722" s="158"/>
      <c r="AR722" s="158"/>
      <c r="AS722" s="494">
        <v>0</v>
      </c>
      <c r="AT722" s="485" t="s">
        <v>38</v>
      </c>
      <c r="AU722" s="479"/>
      <c r="AV722" s="51"/>
      <c r="AW722" s="158"/>
      <c r="AX722" s="158"/>
      <c r="AY722" s="158"/>
      <c r="AZ722" s="158"/>
      <c r="BA722" s="158"/>
      <c r="BB722" s="69"/>
      <c r="BC722" s="69"/>
      <c r="BD722" s="271"/>
      <c r="BE722" s="271">
        <v>2019</v>
      </c>
      <c r="BF722" s="271">
        <v>2020</v>
      </c>
    </row>
    <row r="723" spans="1:58" s="204" customFormat="1" ht="18" customHeight="1">
      <c r="A723" s="160" t="s">
        <v>512</v>
      </c>
      <c r="B723" s="58" t="s">
        <v>1579</v>
      </c>
      <c r="C723" s="58" t="s">
        <v>300</v>
      </c>
      <c r="D723" s="33" t="s">
        <v>1578</v>
      </c>
      <c r="E723" s="33"/>
      <c r="F723" s="33"/>
      <c r="G723" s="33"/>
      <c r="H723" s="30" t="s">
        <v>1553</v>
      </c>
      <c r="I723" s="82">
        <v>1663</v>
      </c>
      <c r="J723" s="212">
        <v>43731</v>
      </c>
      <c r="K723" s="81"/>
      <c r="L723" s="81"/>
      <c r="M723" s="81">
        <v>34</v>
      </c>
      <c r="N723" s="81">
        <v>34</v>
      </c>
      <c r="O723" s="81"/>
      <c r="P723" s="94">
        <v>2441697739</v>
      </c>
      <c r="Q723" s="94"/>
      <c r="R723" s="94"/>
      <c r="S723" s="94"/>
      <c r="T723" s="586"/>
      <c r="U723" s="94"/>
      <c r="V723" s="311"/>
      <c r="W723" s="311"/>
      <c r="X723" s="311"/>
      <c r="Y723" s="94"/>
      <c r="Z723" s="81"/>
      <c r="AA723" s="81"/>
      <c r="AB723" s="81"/>
      <c r="AC723" s="81"/>
      <c r="AD723" s="158"/>
      <c r="AE723" s="158">
        <f>P723-T723-Y723-AG723</f>
        <v>2441697739</v>
      </c>
      <c r="AF723" s="158"/>
      <c r="AG723" s="94">
        <v>0</v>
      </c>
      <c r="AH723" s="94"/>
      <c r="AI723" s="94"/>
      <c r="AJ723" s="158">
        <f t="shared" si="130"/>
        <v>2441697739</v>
      </c>
      <c r="AK723" s="158">
        <v>877</v>
      </c>
      <c r="AL723" s="158">
        <v>10</v>
      </c>
      <c r="AM723" s="158">
        <v>34</v>
      </c>
      <c r="AN723" s="158"/>
      <c r="AO723" s="158"/>
      <c r="AP723" s="158"/>
      <c r="AQ723" s="158"/>
      <c r="AR723" s="158"/>
      <c r="AS723" s="56">
        <v>0</v>
      </c>
      <c r="AT723" s="58" t="s">
        <v>521</v>
      </c>
      <c r="AU723" s="479" t="s">
        <v>2206</v>
      </c>
      <c r="AV723" s="51"/>
      <c r="AW723" s="158"/>
      <c r="AX723" s="158"/>
      <c r="AY723" s="158"/>
      <c r="AZ723" s="158"/>
      <c r="BA723" s="158"/>
      <c r="BB723" s="69"/>
      <c r="BC723" s="69"/>
      <c r="BD723" s="271"/>
      <c r="BE723" s="271">
        <v>2019</v>
      </c>
      <c r="BF723" s="271">
        <v>2020</v>
      </c>
    </row>
    <row r="724" spans="1:58" s="204" customFormat="1" ht="18" customHeight="1">
      <c r="A724" s="160" t="s">
        <v>512</v>
      </c>
      <c r="B724" s="58" t="s">
        <v>1579</v>
      </c>
      <c r="C724" s="485" t="s">
        <v>2234</v>
      </c>
      <c r="D724" s="483" t="s">
        <v>1015</v>
      </c>
      <c r="E724" s="483"/>
      <c r="F724" s="483"/>
      <c r="G724" s="483"/>
      <c r="H724" s="30" t="s">
        <v>1763</v>
      </c>
      <c r="I724" s="82">
        <v>1857</v>
      </c>
      <c r="J724" s="212">
        <v>43766</v>
      </c>
      <c r="K724" s="81"/>
      <c r="L724" s="81"/>
      <c r="M724" s="81">
        <v>77</v>
      </c>
      <c r="N724" s="81">
        <v>77</v>
      </c>
      <c r="O724" s="81"/>
      <c r="P724" s="158">
        <v>6409638194</v>
      </c>
      <c r="Q724" s="94"/>
      <c r="R724" s="94"/>
      <c r="S724" s="94"/>
      <c r="T724" s="586">
        <v>3507333675</v>
      </c>
      <c r="U724" s="94">
        <v>20</v>
      </c>
      <c r="V724" s="311">
        <v>43770</v>
      </c>
      <c r="W724" s="311"/>
      <c r="X724" s="311"/>
      <c r="Y724" s="625">
        <v>2902304519</v>
      </c>
      <c r="Z724" s="181">
        <v>20</v>
      </c>
      <c r="AA724" s="484">
        <v>43920</v>
      </c>
      <c r="AB724" s="615"/>
      <c r="AC724" s="81"/>
      <c r="AD724" s="158"/>
      <c r="AE724" s="158">
        <f>P724-T724-Y724-AG724</f>
        <v>0</v>
      </c>
      <c r="AF724" s="158"/>
      <c r="AG724" s="94">
        <v>0</v>
      </c>
      <c r="AH724" s="94"/>
      <c r="AI724" s="94"/>
      <c r="AJ724" s="158">
        <f t="shared" si="130"/>
        <v>0</v>
      </c>
      <c r="AK724" s="158">
        <v>877</v>
      </c>
      <c r="AL724" s="158">
        <v>20</v>
      </c>
      <c r="AM724" s="158"/>
      <c r="AN724" s="72">
        <v>77</v>
      </c>
      <c r="AO724" s="158"/>
      <c r="AP724" s="158"/>
      <c r="AQ724" s="158"/>
      <c r="AR724" s="158"/>
      <c r="AS724" s="494">
        <v>0</v>
      </c>
      <c r="AT724" s="485" t="s">
        <v>38</v>
      </c>
      <c r="AU724" s="479"/>
      <c r="AV724" s="51"/>
      <c r="AW724" s="158"/>
      <c r="AX724" s="158"/>
      <c r="AY724" s="158"/>
      <c r="AZ724" s="158"/>
      <c r="BA724" s="158"/>
      <c r="BB724" s="69"/>
      <c r="BC724" s="69"/>
      <c r="BD724" s="271"/>
      <c r="BE724" s="271">
        <v>2019</v>
      </c>
      <c r="BF724" s="271">
        <v>2020</v>
      </c>
    </row>
    <row r="725" spans="1:58" ht="15" customHeight="1">
      <c r="A725" s="371" t="s">
        <v>513</v>
      </c>
      <c r="B725" s="371"/>
      <c r="C725" s="371"/>
      <c r="D725" s="371"/>
      <c r="E725" s="371"/>
      <c r="F725" s="371"/>
      <c r="G725" s="371"/>
      <c r="H725" s="371"/>
      <c r="I725" s="371"/>
      <c r="J725" s="371"/>
      <c r="K725" s="371">
        <f>SUM(K726:K743)</f>
        <v>31</v>
      </c>
      <c r="L725" s="370">
        <f t="shared" ref="L725" si="132">SUM(L726:L743)</f>
        <v>124</v>
      </c>
      <c r="M725" s="370">
        <f>SUM(M726:M743)</f>
        <v>93</v>
      </c>
      <c r="N725" s="370">
        <f t="shared" ref="N725:O725" si="133">SUM(N726:N743)</f>
        <v>90</v>
      </c>
      <c r="O725" s="370">
        <f t="shared" si="133"/>
        <v>1</v>
      </c>
      <c r="P725" s="371"/>
      <c r="Q725" s="371"/>
      <c r="R725" s="371"/>
      <c r="S725" s="371"/>
      <c r="T725" s="586"/>
      <c r="U725" s="371"/>
      <c r="V725" s="371"/>
      <c r="W725" s="371"/>
      <c r="X725" s="371"/>
      <c r="Y725" s="371"/>
      <c r="Z725" s="371"/>
      <c r="AA725" s="371"/>
      <c r="AB725" s="371"/>
      <c r="AC725" s="371"/>
      <c r="AD725" s="371"/>
      <c r="AE725" s="371"/>
      <c r="AF725" s="371"/>
      <c r="AG725" s="371"/>
      <c r="AH725" s="371"/>
      <c r="AI725" s="371"/>
      <c r="AJ725" s="371"/>
      <c r="AK725" s="371"/>
      <c r="AL725" s="371"/>
      <c r="AM725" s="370">
        <f t="shared" ref="AM725:AR725" si="134">SUM(AM726:AM743)</f>
        <v>1</v>
      </c>
      <c r="AN725" s="370">
        <f t="shared" si="134"/>
        <v>90</v>
      </c>
      <c r="AO725" s="370">
        <f t="shared" si="134"/>
        <v>0</v>
      </c>
      <c r="AP725" s="370">
        <f t="shared" si="134"/>
        <v>0</v>
      </c>
      <c r="AQ725" s="370">
        <f t="shared" si="134"/>
        <v>0</v>
      </c>
      <c r="AR725" s="370">
        <f t="shared" si="134"/>
        <v>0</v>
      </c>
      <c r="AS725" s="371"/>
      <c r="AT725" s="371"/>
      <c r="AU725" s="397"/>
      <c r="AV725" s="370">
        <f t="shared" ref="AV725:BC725" si="135">SUM(AV726:AV743)</f>
        <v>44</v>
      </c>
      <c r="AW725" s="370">
        <f t="shared" si="135"/>
        <v>175</v>
      </c>
      <c r="AX725" s="370">
        <f t="shared" si="135"/>
        <v>181</v>
      </c>
      <c r="AY725" s="370">
        <f t="shared" si="135"/>
        <v>123</v>
      </c>
      <c r="AZ725" s="370"/>
      <c r="BA725" s="370">
        <f t="shared" si="135"/>
        <v>141</v>
      </c>
      <c r="BB725" s="370">
        <f t="shared" si="135"/>
        <v>163</v>
      </c>
      <c r="BC725" s="371">
        <f t="shared" si="135"/>
        <v>3</v>
      </c>
      <c r="BD725" s="371"/>
      <c r="BE725" s="371">
        <v>2019</v>
      </c>
      <c r="BF725" s="371">
        <v>2020</v>
      </c>
    </row>
    <row r="726" spans="1:58" s="204" customFormat="1" ht="15" hidden="1" customHeight="1">
      <c r="A726" s="160" t="s">
        <v>513</v>
      </c>
      <c r="B726" s="58" t="s">
        <v>1789</v>
      </c>
      <c r="C726" s="58" t="s">
        <v>305</v>
      </c>
      <c r="D726" s="33" t="s">
        <v>30</v>
      </c>
      <c r="E726" s="33"/>
      <c r="F726" s="33"/>
      <c r="G726" s="33"/>
      <c r="H726" s="30"/>
      <c r="I726" s="58"/>
      <c r="J726" s="212"/>
      <c r="K726" s="158"/>
      <c r="L726" s="158"/>
      <c r="M726" s="158"/>
      <c r="N726" s="158"/>
      <c r="O726" s="158"/>
      <c r="P726" s="158"/>
      <c r="Q726" s="158"/>
      <c r="R726" s="158"/>
      <c r="S726" s="158"/>
      <c r="T726" s="586"/>
      <c r="U726" s="158"/>
      <c r="V726" s="311"/>
      <c r="W726" s="311"/>
      <c r="X726" s="311"/>
      <c r="Y726" s="94"/>
      <c r="Z726" s="158"/>
      <c r="AA726" s="158"/>
      <c r="AB726" s="158"/>
      <c r="AC726" s="158"/>
      <c r="AD726" s="158"/>
      <c r="AE726" s="158"/>
      <c r="AF726" s="158"/>
      <c r="AG726" s="158"/>
      <c r="AH726" s="158"/>
      <c r="AI726" s="158"/>
      <c r="AJ726" s="158"/>
      <c r="AK726" s="158"/>
      <c r="AL726" s="158"/>
      <c r="AM726" s="158"/>
      <c r="AN726" s="158"/>
      <c r="AO726" s="158"/>
      <c r="AP726" s="158"/>
      <c r="AQ726" s="158"/>
      <c r="AR726" s="158"/>
      <c r="AS726" s="2"/>
      <c r="AT726" s="58"/>
      <c r="AU726" s="479"/>
      <c r="AV726" s="158">
        <v>24</v>
      </c>
      <c r="AW726" s="158"/>
      <c r="AX726" s="158"/>
      <c r="AY726" s="158"/>
      <c r="AZ726" s="158"/>
      <c r="BA726" s="158"/>
      <c r="BB726" s="69"/>
      <c r="BC726" s="69"/>
      <c r="BD726" s="271">
        <v>2016</v>
      </c>
      <c r="BE726" s="271"/>
      <c r="BF726" s="268"/>
    </row>
    <row r="727" spans="1:58" s="204" customFormat="1" ht="15" hidden="1" customHeight="1">
      <c r="A727" s="160" t="s">
        <v>513</v>
      </c>
      <c r="B727" s="58" t="s">
        <v>1789</v>
      </c>
      <c r="C727" s="58" t="s">
        <v>307</v>
      </c>
      <c r="D727" s="33" t="s">
        <v>30</v>
      </c>
      <c r="E727" s="33"/>
      <c r="F727" s="33"/>
      <c r="G727" s="33"/>
      <c r="H727" s="30"/>
      <c r="I727" s="58"/>
      <c r="J727" s="212"/>
      <c r="K727" s="158"/>
      <c r="L727" s="158"/>
      <c r="M727" s="158"/>
      <c r="N727" s="158"/>
      <c r="O727" s="158"/>
      <c r="P727" s="158"/>
      <c r="Q727" s="158"/>
      <c r="R727" s="158"/>
      <c r="S727" s="158"/>
      <c r="T727" s="586"/>
      <c r="U727" s="158"/>
      <c r="V727" s="311"/>
      <c r="W727" s="311"/>
      <c r="X727" s="311"/>
      <c r="Y727" s="94"/>
      <c r="Z727" s="158"/>
      <c r="AA727" s="158"/>
      <c r="AB727" s="158"/>
      <c r="AC727" s="158"/>
      <c r="AD727" s="158"/>
      <c r="AE727" s="158"/>
      <c r="AF727" s="158"/>
      <c r="AG727" s="158"/>
      <c r="AH727" s="158"/>
      <c r="AI727" s="158"/>
      <c r="AJ727" s="158"/>
      <c r="AK727" s="158"/>
      <c r="AL727" s="158"/>
      <c r="AM727" s="158"/>
      <c r="AN727" s="158"/>
      <c r="AO727" s="158"/>
      <c r="AP727" s="158"/>
      <c r="AQ727" s="158"/>
      <c r="AR727" s="158"/>
      <c r="AS727" s="2"/>
      <c r="AT727" s="58"/>
      <c r="AU727" s="479"/>
      <c r="AV727" s="158">
        <v>5</v>
      </c>
      <c r="AW727" s="158"/>
      <c r="AX727" s="158"/>
      <c r="AY727" s="158"/>
      <c r="AZ727" s="158"/>
      <c r="BA727" s="158"/>
      <c r="BB727" s="69"/>
      <c r="BC727" s="69"/>
      <c r="BD727" s="271">
        <v>2016</v>
      </c>
      <c r="BE727" s="271"/>
      <c r="BF727" s="268"/>
    </row>
    <row r="728" spans="1:58" s="204" customFormat="1" ht="15" hidden="1" customHeight="1">
      <c r="A728" s="160" t="s">
        <v>513</v>
      </c>
      <c r="B728" s="58" t="s">
        <v>1789</v>
      </c>
      <c r="C728" s="58" t="s">
        <v>308</v>
      </c>
      <c r="D728" s="33" t="s">
        <v>30</v>
      </c>
      <c r="E728" s="33"/>
      <c r="F728" s="33"/>
      <c r="G728" s="33"/>
      <c r="H728" s="30"/>
      <c r="I728" s="58"/>
      <c r="J728" s="212"/>
      <c r="K728" s="158"/>
      <c r="L728" s="158"/>
      <c r="M728" s="158"/>
      <c r="N728" s="158"/>
      <c r="O728" s="158"/>
      <c r="P728" s="158"/>
      <c r="Q728" s="158"/>
      <c r="R728" s="158"/>
      <c r="S728" s="158"/>
      <c r="T728" s="586"/>
      <c r="U728" s="158"/>
      <c r="V728" s="311"/>
      <c r="W728" s="311"/>
      <c r="X728" s="311"/>
      <c r="Y728" s="94"/>
      <c r="Z728" s="158"/>
      <c r="AA728" s="158"/>
      <c r="AB728" s="158"/>
      <c r="AC728" s="158"/>
      <c r="AD728" s="158"/>
      <c r="AE728" s="158"/>
      <c r="AF728" s="158"/>
      <c r="AG728" s="158"/>
      <c r="AH728" s="158"/>
      <c r="AI728" s="158"/>
      <c r="AJ728" s="158"/>
      <c r="AK728" s="158"/>
      <c r="AL728" s="158"/>
      <c r="AM728" s="158"/>
      <c r="AN728" s="158"/>
      <c r="AO728" s="158"/>
      <c r="AP728" s="158"/>
      <c r="AQ728" s="158"/>
      <c r="AR728" s="158"/>
      <c r="AS728" s="2"/>
      <c r="AT728" s="58"/>
      <c r="AU728" s="479"/>
      <c r="AV728" s="158">
        <v>15</v>
      </c>
      <c r="AW728" s="158"/>
      <c r="AX728" s="158"/>
      <c r="AY728" s="158"/>
      <c r="AZ728" s="158"/>
      <c r="BA728" s="158"/>
      <c r="BB728" s="69"/>
      <c r="BC728" s="69"/>
      <c r="BD728" s="271">
        <v>2016</v>
      </c>
      <c r="BE728" s="271"/>
      <c r="BF728" s="268"/>
    </row>
    <row r="729" spans="1:58" s="204" customFormat="1" ht="15" hidden="1" customHeight="1">
      <c r="A729" s="160" t="s">
        <v>513</v>
      </c>
      <c r="B729" s="58" t="s">
        <v>783</v>
      </c>
      <c r="C729" s="1" t="s">
        <v>309</v>
      </c>
      <c r="D729" s="33" t="s">
        <v>30</v>
      </c>
      <c r="E729" s="33"/>
      <c r="F729" s="33"/>
      <c r="G729" s="33"/>
      <c r="H729" s="30" t="s">
        <v>684</v>
      </c>
      <c r="I729" s="34"/>
      <c r="J729" s="212"/>
      <c r="K729" s="158"/>
      <c r="L729" s="158"/>
      <c r="M729" s="158"/>
      <c r="N729" s="158"/>
      <c r="O729" s="158"/>
      <c r="P729" s="158"/>
      <c r="Q729" s="158"/>
      <c r="R729" s="158"/>
      <c r="S729" s="158"/>
      <c r="T729" s="586"/>
      <c r="U729" s="158"/>
      <c r="V729" s="311"/>
      <c r="W729" s="311"/>
      <c r="X729" s="311"/>
      <c r="Y729" s="94"/>
      <c r="Z729" s="158"/>
      <c r="AA729" s="158"/>
      <c r="AB729" s="158"/>
      <c r="AC729" s="158"/>
      <c r="AD729" s="158"/>
      <c r="AE729" s="158"/>
      <c r="AF729" s="158"/>
      <c r="AG729" s="158"/>
      <c r="AH729" s="158"/>
      <c r="AI729" s="158"/>
      <c r="AJ729" s="158"/>
      <c r="AK729" s="158"/>
      <c r="AL729" s="158"/>
      <c r="AM729" s="158"/>
      <c r="AN729" s="158"/>
      <c r="AO729" s="11"/>
      <c r="AP729" s="158"/>
      <c r="AQ729" s="158"/>
      <c r="AR729" s="158"/>
      <c r="AS729" s="2">
        <v>1</v>
      </c>
      <c r="AT729" s="58" t="s">
        <v>646</v>
      </c>
      <c r="AU729" s="479"/>
      <c r="AV729" s="158" t="s">
        <v>0</v>
      </c>
      <c r="AW729" s="12">
        <v>75</v>
      </c>
      <c r="AX729" s="11"/>
      <c r="AY729" s="11"/>
      <c r="AZ729" s="11"/>
      <c r="BA729" s="11"/>
      <c r="BB729" s="70"/>
      <c r="BC729" s="70"/>
      <c r="BD729" s="271">
        <v>2017</v>
      </c>
      <c r="BE729" s="271"/>
      <c r="BF729" s="268"/>
    </row>
    <row r="730" spans="1:58" s="204" customFormat="1" ht="15" hidden="1" customHeight="1">
      <c r="A730" s="160" t="s">
        <v>513</v>
      </c>
      <c r="B730" s="58" t="s">
        <v>783</v>
      </c>
      <c r="C730" s="1" t="s">
        <v>309</v>
      </c>
      <c r="D730" s="33" t="s">
        <v>30</v>
      </c>
      <c r="E730" s="33"/>
      <c r="F730" s="33"/>
      <c r="G730" s="33"/>
      <c r="H730" s="30" t="s">
        <v>684</v>
      </c>
      <c r="I730" s="34"/>
      <c r="J730" s="212"/>
      <c r="K730" s="158"/>
      <c r="L730" s="158"/>
      <c r="M730" s="158"/>
      <c r="N730" s="158"/>
      <c r="O730" s="158"/>
      <c r="P730" s="158"/>
      <c r="Q730" s="158"/>
      <c r="R730" s="158"/>
      <c r="S730" s="158"/>
      <c r="T730" s="586"/>
      <c r="U730" s="158"/>
      <c r="V730" s="311"/>
      <c r="W730" s="311"/>
      <c r="X730" s="311"/>
      <c r="Y730" s="94"/>
      <c r="Z730" s="158"/>
      <c r="AA730" s="158"/>
      <c r="AB730" s="158"/>
      <c r="AC730" s="158"/>
      <c r="AD730" s="158"/>
      <c r="AE730" s="158"/>
      <c r="AF730" s="158"/>
      <c r="AG730" s="158"/>
      <c r="AH730" s="158"/>
      <c r="AI730" s="158"/>
      <c r="AJ730" s="158"/>
      <c r="AK730" s="158"/>
      <c r="AL730" s="158"/>
      <c r="AM730" s="158"/>
      <c r="AN730" s="158"/>
      <c r="AO730" s="11"/>
      <c r="AP730" s="158"/>
      <c r="AQ730" s="158"/>
      <c r="AR730" s="158"/>
      <c r="AS730" s="2">
        <v>1</v>
      </c>
      <c r="AT730" s="58" t="s">
        <v>646</v>
      </c>
      <c r="AU730" s="479"/>
      <c r="AV730" s="158" t="s">
        <v>0</v>
      </c>
      <c r="AW730" s="12">
        <v>4</v>
      </c>
      <c r="AX730" s="11"/>
      <c r="AY730" s="11"/>
      <c r="AZ730" s="11"/>
      <c r="BA730" s="11"/>
      <c r="BB730" s="70"/>
      <c r="BC730" s="70"/>
      <c r="BD730" s="271">
        <v>2017</v>
      </c>
      <c r="BE730" s="271"/>
      <c r="BF730" s="268"/>
    </row>
    <row r="731" spans="1:58" s="204" customFormat="1" ht="15" hidden="1" customHeight="1">
      <c r="A731" s="160" t="s">
        <v>513</v>
      </c>
      <c r="B731" s="58" t="s">
        <v>1789</v>
      </c>
      <c r="C731" s="1" t="s">
        <v>310</v>
      </c>
      <c r="D731" s="33" t="s">
        <v>311</v>
      </c>
      <c r="E731" s="33"/>
      <c r="F731" s="33"/>
      <c r="G731" s="33"/>
      <c r="H731" s="30" t="s">
        <v>682</v>
      </c>
      <c r="I731" s="34"/>
      <c r="J731" s="212"/>
      <c r="K731" s="158"/>
      <c r="L731" s="158"/>
      <c r="M731" s="158"/>
      <c r="N731" s="158"/>
      <c r="O731" s="158"/>
      <c r="P731" s="158"/>
      <c r="Q731" s="158"/>
      <c r="R731" s="158"/>
      <c r="S731" s="158"/>
      <c r="T731" s="586"/>
      <c r="U731" s="158"/>
      <c r="V731" s="311"/>
      <c r="W731" s="311"/>
      <c r="X731" s="311"/>
      <c r="Y731" s="94"/>
      <c r="Z731" s="158"/>
      <c r="AA731" s="158"/>
      <c r="AB731" s="158"/>
      <c r="AC731" s="158"/>
      <c r="AD731" s="158"/>
      <c r="AE731" s="158"/>
      <c r="AF731" s="158"/>
      <c r="AG731" s="158"/>
      <c r="AH731" s="158"/>
      <c r="AI731" s="158"/>
      <c r="AJ731" s="158"/>
      <c r="AK731" s="158"/>
      <c r="AL731" s="158"/>
      <c r="AM731" s="158"/>
      <c r="AN731" s="158"/>
      <c r="AO731" s="158"/>
      <c r="AP731" s="158"/>
      <c r="AQ731" s="158"/>
      <c r="AR731" s="158"/>
      <c r="AS731" s="2">
        <v>1</v>
      </c>
      <c r="AT731" s="58" t="s">
        <v>646</v>
      </c>
      <c r="AU731" s="479"/>
      <c r="AV731" s="158" t="s">
        <v>0</v>
      </c>
      <c r="AW731" s="158">
        <v>60</v>
      </c>
      <c r="AX731" s="158"/>
      <c r="AY731" s="158"/>
      <c r="AZ731" s="158"/>
      <c r="BA731" s="158"/>
      <c r="BB731" s="69"/>
      <c r="BC731" s="69"/>
      <c r="BD731" s="271">
        <v>2017</v>
      </c>
      <c r="BE731" s="271"/>
      <c r="BF731" s="268"/>
    </row>
    <row r="732" spans="1:58" s="204" customFormat="1" ht="15" hidden="1" customHeight="1">
      <c r="A732" s="160" t="s">
        <v>513</v>
      </c>
      <c r="B732" s="58" t="s">
        <v>1789</v>
      </c>
      <c r="C732" s="58" t="s">
        <v>312</v>
      </c>
      <c r="D732" s="33" t="s">
        <v>43</v>
      </c>
      <c r="E732" s="33"/>
      <c r="F732" s="33"/>
      <c r="G732" s="33"/>
      <c r="H732" s="30" t="s">
        <v>682</v>
      </c>
      <c r="I732" s="30"/>
      <c r="J732" s="212"/>
      <c r="K732" s="158"/>
      <c r="L732" s="158"/>
      <c r="M732" s="158"/>
      <c r="N732" s="158"/>
      <c r="O732" s="158"/>
      <c r="P732" s="158"/>
      <c r="Q732" s="158"/>
      <c r="R732" s="158"/>
      <c r="S732" s="158"/>
      <c r="T732" s="586"/>
      <c r="U732" s="158"/>
      <c r="V732" s="311"/>
      <c r="W732" s="311"/>
      <c r="X732" s="311"/>
      <c r="Y732" s="94"/>
      <c r="Z732" s="158"/>
      <c r="AA732" s="158"/>
      <c r="AB732" s="158"/>
      <c r="AC732" s="158"/>
      <c r="AD732" s="158"/>
      <c r="AE732" s="158"/>
      <c r="AF732" s="158"/>
      <c r="AG732" s="158"/>
      <c r="AH732" s="158"/>
      <c r="AI732" s="158"/>
      <c r="AJ732" s="158"/>
      <c r="AK732" s="158"/>
      <c r="AL732" s="158"/>
      <c r="AM732" s="158"/>
      <c r="AN732" s="158"/>
      <c r="AO732" s="158"/>
      <c r="AP732" s="158"/>
      <c r="AQ732" s="158"/>
      <c r="AR732" s="158"/>
      <c r="AS732" s="2">
        <v>1</v>
      </c>
      <c r="AT732" s="58" t="s">
        <v>646</v>
      </c>
      <c r="AU732" s="479"/>
      <c r="AV732" s="158" t="s">
        <v>0</v>
      </c>
      <c r="AW732" s="158"/>
      <c r="AX732" s="12">
        <v>40</v>
      </c>
      <c r="AY732" s="158"/>
      <c r="AZ732" s="158"/>
      <c r="BA732" s="158"/>
      <c r="BB732" s="69">
        <v>40</v>
      </c>
      <c r="BC732" s="69"/>
      <c r="BD732" s="271">
        <v>2018</v>
      </c>
      <c r="BE732" s="271"/>
      <c r="BF732" s="268"/>
    </row>
    <row r="733" spans="1:58" s="204" customFormat="1" ht="15" hidden="1" customHeight="1">
      <c r="A733" s="160" t="s">
        <v>513</v>
      </c>
      <c r="B733" s="58" t="s">
        <v>1789</v>
      </c>
      <c r="C733" s="58" t="s">
        <v>313</v>
      </c>
      <c r="D733" s="33" t="s">
        <v>302</v>
      </c>
      <c r="E733" s="33"/>
      <c r="F733" s="33"/>
      <c r="G733" s="33"/>
      <c r="H733" s="30" t="s">
        <v>683</v>
      </c>
      <c r="I733" s="30"/>
      <c r="J733" s="212"/>
      <c r="K733" s="158"/>
      <c r="L733" s="158"/>
      <c r="M733" s="158"/>
      <c r="N733" s="158"/>
      <c r="O733" s="158"/>
      <c r="P733" s="158"/>
      <c r="Q733" s="158"/>
      <c r="R733" s="158"/>
      <c r="S733" s="158"/>
      <c r="T733" s="586"/>
      <c r="U733" s="158"/>
      <c r="V733" s="311"/>
      <c r="W733" s="311"/>
      <c r="X733" s="311"/>
      <c r="Y733" s="94"/>
      <c r="Z733" s="158"/>
      <c r="AA733" s="158"/>
      <c r="AB733" s="158"/>
      <c r="AC733" s="158"/>
      <c r="AD733" s="158"/>
      <c r="AE733" s="158"/>
      <c r="AF733" s="158"/>
      <c r="AG733" s="158"/>
      <c r="AH733" s="158"/>
      <c r="AI733" s="158"/>
      <c r="AJ733" s="158"/>
      <c r="AK733" s="158"/>
      <c r="AL733" s="158"/>
      <c r="AM733" s="158"/>
      <c r="AN733" s="158"/>
      <c r="AO733" s="158"/>
      <c r="AP733" s="158"/>
      <c r="AQ733" s="158"/>
      <c r="AR733" s="158"/>
      <c r="AS733" s="2">
        <v>1</v>
      </c>
      <c r="AT733" s="58" t="s">
        <v>646</v>
      </c>
      <c r="AU733" s="479"/>
      <c r="AV733" s="158"/>
      <c r="AW733" s="158">
        <v>36</v>
      </c>
      <c r="AX733" s="158"/>
      <c r="AY733" s="158"/>
      <c r="AZ733" s="158"/>
      <c r="BA733" s="158"/>
      <c r="BB733" s="69"/>
      <c r="BC733" s="69"/>
      <c r="BD733" s="271">
        <v>2017</v>
      </c>
      <c r="BE733" s="271"/>
      <c r="BF733" s="268"/>
    </row>
    <row r="734" spans="1:58" s="204" customFormat="1" ht="21" hidden="1" customHeight="1">
      <c r="A734" s="160" t="s">
        <v>513</v>
      </c>
      <c r="B734" s="58" t="s">
        <v>783</v>
      </c>
      <c r="C734" s="148" t="s">
        <v>780</v>
      </c>
      <c r="D734" s="33" t="s">
        <v>743</v>
      </c>
      <c r="E734" s="33"/>
      <c r="F734" s="33"/>
      <c r="G734" s="33"/>
      <c r="H734" s="30" t="s">
        <v>713</v>
      </c>
      <c r="I734" s="30"/>
      <c r="J734" s="212"/>
      <c r="K734" s="51"/>
      <c r="L734" s="51"/>
      <c r="M734" s="51"/>
      <c r="N734" s="51"/>
      <c r="O734" s="51"/>
      <c r="P734" s="94">
        <f>4457884858</f>
        <v>4457884858</v>
      </c>
      <c r="Q734" s="51"/>
      <c r="R734" s="51"/>
      <c r="S734" s="51"/>
      <c r="T734" s="586">
        <v>1994991337</v>
      </c>
      <c r="U734" s="51"/>
      <c r="V734" s="311"/>
      <c r="W734" s="311"/>
      <c r="X734" s="311"/>
      <c r="Y734" s="94">
        <v>2361881304</v>
      </c>
      <c r="Z734" s="51"/>
      <c r="AA734" s="51"/>
      <c r="AB734" s="51"/>
      <c r="AC734" s="51"/>
      <c r="AD734" s="158"/>
      <c r="AE734" s="158"/>
      <c r="AF734" s="158"/>
      <c r="AG734" s="158"/>
      <c r="AH734" s="158"/>
      <c r="AI734" s="158"/>
      <c r="AJ734" s="158"/>
      <c r="AK734" s="158"/>
      <c r="AL734" s="158"/>
      <c r="AM734" s="158"/>
      <c r="AN734" s="158"/>
      <c r="AO734" s="81"/>
      <c r="AP734" s="54"/>
      <c r="AQ734" s="54"/>
      <c r="AR734" s="54"/>
      <c r="AS734" s="2">
        <v>1</v>
      </c>
      <c r="AT734" s="58" t="s">
        <v>646</v>
      </c>
      <c r="AU734" s="479"/>
      <c r="AV734" s="51"/>
      <c r="AW734" s="51"/>
      <c r="AX734" s="81">
        <v>89</v>
      </c>
      <c r="AY734" s="81"/>
      <c r="AZ734" s="81"/>
      <c r="BA734" s="81">
        <v>89</v>
      </c>
      <c r="BB734" s="220"/>
      <c r="BC734" s="220"/>
      <c r="BD734" s="271">
        <v>2018</v>
      </c>
      <c r="BE734" s="271"/>
      <c r="BF734" s="268"/>
    </row>
    <row r="735" spans="1:58" s="204" customFormat="1" ht="20.25" hidden="1" customHeight="1">
      <c r="A735" s="160" t="s">
        <v>513</v>
      </c>
      <c r="B735" s="58" t="s">
        <v>783</v>
      </c>
      <c r="C735" s="148" t="s">
        <v>780</v>
      </c>
      <c r="D735" s="33" t="s">
        <v>743</v>
      </c>
      <c r="E735" s="33"/>
      <c r="F735" s="33"/>
      <c r="G735" s="33"/>
      <c r="H735" s="30" t="s">
        <v>713</v>
      </c>
      <c r="I735" s="30"/>
      <c r="J735" s="212"/>
      <c r="K735" s="51"/>
      <c r="L735" s="51"/>
      <c r="M735" s="51"/>
      <c r="N735" s="51"/>
      <c r="O735" s="51"/>
      <c r="P735" s="51"/>
      <c r="Q735" s="51"/>
      <c r="R735" s="51"/>
      <c r="S735" s="51"/>
      <c r="T735" s="586"/>
      <c r="U735" s="51"/>
      <c r="V735" s="311"/>
      <c r="W735" s="311"/>
      <c r="X735" s="311"/>
      <c r="Y735" s="94"/>
      <c r="Z735" s="51"/>
      <c r="AA735" s="51"/>
      <c r="AB735" s="51"/>
      <c r="AC735" s="51"/>
      <c r="AD735" s="158"/>
      <c r="AE735" s="158"/>
      <c r="AF735" s="158"/>
      <c r="AG735" s="158"/>
      <c r="AH735" s="158"/>
      <c r="AI735" s="158"/>
      <c r="AJ735" s="158"/>
      <c r="AK735" s="158"/>
      <c r="AL735" s="158"/>
      <c r="AM735" s="158"/>
      <c r="AN735" s="158"/>
      <c r="AO735" s="81"/>
      <c r="AP735" s="54"/>
      <c r="AQ735" s="54"/>
      <c r="AR735" s="54"/>
      <c r="AS735" s="2">
        <v>1</v>
      </c>
      <c r="AT735" s="58" t="s">
        <v>646</v>
      </c>
      <c r="AU735" s="479"/>
      <c r="AV735" s="51"/>
      <c r="AW735" s="51"/>
      <c r="AX735" s="81">
        <v>6</v>
      </c>
      <c r="AY735" s="81"/>
      <c r="AZ735" s="81"/>
      <c r="BA735" s="81">
        <v>6</v>
      </c>
      <c r="BB735" s="220"/>
      <c r="BC735" s="220"/>
      <c r="BD735" s="271">
        <v>2018</v>
      </c>
      <c r="BE735" s="271"/>
      <c r="BF735" s="268"/>
    </row>
    <row r="736" spans="1:58" s="204" customFormat="1" ht="18" hidden="1" customHeight="1">
      <c r="A736" s="160" t="s">
        <v>513</v>
      </c>
      <c r="B736" s="58" t="s">
        <v>784</v>
      </c>
      <c r="C736" s="148" t="s">
        <v>781</v>
      </c>
      <c r="D736" s="33" t="s">
        <v>782</v>
      </c>
      <c r="E736" s="33"/>
      <c r="F736" s="33"/>
      <c r="G736" s="33"/>
      <c r="H736" s="30" t="s">
        <v>713</v>
      </c>
      <c r="I736" s="30">
        <v>1788</v>
      </c>
      <c r="J736" s="212">
        <v>42971</v>
      </c>
      <c r="K736" s="51"/>
      <c r="L736" s="51">
        <v>70</v>
      </c>
      <c r="M736" s="51"/>
      <c r="N736" s="51"/>
      <c r="O736" s="51"/>
      <c r="P736" s="51"/>
      <c r="Q736" s="51"/>
      <c r="R736" s="51"/>
      <c r="S736" s="51"/>
      <c r="T736" s="586"/>
      <c r="U736" s="51"/>
      <c r="V736" s="311"/>
      <c r="W736" s="311"/>
      <c r="X736" s="311"/>
      <c r="Y736" s="94"/>
      <c r="Z736" s="51"/>
      <c r="AA736" s="51"/>
      <c r="AB736" s="51"/>
      <c r="AC736" s="51"/>
      <c r="AD736" s="158"/>
      <c r="AE736" s="158">
        <f>P736-T736-Y736</f>
        <v>0</v>
      </c>
      <c r="AF736" s="158"/>
      <c r="AG736" s="94">
        <v>0</v>
      </c>
      <c r="AH736" s="94"/>
      <c r="AI736" s="94"/>
      <c r="AJ736" s="158">
        <f t="shared" ref="AJ736:AJ738" si="136">AE736+AG736</f>
        <v>0</v>
      </c>
      <c r="AK736" s="158"/>
      <c r="AL736" s="158"/>
      <c r="AM736" s="158"/>
      <c r="AN736" s="158"/>
      <c r="AO736" s="51"/>
      <c r="AP736" s="51"/>
      <c r="AQ736" s="51"/>
      <c r="AR736" s="51"/>
      <c r="AS736" s="56">
        <v>1</v>
      </c>
      <c r="AT736" s="58" t="s">
        <v>646</v>
      </c>
      <c r="AU736" s="479"/>
      <c r="AV736" s="51"/>
      <c r="AW736" s="51"/>
      <c r="AX736" s="51"/>
      <c r="AY736" s="81">
        <v>70</v>
      </c>
      <c r="AZ736" s="81"/>
      <c r="BA736" s="81"/>
      <c r="BB736" s="220">
        <v>70</v>
      </c>
      <c r="BC736" s="220"/>
      <c r="BD736" s="271">
        <v>2019</v>
      </c>
      <c r="BE736" s="271">
        <v>2019</v>
      </c>
      <c r="BF736" s="271"/>
    </row>
    <row r="737" spans="1:58" s="204" customFormat="1" ht="18" hidden="1" customHeight="1">
      <c r="A737" s="160" t="s">
        <v>513</v>
      </c>
      <c r="B737" s="58" t="s">
        <v>784</v>
      </c>
      <c r="C737" s="148" t="s">
        <v>781</v>
      </c>
      <c r="D737" s="33" t="s">
        <v>782</v>
      </c>
      <c r="E737" s="33"/>
      <c r="F737" s="33"/>
      <c r="G737" s="33"/>
      <c r="H737" s="30" t="s">
        <v>713</v>
      </c>
      <c r="I737" s="30">
        <v>1788</v>
      </c>
      <c r="J737" s="212">
        <v>42971</v>
      </c>
      <c r="K737" s="51"/>
      <c r="L737" s="51">
        <v>23</v>
      </c>
      <c r="M737" s="51"/>
      <c r="N737" s="51"/>
      <c r="O737" s="51"/>
      <c r="P737" s="94">
        <v>1413927333</v>
      </c>
      <c r="Q737" s="94"/>
      <c r="R737" s="94"/>
      <c r="S737" s="94"/>
      <c r="T737" s="586">
        <v>636201207</v>
      </c>
      <c r="U737" s="51">
        <v>10</v>
      </c>
      <c r="V737" s="311"/>
      <c r="W737" s="311"/>
      <c r="X737" s="311"/>
      <c r="Y737" s="94">
        <v>777726126</v>
      </c>
      <c r="Z737" s="51">
        <v>10</v>
      </c>
      <c r="AA737" s="311">
        <v>43497</v>
      </c>
      <c r="AB737" s="311"/>
      <c r="AC737" s="51"/>
      <c r="AD737" s="158"/>
      <c r="AE737" s="158">
        <f>P737-T737-Y737</f>
        <v>0</v>
      </c>
      <c r="AF737" s="158"/>
      <c r="AG737" s="94">
        <v>0</v>
      </c>
      <c r="AH737" s="94"/>
      <c r="AI737" s="94"/>
      <c r="AJ737" s="158">
        <f t="shared" si="136"/>
        <v>0</v>
      </c>
      <c r="AK737" s="158">
        <v>877</v>
      </c>
      <c r="AL737" s="158">
        <v>10</v>
      </c>
      <c r="AM737" s="158"/>
      <c r="AN737" s="158"/>
      <c r="AO737" s="51"/>
      <c r="AP737" s="51"/>
      <c r="AQ737" s="51"/>
      <c r="AR737" s="51"/>
      <c r="AS737" s="56">
        <v>1</v>
      </c>
      <c r="AT737" s="58" t="s">
        <v>646</v>
      </c>
      <c r="AU737" s="479"/>
      <c r="AV737" s="51"/>
      <c r="AW737" s="51"/>
      <c r="AX737" s="51"/>
      <c r="AY737" s="81">
        <v>23</v>
      </c>
      <c r="AZ737" s="81"/>
      <c r="BA737" s="81"/>
      <c r="BB737" s="220">
        <v>23</v>
      </c>
      <c r="BC737" s="220"/>
      <c r="BD737" s="271">
        <v>2019</v>
      </c>
      <c r="BE737" s="271">
        <v>2019</v>
      </c>
      <c r="BF737" s="271"/>
    </row>
    <row r="738" spans="1:58" s="204" customFormat="1" ht="18" hidden="1" customHeight="1">
      <c r="A738" s="160" t="s">
        <v>513</v>
      </c>
      <c r="B738" s="58" t="s">
        <v>784</v>
      </c>
      <c r="C738" s="148" t="s">
        <v>781</v>
      </c>
      <c r="D738" s="33" t="s">
        <v>782</v>
      </c>
      <c r="E738" s="33"/>
      <c r="F738" s="33"/>
      <c r="G738" s="33"/>
      <c r="H738" s="30" t="s">
        <v>713</v>
      </c>
      <c r="I738" s="30">
        <v>1788</v>
      </c>
      <c r="J738" s="212">
        <v>42971</v>
      </c>
      <c r="K738" s="81"/>
      <c r="L738" s="81"/>
      <c r="M738" s="81">
        <v>3</v>
      </c>
      <c r="N738" s="81"/>
      <c r="O738" s="81"/>
      <c r="P738" s="81"/>
      <c r="Q738" s="81"/>
      <c r="R738" s="81"/>
      <c r="S738" s="81"/>
      <c r="T738" s="586"/>
      <c r="U738" s="81"/>
      <c r="V738" s="311"/>
      <c r="W738" s="311"/>
      <c r="X738" s="311"/>
      <c r="Y738" s="94"/>
      <c r="Z738" s="81"/>
      <c r="AA738" s="81"/>
      <c r="AB738" s="81"/>
      <c r="AC738" s="81"/>
      <c r="AD738" s="158"/>
      <c r="AE738" s="158">
        <f>P738-T738-Y738</f>
        <v>0</v>
      </c>
      <c r="AF738" s="158"/>
      <c r="AG738" s="94">
        <v>0</v>
      </c>
      <c r="AH738" s="94"/>
      <c r="AI738" s="94"/>
      <c r="AJ738" s="158">
        <f t="shared" si="136"/>
        <v>0</v>
      </c>
      <c r="AK738" s="158"/>
      <c r="AL738" s="158"/>
      <c r="AM738" s="158"/>
      <c r="AN738" s="158"/>
      <c r="AO738" s="54"/>
      <c r="AP738" s="54"/>
      <c r="AQ738" s="54"/>
      <c r="AR738" s="81"/>
      <c r="AS738" s="2">
        <v>0</v>
      </c>
      <c r="AT738" s="58" t="s">
        <v>687</v>
      </c>
      <c r="AU738" s="478" t="s">
        <v>1125</v>
      </c>
      <c r="AV738" s="51"/>
      <c r="AW738" s="51"/>
      <c r="AX738" s="54"/>
      <c r="AY738" s="54"/>
      <c r="AZ738" s="54"/>
      <c r="BA738" s="54"/>
      <c r="BB738" s="290"/>
      <c r="BC738" s="69">
        <v>3</v>
      </c>
      <c r="BD738" s="271" t="s">
        <v>1706</v>
      </c>
      <c r="BE738" s="271">
        <v>2019</v>
      </c>
      <c r="BF738" s="271"/>
    </row>
    <row r="739" spans="1:58" s="204" customFormat="1" ht="21.75" hidden="1" customHeight="1">
      <c r="A739" s="160" t="s">
        <v>513</v>
      </c>
      <c r="B739" s="58" t="s">
        <v>783</v>
      </c>
      <c r="C739" s="149" t="s">
        <v>1106</v>
      </c>
      <c r="D739" s="33" t="s">
        <v>743</v>
      </c>
      <c r="E739" s="33"/>
      <c r="F739" s="33"/>
      <c r="G739" s="33"/>
      <c r="H739" s="30" t="s">
        <v>715</v>
      </c>
      <c r="I739" s="30"/>
      <c r="J739" s="212"/>
      <c r="K739" s="51"/>
      <c r="L739" s="51"/>
      <c r="M739" s="51"/>
      <c r="N739" s="51"/>
      <c r="O739" s="51"/>
      <c r="P739" s="51"/>
      <c r="Q739" s="51"/>
      <c r="R739" s="51"/>
      <c r="S739" s="51"/>
      <c r="T739" s="586"/>
      <c r="U739" s="51"/>
      <c r="V739" s="311"/>
      <c r="W739" s="311"/>
      <c r="X739" s="311"/>
      <c r="Y739" s="94"/>
      <c r="Z739" s="51"/>
      <c r="AA739" s="51"/>
      <c r="AB739" s="51"/>
      <c r="AC739" s="51"/>
      <c r="AD739" s="158"/>
      <c r="AE739" s="158"/>
      <c r="AF739" s="158"/>
      <c r="AG739" s="158"/>
      <c r="AH739" s="158"/>
      <c r="AI739" s="158"/>
      <c r="AJ739" s="158"/>
      <c r="AK739" s="158"/>
      <c r="AL739" s="158"/>
      <c r="AM739" s="158"/>
      <c r="AN739" s="158"/>
      <c r="AO739" s="51"/>
      <c r="AP739" s="51"/>
      <c r="AQ739" s="51"/>
      <c r="AR739" s="51"/>
      <c r="AS739" s="2">
        <v>1</v>
      </c>
      <c r="AT739" s="58" t="s">
        <v>646</v>
      </c>
      <c r="AU739" s="454" t="s">
        <v>1041</v>
      </c>
      <c r="AV739" s="51"/>
      <c r="AW739" s="51"/>
      <c r="AX739" s="51">
        <v>44</v>
      </c>
      <c r="AY739" s="51"/>
      <c r="AZ739" s="51"/>
      <c r="BA739" s="51">
        <v>44</v>
      </c>
      <c r="BB739" s="71"/>
      <c r="BC739" s="71"/>
      <c r="BD739" s="271">
        <v>2018</v>
      </c>
      <c r="BE739" s="271"/>
      <c r="BF739" s="268"/>
    </row>
    <row r="740" spans="1:58" s="204" customFormat="1" ht="18.75" hidden="1" customHeight="1">
      <c r="A740" s="230" t="s">
        <v>513</v>
      </c>
      <c r="B740" s="58" t="s">
        <v>783</v>
      </c>
      <c r="C740" s="239" t="s">
        <v>1106</v>
      </c>
      <c r="D740" s="33" t="s">
        <v>743</v>
      </c>
      <c r="E740" s="33"/>
      <c r="F740" s="33"/>
      <c r="G740" s="33"/>
      <c r="H740" s="30" t="s">
        <v>715</v>
      </c>
      <c r="I740" s="30"/>
      <c r="J740" s="212"/>
      <c r="K740" s="51"/>
      <c r="L740" s="51"/>
      <c r="M740" s="51"/>
      <c r="N740" s="51"/>
      <c r="O740" s="51"/>
      <c r="P740" s="51"/>
      <c r="Q740" s="51"/>
      <c r="R740" s="51"/>
      <c r="S740" s="51"/>
      <c r="T740" s="586"/>
      <c r="U740" s="51"/>
      <c r="V740" s="311"/>
      <c r="W740" s="311"/>
      <c r="X740" s="311"/>
      <c r="Y740" s="94"/>
      <c r="Z740" s="51"/>
      <c r="AA740" s="89"/>
      <c r="AB740" s="89"/>
      <c r="AC740" s="89"/>
      <c r="AD740" s="158"/>
      <c r="AE740" s="158"/>
      <c r="AF740" s="158"/>
      <c r="AG740" s="158"/>
      <c r="AH740" s="158"/>
      <c r="AI740" s="158"/>
      <c r="AJ740" s="158"/>
      <c r="AK740" s="158"/>
      <c r="AL740" s="158"/>
      <c r="AM740" s="158"/>
      <c r="AN740" s="158"/>
      <c r="AO740" s="51"/>
      <c r="AP740" s="51"/>
      <c r="AQ740" s="51"/>
      <c r="AR740" s="51"/>
      <c r="AS740" s="2">
        <v>1</v>
      </c>
      <c r="AT740" s="58" t="s">
        <v>646</v>
      </c>
      <c r="AU740" s="105"/>
      <c r="AV740" s="51"/>
      <c r="AW740" s="51"/>
      <c r="AX740" s="51">
        <v>2</v>
      </c>
      <c r="AY740" s="51"/>
      <c r="AZ740" s="51"/>
      <c r="BA740" s="51">
        <v>2</v>
      </c>
      <c r="BB740" s="71"/>
      <c r="BC740" s="71"/>
      <c r="BD740" s="271">
        <v>2018</v>
      </c>
      <c r="BE740" s="271"/>
      <c r="BF740" s="268"/>
    </row>
    <row r="741" spans="1:58" s="204" customFormat="1" ht="18" hidden="1" customHeight="1">
      <c r="A741" s="160" t="s">
        <v>513</v>
      </c>
      <c r="B741" s="58" t="s">
        <v>1789</v>
      </c>
      <c r="C741" s="149" t="s">
        <v>1225</v>
      </c>
      <c r="D741" s="33" t="s">
        <v>302</v>
      </c>
      <c r="E741" s="33"/>
      <c r="F741" s="33"/>
      <c r="G741" s="33"/>
      <c r="H741" s="30" t="s">
        <v>1116</v>
      </c>
      <c r="I741" s="78">
        <v>323</v>
      </c>
      <c r="J741" s="212">
        <v>43405</v>
      </c>
      <c r="K741" s="51">
        <f>31-1</f>
        <v>30</v>
      </c>
      <c r="L741" s="51">
        <v>30</v>
      </c>
      <c r="M741" s="51"/>
      <c r="N741" s="51"/>
      <c r="O741" s="51"/>
      <c r="P741" s="158">
        <f>2034003145-65613005</f>
        <v>1968390140</v>
      </c>
      <c r="Q741" s="158"/>
      <c r="R741" s="158"/>
      <c r="S741" s="158"/>
      <c r="T741" s="586">
        <v>870487191</v>
      </c>
      <c r="U741" s="94">
        <v>10</v>
      </c>
      <c r="V741" s="311"/>
      <c r="W741" s="311"/>
      <c r="X741" s="311"/>
      <c r="Y741" s="94">
        <v>1097902949</v>
      </c>
      <c r="Z741" s="221">
        <v>10</v>
      </c>
      <c r="AA741" s="311">
        <v>43617</v>
      </c>
      <c r="AB741" s="577"/>
      <c r="AC741" s="221"/>
      <c r="AD741" s="158"/>
      <c r="AE741" s="158">
        <f>P741-T741-Y741</f>
        <v>0</v>
      </c>
      <c r="AF741" s="158"/>
      <c r="AG741" s="94">
        <v>0</v>
      </c>
      <c r="AH741" s="94"/>
      <c r="AI741" s="94"/>
      <c r="AJ741" s="158">
        <f t="shared" ref="AJ741" si="137">AE741+AG741</f>
        <v>0</v>
      </c>
      <c r="AK741" s="158">
        <v>877</v>
      </c>
      <c r="AL741" s="158">
        <v>10</v>
      </c>
      <c r="AM741" s="158"/>
      <c r="AN741" s="158"/>
      <c r="AO741" s="51"/>
      <c r="AP741" s="51"/>
      <c r="AQ741" s="51"/>
      <c r="AR741" s="51"/>
      <c r="AS741" s="56">
        <v>1</v>
      </c>
      <c r="AT741" s="58" t="s">
        <v>646</v>
      </c>
      <c r="AU741" s="386"/>
      <c r="AV741" s="51"/>
      <c r="AW741" s="51"/>
      <c r="AX741" s="51"/>
      <c r="AY741" s="51">
        <v>30</v>
      </c>
      <c r="AZ741" s="51"/>
      <c r="BA741" s="51"/>
      <c r="BB741" s="71">
        <v>30</v>
      </c>
      <c r="BC741" s="71"/>
      <c r="BD741" s="271">
        <v>2019</v>
      </c>
      <c r="BE741" s="271">
        <v>2019</v>
      </c>
      <c r="BF741" s="271"/>
    </row>
    <row r="742" spans="1:58" s="204" customFormat="1" ht="18" customHeight="1">
      <c r="A742" s="160" t="s">
        <v>513</v>
      </c>
      <c r="B742" s="58" t="s">
        <v>1789</v>
      </c>
      <c r="C742" s="149" t="s">
        <v>1225</v>
      </c>
      <c r="D742" s="33" t="s">
        <v>302</v>
      </c>
      <c r="E742" s="33"/>
      <c r="F742" s="33"/>
      <c r="G742" s="33"/>
      <c r="H742" s="30" t="s">
        <v>1116</v>
      </c>
      <c r="I742" s="78">
        <v>323</v>
      </c>
      <c r="J742" s="212">
        <v>43405</v>
      </c>
      <c r="K742" s="51">
        <v>1</v>
      </c>
      <c r="L742" s="51">
        <v>1</v>
      </c>
      <c r="M742" s="51"/>
      <c r="N742" s="51"/>
      <c r="O742" s="51">
        <v>1</v>
      </c>
      <c r="P742" s="158">
        <v>65613005</v>
      </c>
      <c r="Q742" s="158"/>
      <c r="R742" s="158"/>
      <c r="S742" s="158"/>
      <c r="T742" s="586">
        <v>0</v>
      </c>
      <c r="U742" s="51"/>
      <c r="V742" s="311"/>
      <c r="W742" s="311"/>
      <c r="X742" s="311"/>
      <c r="Y742" s="94"/>
      <c r="Z742" s="221"/>
      <c r="AA742" s="221"/>
      <c r="AB742" s="221"/>
      <c r="AC742" s="221"/>
      <c r="AD742" s="158"/>
      <c r="AE742" s="158">
        <f>P742-T742-Y742</f>
        <v>65613005</v>
      </c>
      <c r="AF742" s="158"/>
      <c r="AG742" s="94">
        <v>0</v>
      </c>
      <c r="AH742" s="94"/>
      <c r="AI742" s="94"/>
      <c r="AJ742" s="158">
        <f>AE742+AG742</f>
        <v>65613005</v>
      </c>
      <c r="AK742" s="158">
        <v>877</v>
      </c>
      <c r="AL742" s="158">
        <v>10</v>
      </c>
      <c r="AM742" s="158">
        <v>1</v>
      </c>
      <c r="AN742" s="158"/>
      <c r="AO742" s="51"/>
      <c r="AP742" s="51"/>
      <c r="AQ742" s="51"/>
      <c r="AR742" s="51"/>
      <c r="AS742" s="56">
        <v>0</v>
      </c>
      <c r="AT742" s="58" t="s">
        <v>521</v>
      </c>
      <c r="AU742" s="478" t="s">
        <v>1297</v>
      </c>
      <c r="AV742" s="51"/>
      <c r="AW742" s="51"/>
      <c r="AX742" s="51"/>
      <c r="AY742" s="51"/>
      <c r="AZ742" s="51"/>
      <c r="BA742" s="51"/>
      <c r="BB742" s="71"/>
      <c r="BC742" s="71"/>
      <c r="BD742" s="271"/>
      <c r="BE742" s="271">
        <v>2019</v>
      </c>
      <c r="BF742" s="271">
        <v>2020</v>
      </c>
    </row>
    <row r="743" spans="1:58" s="204" customFormat="1" ht="18" customHeight="1">
      <c r="A743" s="160" t="s">
        <v>513</v>
      </c>
      <c r="B743" s="58" t="s">
        <v>1789</v>
      </c>
      <c r="C743" s="87" t="s">
        <v>1788</v>
      </c>
      <c r="D743" s="33" t="s">
        <v>302</v>
      </c>
      <c r="E743" s="33"/>
      <c r="F743" s="33"/>
      <c r="G743" s="33"/>
      <c r="H743" s="30" t="s">
        <v>1605</v>
      </c>
      <c r="I743" s="78">
        <v>1368</v>
      </c>
      <c r="J743" s="212">
        <v>43685</v>
      </c>
      <c r="K743" s="51"/>
      <c r="L743" s="51"/>
      <c r="M743" s="51">
        <v>90</v>
      </c>
      <c r="N743" s="51">
        <v>90</v>
      </c>
      <c r="O743" s="51"/>
      <c r="P743" s="158">
        <v>6561812882</v>
      </c>
      <c r="Q743" s="158"/>
      <c r="R743" s="158"/>
      <c r="S743" s="158"/>
      <c r="T743" s="586">
        <v>3439332335</v>
      </c>
      <c r="U743" s="51">
        <v>20</v>
      </c>
      <c r="V743" s="311">
        <v>43678</v>
      </c>
      <c r="W743" s="311"/>
      <c r="X743" s="311"/>
      <c r="Y743" s="94">
        <v>3122480547</v>
      </c>
      <c r="Z743" s="51">
        <v>20</v>
      </c>
      <c r="AA743" s="311">
        <v>43770</v>
      </c>
      <c r="AB743" s="582"/>
      <c r="AC743" s="316"/>
      <c r="AD743" s="158"/>
      <c r="AE743" s="158">
        <f>P743-T743-Y743</f>
        <v>0</v>
      </c>
      <c r="AF743" s="158"/>
      <c r="AG743" s="94">
        <v>0</v>
      </c>
      <c r="AH743" s="94"/>
      <c r="AI743" s="94"/>
      <c r="AJ743" s="158">
        <f t="shared" ref="AJ743" si="138">AE743+AG743</f>
        <v>0</v>
      </c>
      <c r="AK743" s="158">
        <v>877</v>
      </c>
      <c r="AL743" s="158">
        <v>20</v>
      </c>
      <c r="AM743" s="158"/>
      <c r="AN743" s="158">
        <v>90</v>
      </c>
      <c r="AO743" s="51"/>
      <c r="AP743" s="51"/>
      <c r="AQ743" s="51"/>
      <c r="AR743" s="51"/>
      <c r="AS743" s="56">
        <v>0.53649999999999998</v>
      </c>
      <c r="AT743" s="58" t="s">
        <v>38</v>
      </c>
      <c r="AU743" s="479"/>
      <c r="AV743" s="51"/>
      <c r="AW743" s="51"/>
      <c r="AX743" s="51"/>
      <c r="AY743" s="51"/>
      <c r="AZ743" s="51"/>
      <c r="BA743" s="51"/>
      <c r="BB743" s="71"/>
      <c r="BC743" s="71"/>
      <c r="BD743" s="271"/>
      <c r="BE743" s="271">
        <v>2019</v>
      </c>
      <c r="BF743" s="271">
        <v>2020</v>
      </c>
    </row>
    <row r="744" spans="1:58" ht="21.75" customHeight="1">
      <c r="A744" s="371" t="s">
        <v>514</v>
      </c>
      <c r="B744" s="371"/>
      <c r="C744" s="371"/>
      <c r="D744" s="371"/>
      <c r="E744" s="371"/>
      <c r="F744" s="371"/>
      <c r="G744" s="371"/>
      <c r="H744" s="371"/>
      <c r="I744" s="371"/>
      <c r="J744" s="371"/>
      <c r="K744" s="371">
        <f>SUM(K745:K751)</f>
        <v>0</v>
      </c>
      <c r="L744" s="370">
        <f t="shared" ref="L744:O744" si="139">SUM(L745:L751)</f>
        <v>54</v>
      </c>
      <c r="M744" s="370">
        <f t="shared" si="139"/>
        <v>70</v>
      </c>
      <c r="N744" s="424">
        <f>SUM(N745:N751)</f>
        <v>66</v>
      </c>
      <c r="O744" s="370">
        <f t="shared" si="139"/>
        <v>0</v>
      </c>
      <c r="P744" s="371"/>
      <c r="Q744" s="371"/>
      <c r="R744" s="371"/>
      <c r="S744" s="371"/>
      <c r="T744" s="586"/>
      <c r="U744" s="371"/>
      <c r="V744" s="371"/>
      <c r="W744" s="371"/>
      <c r="X744" s="371"/>
      <c r="Y744" s="371"/>
      <c r="Z744" s="371"/>
      <c r="AA744" s="371"/>
      <c r="AB744" s="371"/>
      <c r="AC744" s="371"/>
      <c r="AD744" s="371"/>
      <c r="AE744" s="371"/>
      <c r="AF744" s="371"/>
      <c r="AG744" s="371"/>
      <c r="AH744" s="371"/>
      <c r="AI744" s="371"/>
      <c r="AJ744" s="371"/>
      <c r="AK744" s="371"/>
      <c r="AL744" s="371"/>
      <c r="AM744" s="370">
        <f t="shared" ref="AM744:AR744" si="140">SUM(AM745:AM751)</f>
        <v>0</v>
      </c>
      <c r="AN744" s="370">
        <f t="shared" si="140"/>
        <v>66</v>
      </c>
      <c r="AO744" s="370">
        <f t="shared" si="140"/>
        <v>0</v>
      </c>
      <c r="AP744" s="370">
        <f t="shared" si="140"/>
        <v>0</v>
      </c>
      <c r="AQ744" s="370">
        <f t="shared" si="140"/>
        <v>0</v>
      </c>
      <c r="AR744" s="370">
        <f t="shared" si="140"/>
        <v>0</v>
      </c>
      <c r="AS744" s="371"/>
      <c r="AT744" s="371"/>
      <c r="AU744" s="385"/>
      <c r="AV744" s="370">
        <f t="shared" ref="AV744:BC744" si="141">SUM(AV745:AV751)</f>
        <v>70</v>
      </c>
      <c r="AW744" s="370">
        <f t="shared" si="141"/>
        <v>0</v>
      </c>
      <c r="AX744" s="370">
        <f t="shared" si="141"/>
        <v>53</v>
      </c>
      <c r="AY744" s="370">
        <f t="shared" si="141"/>
        <v>54</v>
      </c>
      <c r="AZ744" s="370"/>
      <c r="BA744" s="370">
        <f t="shared" si="141"/>
        <v>53</v>
      </c>
      <c r="BB744" s="370">
        <f t="shared" si="141"/>
        <v>54</v>
      </c>
      <c r="BC744" s="371">
        <f t="shared" si="141"/>
        <v>4</v>
      </c>
      <c r="BD744" s="371"/>
      <c r="BE744" s="371">
        <v>2019</v>
      </c>
      <c r="BF744" s="371">
        <v>2020</v>
      </c>
    </row>
    <row r="745" spans="1:58" ht="21" hidden="1" customHeight="1">
      <c r="A745" s="160" t="s">
        <v>514</v>
      </c>
      <c r="B745" s="58" t="s">
        <v>316</v>
      </c>
      <c r="C745" s="1" t="s">
        <v>314</v>
      </c>
      <c r="D745" s="33" t="s">
        <v>315</v>
      </c>
      <c r="E745" s="33"/>
      <c r="F745" s="33"/>
      <c r="G745" s="33"/>
      <c r="H745" s="30" t="s">
        <v>685</v>
      </c>
      <c r="I745" s="30"/>
      <c r="J745" s="212"/>
      <c r="K745" s="158"/>
      <c r="L745" s="158"/>
      <c r="M745" s="158"/>
      <c r="N745" s="158"/>
      <c r="O745" s="158"/>
      <c r="P745" s="158"/>
      <c r="Q745" s="158"/>
      <c r="R745" s="158"/>
      <c r="S745" s="158"/>
      <c r="T745" s="586"/>
      <c r="U745" s="158"/>
      <c r="V745" s="311"/>
      <c r="W745" s="311"/>
      <c r="X745" s="311"/>
      <c r="Y745" s="94"/>
      <c r="Z745" s="158"/>
      <c r="AA745" s="158"/>
      <c r="AB745" s="158"/>
      <c r="AC745" s="158"/>
      <c r="AD745" s="158"/>
      <c r="AE745" s="158"/>
      <c r="AF745" s="158"/>
      <c r="AG745" s="158"/>
      <c r="AH745" s="158"/>
      <c r="AI745" s="158"/>
      <c r="AJ745" s="158"/>
      <c r="AK745" s="158"/>
      <c r="AL745" s="158"/>
      <c r="AM745" s="158"/>
      <c r="AN745" s="158"/>
      <c r="AO745" s="158"/>
      <c r="AP745" s="158"/>
      <c r="AQ745" s="158"/>
      <c r="AR745" s="158"/>
      <c r="AS745" s="2">
        <v>1</v>
      </c>
      <c r="AT745" s="58" t="s">
        <v>646</v>
      </c>
      <c r="AU745" s="102"/>
      <c r="AV745" s="158" t="s">
        <v>0</v>
      </c>
      <c r="AW745" s="158"/>
      <c r="AX745" s="158">
        <v>8</v>
      </c>
      <c r="AY745" s="158"/>
      <c r="AZ745" s="158"/>
      <c r="BA745" s="158">
        <v>8</v>
      </c>
      <c r="BB745" s="69"/>
      <c r="BC745" s="69"/>
      <c r="BD745" s="270">
        <v>2018</v>
      </c>
      <c r="BE745" s="270"/>
    </row>
    <row r="746" spans="1:58" ht="27" hidden="1" customHeight="1">
      <c r="A746" s="230" t="s">
        <v>514</v>
      </c>
      <c r="B746" s="58" t="s">
        <v>317</v>
      </c>
      <c r="C746" s="49" t="s">
        <v>1107</v>
      </c>
      <c r="D746" s="33" t="s">
        <v>315</v>
      </c>
      <c r="E746" s="33"/>
      <c r="F746" s="33"/>
      <c r="G746" s="33"/>
      <c r="H746" s="30" t="s">
        <v>685</v>
      </c>
      <c r="I746" s="30"/>
      <c r="J746" s="212"/>
      <c r="K746" s="158"/>
      <c r="L746" s="158"/>
      <c r="M746" s="158"/>
      <c r="N746" s="158"/>
      <c r="O746" s="158"/>
      <c r="P746" s="158">
        <v>2513863857</v>
      </c>
      <c r="Q746" s="158"/>
      <c r="R746" s="158"/>
      <c r="S746" s="284"/>
      <c r="T746" s="586">
        <v>1140527576</v>
      </c>
      <c r="U746" s="61"/>
      <c r="V746" s="311"/>
      <c r="W746" s="311"/>
      <c r="X746" s="311"/>
      <c r="Y746" s="94">
        <v>1373336281</v>
      </c>
      <c r="Z746" s="158"/>
      <c r="AA746" s="5"/>
      <c r="AB746" s="5"/>
      <c r="AC746" s="5"/>
      <c r="AD746" s="158"/>
      <c r="AE746" s="158">
        <f>P746-T746-Y746</f>
        <v>0</v>
      </c>
      <c r="AF746" s="158"/>
      <c r="AG746" s="158"/>
      <c r="AH746" s="158"/>
      <c r="AI746" s="158"/>
      <c r="AJ746" s="158"/>
      <c r="AK746" s="158"/>
      <c r="AL746" s="158"/>
      <c r="AM746" s="158"/>
      <c r="AN746" s="158"/>
      <c r="AO746" s="158"/>
      <c r="AP746" s="158"/>
      <c r="AQ746" s="158"/>
      <c r="AR746" s="158"/>
      <c r="AS746" s="2">
        <v>1</v>
      </c>
      <c r="AT746" s="58" t="s">
        <v>646</v>
      </c>
      <c r="AU746" s="105"/>
      <c r="AV746" s="158" t="s">
        <v>0</v>
      </c>
      <c r="AW746" s="158"/>
      <c r="AX746" s="158">
        <v>45</v>
      </c>
      <c r="AY746" s="158"/>
      <c r="AZ746" s="158"/>
      <c r="BA746" s="158">
        <v>45</v>
      </c>
      <c r="BB746" s="69"/>
      <c r="BC746" s="69"/>
      <c r="BD746" s="270">
        <v>2018</v>
      </c>
      <c r="BE746" s="270"/>
    </row>
    <row r="747" spans="1:58" ht="18" hidden="1" customHeight="1">
      <c r="A747" s="160" t="s">
        <v>514</v>
      </c>
      <c r="B747" s="58" t="s">
        <v>317</v>
      </c>
      <c r="C747" s="1" t="s">
        <v>1107</v>
      </c>
      <c r="D747" s="33" t="s">
        <v>315</v>
      </c>
      <c r="E747" s="33"/>
      <c r="F747" s="33"/>
      <c r="G747" s="33"/>
      <c r="H747" s="30" t="s">
        <v>685</v>
      </c>
      <c r="I747" s="228" t="s">
        <v>1531</v>
      </c>
      <c r="J747" s="215" t="s">
        <v>1530</v>
      </c>
      <c r="K747" s="158"/>
      <c r="L747" s="158"/>
      <c r="M747" s="158">
        <v>1</v>
      </c>
      <c r="N747" s="158"/>
      <c r="O747" s="158"/>
      <c r="P747" s="158">
        <v>76964217</v>
      </c>
      <c r="Q747" s="158"/>
      <c r="R747" s="158"/>
      <c r="S747" s="92"/>
      <c r="T747" s="586"/>
      <c r="U747" s="158"/>
      <c r="V747" s="311"/>
      <c r="W747" s="311"/>
      <c r="X747" s="311"/>
      <c r="Y747" s="94"/>
      <c r="Z747" s="69"/>
      <c r="AA747" s="69"/>
      <c r="AB747" s="69"/>
      <c r="AC747" s="69">
        <v>76964217</v>
      </c>
      <c r="AD747" s="158"/>
      <c r="AE747" s="158">
        <f>P747-T747-Y747-AC747</f>
        <v>0</v>
      </c>
      <c r="AF747" s="158"/>
      <c r="AG747" s="94">
        <v>0</v>
      </c>
      <c r="AH747" s="94"/>
      <c r="AI747" s="94"/>
      <c r="AJ747" s="158">
        <f t="shared" ref="AJ747" si="142">AE747+AG747</f>
        <v>0</v>
      </c>
      <c r="AK747" s="158">
        <v>877</v>
      </c>
      <c r="AL747" s="158">
        <v>10</v>
      </c>
      <c r="AM747" s="158"/>
      <c r="AN747" s="158"/>
      <c r="AO747" s="11"/>
      <c r="AP747" s="11"/>
      <c r="AQ747" s="11"/>
      <c r="AR747" s="12"/>
      <c r="AS747" s="24">
        <v>0</v>
      </c>
      <c r="AT747" s="58" t="s">
        <v>687</v>
      </c>
      <c r="AU747" s="387" t="s">
        <v>1362</v>
      </c>
      <c r="AV747" s="158"/>
      <c r="AW747" s="11"/>
      <c r="AX747" s="11"/>
      <c r="AY747" s="11"/>
      <c r="AZ747" s="11"/>
      <c r="BA747" s="11"/>
      <c r="BB747" s="70"/>
      <c r="BC747" s="69">
        <v>1</v>
      </c>
      <c r="BD747" s="270" t="s">
        <v>1706</v>
      </c>
      <c r="BE747" s="270">
        <v>2019</v>
      </c>
      <c r="BF747" s="271"/>
    </row>
    <row r="748" spans="1:58" ht="15" hidden="1" customHeight="1">
      <c r="A748" s="248" t="s">
        <v>514</v>
      </c>
      <c r="B748" s="58" t="s">
        <v>316</v>
      </c>
      <c r="C748" s="251" t="s">
        <v>318</v>
      </c>
      <c r="D748" s="33" t="s">
        <v>119</v>
      </c>
      <c r="E748" s="33"/>
      <c r="F748" s="33"/>
      <c r="G748" s="33"/>
      <c r="H748" s="30"/>
      <c r="I748" s="30"/>
      <c r="J748" s="212"/>
      <c r="K748" s="158"/>
      <c r="L748" s="158"/>
      <c r="M748" s="158"/>
      <c r="N748" s="158"/>
      <c r="O748" s="158"/>
      <c r="P748" s="158"/>
      <c r="Q748" s="158"/>
      <c r="R748" s="158"/>
      <c r="S748" s="158"/>
      <c r="T748" s="586"/>
      <c r="U748" s="158"/>
      <c r="V748" s="311"/>
      <c r="W748" s="311"/>
      <c r="X748" s="311"/>
      <c r="Y748" s="94"/>
      <c r="Z748" s="158"/>
      <c r="AA748" s="92"/>
      <c r="AB748" s="92"/>
      <c r="AC748" s="92"/>
      <c r="AD748" s="158"/>
      <c r="AE748" s="158"/>
      <c r="AF748" s="158"/>
      <c r="AG748" s="158"/>
      <c r="AH748" s="158"/>
      <c r="AI748" s="158"/>
      <c r="AJ748" s="158"/>
      <c r="AK748" s="158"/>
      <c r="AL748" s="158"/>
      <c r="AM748" s="158"/>
      <c r="AN748" s="158"/>
      <c r="AO748" s="158"/>
      <c r="AP748" s="158"/>
      <c r="AQ748" s="158"/>
      <c r="AR748" s="158"/>
      <c r="AS748" s="2"/>
      <c r="AT748" s="58"/>
      <c r="AU748" s="105"/>
      <c r="AV748" s="158">
        <v>70</v>
      </c>
      <c r="AW748" s="158"/>
      <c r="AX748" s="158"/>
      <c r="AY748" s="158"/>
      <c r="AZ748" s="158"/>
      <c r="BA748" s="158"/>
      <c r="BB748" s="69"/>
      <c r="BC748" s="69"/>
      <c r="BD748" s="270">
        <v>2016</v>
      </c>
      <c r="BE748" s="270"/>
      <c r="BF748" s="204"/>
    </row>
    <row r="749" spans="1:58" ht="18" hidden="1" customHeight="1">
      <c r="A749" s="160" t="s">
        <v>514</v>
      </c>
      <c r="B749" s="58" t="s">
        <v>786</v>
      </c>
      <c r="C749" s="1" t="s">
        <v>785</v>
      </c>
      <c r="D749" s="33" t="s">
        <v>287</v>
      </c>
      <c r="E749" s="33"/>
      <c r="F749" s="33"/>
      <c r="G749" s="33"/>
      <c r="H749" s="30" t="s">
        <v>715</v>
      </c>
      <c r="I749" s="30">
        <v>2607</v>
      </c>
      <c r="J749" s="212">
        <v>43055</v>
      </c>
      <c r="K749" s="158"/>
      <c r="L749" s="158">
        <v>54</v>
      </c>
      <c r="M749" s="158"/>
      <c r="N749" s="158"/>
      <c r="O749" s="158"/>
      <c r="P749" s="158"/>
      <c r="Q749" s="158"/>
      <c r="R749" s="158"/>
      <c r="S749" s="158"/>
      <c r="T749" s="586"/>
      <c r="U749" s="158"/>
      <c r="V749" s="311"/>
      <c r="W749" s="311"/>
      <c r="X749" s="311"/>
      <c r="Y749" s="94"/>
      <c r="Z749" s="158"/>
      <c r="AA749" s="158"/>
      <c r="AB749" s="158"/>
      <c r="AC749" s="158"/>
      <c r="AD749" s="158"/>
      <c r="AE749" s="158">
        <f>P749-T749-Y749</f>
        <v>0</v>
      </c>
      <c r="AF749" s="158"/>
      <c r="AG749" s="94">
        <v>0</v>
      </c>
      <c r="AH749" s="94"/>
      <c r="AI749" s="94"/>
      <c r="AJ749" s="158">
        <f t="shared" ref="AJ749:AJ751" si="143">AE749+AG749</f>
        <v>0</v>
      </c>
      <c r="AK749" s="158"/>
      <c r="AL749" s="158"/>
      <c r="AM749" s="158"/>
      <c r="AN749" s="158"/>
      <c r="AO749" s="158"/>
      <c r="AP749" s="158"/>
      <c r="AQ749" s="158"/>
      <c r="AR749" s="158"/>
      <c r="AS749" s="98">
        <v>1</v>
      </c>
      <c r="AT749" s="58" t="s">
        <v>646</v>
      </c>
      <c r="AU749" s="104" t="s">
        <v>1343</v>
      </c>
      <c r="AV749" s="158"/>
      <c r="AW749" s="158"/>
      <c r="AX749" s="158"/>
      <c r="AY749" s="158">
        <v>54</v>
      </c>
      <c r="AZ749" s="158"/>
      <c r="BA749" s="158"/>
      <c r="BB749" s="69">
        <v>54</v>
      </c>
      <c r="BC749" s="69"/>
      <c r="BD749" s="270">
        <v>2019</v>
      </c>
      <c r="BE749" s="270">
        <v>2019</v>
      </c>
      <c r="BF749" s="271"/>
    </row>
    <row r="750" spans="1:58" ht="18" hidden="1" customHeight="1">
      <c r="A750" s="230" t="s">
        <v>514</v>
      </c>
      <c r="B750" s="58" t="s">
        <v>786</v>
      </c>
      <c r="C750" s="49" t="s">
        <v>2152</v>
      </c>
      <c r="D750" s="33" t="s">
        <v>287</v>
      </c>
      <c r="E750" s="33"/>
      <c r="F750" s="33"/>
      <c r="G750" s="33"/>
      <c r="H750" s="30" t="s">
        <v>715</v>
      </c>
      <c r="I750" s="30">
        <v>2607</v>
      </c>
      <c r="J750" s="212">
        <v>43054</v>
      </c>
      <c r="K750" s="158"/>
      <c r="L750" s="158"/>
      <c r="M750" s="158">
        <v>3</v>
      </c>
      <c r="N750" s="158"/>
      <c r="O750" s="158"/>
      <c r="P750" s="158">
        <v>189646104</v>
      </c>
      <c r="Q750" s="158"/>
      <c r="R750" s="158"/>
      <c r="S750" s="158"/>
      <c r="T750" s="586"/>
      <c r="U750" s="158"/>
      <c r="V750" s="311"/>
      <c r="W750" s="311"/>
      <c r="X750" s="311"/>
      <c r="Y750" s="94"/>
      <c r="Z750" s="158"/>
      <c r="AA750" s="5"/>
      <c r="AB750" s="5"/>
      <c r="AC750" s="5">
        <v>189646104</v>
      </c>
      <c r="AD750" s="158"/>
      <c r="AE750" s="158">
        <f>P750-T750-Y750-AC750</f>
        <v>0</v>
      </c>
      <c r="AF750" s="158"/>
      <c r="AG750" s="94">
        <v>0</v>
      </c>
      <c r="AH750" s="94"/>
      <c r="AI750" s="94"/>
      <c r="AJ750" s="158">
        <f t="shared" si="143"/>
        <v>0</v>
      </c>
      <c r="AK750" s="158">
        <v>877</v>
      </c>
      <c r="AL750" s="158">
        <v>10</v>
      </c>
      <c r="AM750" s="158"/>
      <c r="AN750" s="158"/>
      <c r="AO750" s="158"/>
      <c r="AP750" s="158"/>
      <c r="AQ750" s="158"/>
      <c r="AR750" s="158"/>
      <c r="AS750" s="24">
        <v>0</v>
      </c>
      <c r="AT750" s="58" t="s">
        <v>687</v>
      </c>
      <c r="AU750" s="396" t="s">
        <v>1354</v>
      </c>
      <c r="AV750" s="158"/>
      <c r="AW750" s="158"/>
      <c r="AX750" s="158"/>
      <c r="AY750" s="158"/>
      <c r="AZ750" s="158"/>
      <c r="BA750" s="158"/>
      <c r="BB750" s="69"/>
      <c r="BC750" s="69">
        <v>3</v>
      </c>
      <c r="BD750" s="270" t="s">
        <v>1706</v>
      </c>
      <c r="BE750" s="270">
        <v>2019</v>
      </c>
      <c r="BF750" s="271"/>
    </row>
    <row r="751" spans="1:58" ht="18" customHeight="1">
      <c r="A751" s="160" t="s">
        <v>514</v>
      </c>
      <c r="B751" s="58" t="s">
        <v>786</v>
      </c>
      <c r="C751" s="1" t="s">
        <v>1256</v>
      </c>
      <c r="D751" s="33" t="s">
        <v>287</v>
      </c>
      <c r="E751" s="33"/>
      <c r="F751" s="33"/>
      <c r="G751" s="33"/>
      <c r="H751" s="30" t="s">
        <v>1232</v>
      </c>
      <c r="I751" s="78">
        <v>485</v>
      </c>
      <c r="J751" s="212">
        <v>43538</v>
      </c>
      <c r="K751" s="158"/>
      <c r="L751" s="158"/>
      <c r="M751" s="158">
        <v>66</v>
      </c>
      <c r="N751" s="158">
        <v>66</v>
      </c>
      <c r="O751" s="158"/>
      <c r="P751" s="158">
        <v>4635961081</v>
      </c>
      <c r="Q751" s="158"/>
      <c r="R751" s="158"/>
      <c r="S751" s="158"/>
      <c r="T751" s="586">
        <v>2410222681</v>
      </c>
      <c r="U751" s="158">
        <v>10</v>
      </c>
      <c r="V751" s="311">
        <v>43586</v>
      </c>
      <c r="W751" s="311"/>
      <c r="X751" s="311"/>
      <c r="Y751" s="94">
        <v>2225738400</v>
      </c>
      <c r="Z751" s="69">
        <v>20</v>
      </c>
      <c r="AA751" s="311">
        <v>43739</v>
      </c>
      <c r="AB751" s="577"/>
      <c r="AC751" s="69"/>
      <c r="AD751" s="158"/>
      <c r="AE751" s="158">
        <f>P751-T751-Y751</f>
        <v>0</v>
      </c>
      <c r="AF751" s="158"/>
      <c r="AG751" s="94">
        <v>0</v>
      </c>
      <c r="AH751" s="94"/>
      <c r="AI751" s="94"/>
      <c r="AJ751" s="158">
        <f t="shared" si="143"/>
        <v>0</v>
      </c>
      <c r="AK751" s="158">
        <v>877</v>
      </c>
      <c r="AL751" s="158">
        <v>20</v>
      </c>
      <c r="AM751" s="158"/>
      <c r="AN751" s="451">
        <v>66</v>
      </c>
      <c r="AO751" s="158"/>
      <c r="AP751" s="158"/>
      <c r="AQ751" s="158"/>
      <c r="AR751" s="158"/>
      <c r="AS751" s="24">
        <v>0.57540000000000002</v>
      </c>
      <c r="AT751" s="58" t="s">
        <v>38</v>
      </c>
      <c r="AU751" s="386"/>
      <c r="AV751" s="158"/>
      <c r="AW751" s="158"/>
      <c r="AX751" s="158"/>
      <c r="AY751" s="158"/>
      <c r="AZ751" s="158"/>
      <c r="BA751" s="158"/>
      <c r="BB751" s="69"/>
      <c r="BC751" s="69"/>
      <c r="BD751" s="270"/>
      <c r="BE751" s="270">
        <v>2019</v>
      </c>
      <c r="BF751" s="270">
        <v>2020</v>
      </c>
    </row>
    <row r="752" spans="1:58" ht="22.5" customHeight="1">
      <c r="A752" s="371" t="s">
        <v>1</v>
      </c>
      <c r="B752" s="371"/>
      <c r="C752" s="371"/>
      <c r="D752" s="371"/>
      <c r="E752" s="371"/>
      <c r="F752" s="371"/>
      <c r="G752" s="371"/>
      <c r="H752" s="371"/>
      <c r="I752" s="371"/>
      <c r="J752" s="371"/>
      <c r="K752" s="371">
        <f>SUM(K753:K1227)</f>
        <v>0</v>
      </c>
      <c r="L752" s="370">
        <f t="shared" ref="L752" si="144">SUM(L753:L1227)</f>
        <v>48</v>
      </c>
      <c r="M752" s="424">
        <f>SUM(M753:M1235)</f>
        <v>162</v>
      </c>
      <c r="N752" s="424">
        <f>SUM(N753:N1235)</f>
        <v>122</v>
      </c>
      <c r="O752" s="424">
        <f>SUM(O753:O1235)</f>
        <v>27</v>
      </c>
      <c r="P752" s="371"/>
      <c r="Q752" s="371"/>
      <c r="R752" s="371"/>
      <c r="S752" s="371"/>
      <c r="T752" s="586"/>
      <c r="U752" s="371"/>
      <c r="V752" s="371"/>
      <c r="W752" s="371"/>
      <c r="X752" s="371"/>
      <c r="Y752" s="371"/>
      <c r="Z752" s="371"/>
      <c r="AA752" s="371"/>
      <c r="AB752" s="371"/>
      <c r="AC752" s="371"/>
      <c r="AD752" s="371"/>
      <c r="AE752" s="371"/>
      <c r="AF752" s="371"/>
      <c r="AG752" s="371"/>
      <c r="AH752" s="371"/>
      <c r="AI752" s="371"/>
      <c r="AJ752" s="371"/>
      <c r="AK752" s="371"/>
      <c r="AL752" s="371"/>
      <c r="AM752" s="424">
        <f t="shared" ref="AM752:AR752" si="145">SUM(AM753:AM1235)</f>
        <v>1251</v>
      </c>
      <c r="AN752" s="424">
        <f t="shared" si="145"/>
        <v>39</v>
      </c>
      <c r="AO752" s="424">
        <f t="shared" si="145"/>
        <v>15</v>
      </c>
      <c r="AP752" s="424">
        <f t="shared" si="145"/>
        <v>0</v>
      </c>
      <c r="AQ752" s="424">
        <f t="shared" si="145"/>
        <v>0</v>
      </c>
      <c r="AR752" s="424">
        <f t="shared" si="145"/>
        <v>0</v>
      </c>
      <c r="AS752" s="371"/>
      <c r="AT752" s="371"/>
      <c r="AU752" s="385"/>
      <c r="AV752" s="370">
        <f t="shared" ref="AV752:BC752" si="146">SUM(AV753:AV1227)</f>
        <v>158</v>
      </c>
      <c r="AW752" s="370">
        <f t="shared" si="146"/>
        <v>60</v>
      </c>
      <c r="AX752" s="370">
        <f t="shared" si="146"/>
        <v>67</v>
      </c>
      <c r="AY752" s="370">
        <f t="shared" si="146"/>
        <v>69</v>
      </c>
      <c r="AZ752" s="370"/>
      <c r="BA752" s="370">
        <f t="shared" si="146"/>
        <v>67</v>
      </c>
      <c r="BB752" s="370">
        <f t="shared" si="146"/>
        <v>69</v>
      </c>
      <c r="BC752" s="371">
        <f t="shared" si="146"/>
        <v>1</v>
      </c>
      <c r="BD752" s="371"/>
      <c r="BE752" s="371">
        <v>2019</v>
      </c>
      <c r="BF752" s="371">
        <v>2020</v>
      </c>
    </row>
    <row r="753" spans="1:58" ht="15" hidden="1" customHeight="1">
      <c r="A753" s="160" t="s">
        <v>1</v>
      </c>
      <c r="B753" s="58" t="s">
        <v>320</v>
      </c>
      <c r="C753" s="129" t="s">
        <v>321</v>
      </c>
      <c r="D753" s="33" t="s">
        <v>319</v>
      </c>
      <c r="E753" s="33"/>
      <c r="F753" s="33"/>
      <c r="G753" s="33"/>
      <c r="H753" s="30"/>
      <c r="I753" s="65"/>
      <c r="J753" s="212"/>
      <c r="K753" s="23"/>
      <c r="L753" s="23"/>
      <c r="M753" s="23"/>
      <c r="N753" s="23"/>
      <c r="O753" s="23"/>
      <c r="P753" s="23"/>
      <c r="Q753" s="23"/>
      <c r="R753" s="23"/>
      <c r="S753" s="23"/>
      <c r="T753" s="586"/>
      <c r="U753" s="23"/>
      <c r="V753" s="311"/>
      <c r="W753" s="311"/>
      <c r="X753" s="311"/>
      <c r="Y753" s="94"/>
      <c r="Z753" s="23"/>
      <c r="AA753" s="23"/>
      <c r="AB753" s="23"/>
      <c r="AC753" s="23"/>
      <c r="AD753" s="158"/>
      <c r="AE753" s="158"/>
      <c r="AF753" s="158"/>
      <c r="AG753" s="158"/>
      <c r="AH753" s="158"/>
      <c r="AI753" s="158"/>
      <c r="AJ753" s="158"/>
      <c r="AK753" s="158"/>
      <c r="AL753" s="158"/>
      <c r="AM753" s="158"/>
      <c r="AN753" s="158"/>
      <c r="AO753" s="23"/>
      <c r="AP753" s="23"/>
      <c r="AQ753" s="23"/>
      <c r="AR753" s="23"/>
      <c r="AS753" s="2"/>
      <c r="AT753" s="58"/>
      <c r="AU753" s="105"/>
      <c r="AV753" s="23">
        <v>1</v>
      </c>
      <c r="AW753" s="23"/>
      <c r="AX753" s="23"/>
      <c r="AY753" s="23"/>
      <c r="AZ753" s="23"/>
      <c r="BA753" s="23"/>
      <c r="BB753" s="223"/>
      <c r="BC753" s="223"/>
      <c r="BD753" s="270">
        <v>2016</v>
      </c>
      <c r="BE753" s="270"/>
      <c r="BF753" s="447"/>
    </row>
    <row r="754" spans="1:58" ht="15" hidden="1" customHeight="1">
      <c r="A754" s="160" t="s">
        <v>1</v>
      </c>
      <c r="B754" s="58" t="s">
        <v>320</v>
      </c>
      <c r="C754" s="129" t="s">
        <v>322</v>
      </c>
      <c r="D754" s="33" t="s">
        <v>319</v>
      </c>
      <c r="E754" s="33"/>
      <c r="F754" s="33"/>
      <c r="G754" s="33"/>
      <c r="H754" s="30"/>
      <c r="I754" s="65"/>
      <c r="J754" s="212"/>
      <c r="K754" s="23"/>
      <c r="L754" s="23"/>
      <c r="M754" s="23"/>
      <c r="N754" s="23"/>
      <c r="O754" s="23"/>
      <c r="P754" s="23"/>
      <c r="Q754" s="23"/>
      <c r="R754" s="23"/>
      <c r="S754" s="23"/>
      <c r="T754" s="586"/>
      <c r="U754" s="23"/>
      <c r="V754" s="311"/>
      <c r="W754" s="311"/>
      <c r="X754" s="311"/>
      <c r="Y754" s="94"/>
      <c r="Z754" s="23"/>
      <c r="AA754" s="23"/>
      <c r="AB754" s="23"/>
      <c r="AC754" s="23"/>
      <c r="AD754" s="158"/>
      <c r="AE754" s="158"/>
      <c r="AF754" s="158"/>
      <c r="AG754" s="158"/>
      <c r="AH754" s="158"/>
      <c r="AI754" s="158"/>
      <c r="AJ754" s="158"/>
      <c r="AK754" s="158"/>
      <c r="AL754" s="158"/>
      <c r="AM754" s="158"/>
      <c r="AN754" s="158"/>
      <c r="AO754" s="23"/>
      <c r="AP754" s="23"/>
      <c r="AQ754" s="23"/>
      <c r="AR754" s="23"/>
      <c r="AS754" s="2"/>
      <c r="AT754" s="58"/>
      <c r="AU754" s="65"/>
      <c r="AV754" s="23">
        <v>1</v>
      </c>
      <c r="AW754" s="23"/>
      <c r="AX754" s="23"/>
      <c r="AY754" s="23"/>
      <c r="AZ754" s="23"/>
      <c r="BA754" s="23"/>
      <c r="BB754" s="223"/>
      <c r="BC754" s="223"/>
      <c r="BD754" s="270">
        <v>2016</v>
      </c>
      <c r="BE754" s="270"/>
      <c r="BF754" s="447"/>
    </row>
    <row r="755" spans="1:58" ht="15" hidden="1" customHeight="1">
      <c r="A755" s="160" t="s">
        <v>1</v>
      </c>
      <c r="B755" s="58" t="s">
        <v>320</v>
      </c>
      <c r="C755" s="129" t="s">
        <v>323</v>
      </c>
      <c r="D755" s="33" t="s">
        <v>319</v>
      </c>
      <c r="E755" s="33"/>
      <c r="F755" s="33"/>
      <c r="G755" s="33"/>
      <c r="H755" s="30"/>
      <c r="I755" s="65"/>
      <c r="J755" s="212"/>
      <c r="K755" s="23"/>
      <c r="L755" s="23"/>
      <c r="M755" s="23"/>
      <c r="N755" s="23"/>
      <c r="O755" s="23"/>
      <c r="P755" s="23"/>
      <c r="Q755" s="23"/>
      <c r="R755" s="23"/>
      <c r="S755" s="23"/>
      <c r="T755" s="586"/>
      <c r="U755" s="23"/>
      <c r="V755" s="311"/>
      <c r="W755" s="311"/>
      <c r="X755" s="311"/>
      <c r="Y755" s="94"/>
      <c r="Z755" s="23"/>
      <c r="AA755" s="23"/>
      <c r="AB755" s="23"/>
      <c r="AC755" s="23"/>
      <c r="AD755" s="158"/>
      <c r="AE755" s="158"/>
      <c r="AF755" s="158"/>
      <c r="AG755" s="158"/>
      <c r="AH755" s="158"/>
      <c r="AI755" s="158"/>
      <c r="AJ755" s="158"/>
      <c r="AK755" s="158"/>
      <c r="AL755" s="158"/>
      <c r="AM755" s="158"/>
      <c r="AN755" s="158"/>
      <c r="AO755" s="23"/>
      <c r="AP755" s="23"/>
      <c r="AQ755" s="23"/>
      <c r="AR755" s="23"/>
      <c r="AS755" s="2"/>
      <c r="AT755" s="58"/>
      <c r="AU755" s="65"/>
      <c r="AV755" s="23">
        <v>1</v>
      </c>
      <c r="AW755" s="23"/>
      <c r="AX755" s="23"/>
      <c r="AY755" s="23"/>
      <c r="AZ755" s="23"/>
      <c r="BA755" s="23"/>
      <c r="BB755" s="223"/>
      <c r="BC755" s="223"/>
      <c r="BD755" s="270">
        <v>2016</v>
      </c>
      <c r="BE755" s="270"/>
      <c r="BF755" s="447"/>
    </row>
    <row r="756" spans="1:58" ht="15" hidden="1" customHeight="1">
      <c r="A756" s="160" t="s">
        <v>1</v>
      </c>
      <c r="B756" s="58" t="s">
        <v>320</v>
      </c>
      <c r="C756" s="65" t="s">
        <v>324</v>
      </c>
      <c r="D756" s="33" t="s">
        <v>1129</v>
      </c>
      <c r="E756" s="33"/>
      <c r="F756" s="33"/>
      <c r="G756" s="33"/>
      <c r="H756" s="30" t="s">
        <v>661</v>
      </c>
      <c r="I756" s="30"/>
      <c r="J756" s="212"/>
      <c r="K756" s="23"/>
      <c r="L756" s="91"/>
      <c r="M756" s="91"/>
      <c r="N756" s="91"/>
      <c r="O756" s="91"/>
      <c r="P756" s="91"/>
      <c r="Q756" s="91"/>
      <c r="R756" s="91"/>
      <c r="S756" s="91"/>
      <c r="T756" s="586"/>
      <c r="U756" s="91"/>
      <c r="V756" s="311"/>
      <c r="W756" s="311"/>
      <c r="X756" s="311"/>
      <c r="Y756" s="94"/>
      <c r="Z756" s="91"/>
      <c r="AA756" s="91"/>
      <c r="AB756" s="91"/>
      <c r="AC756" s="91"/>
      <c r="AD756" s="158"/>
      <c r="AE756" s="158"/>
      <c r="AF756" s="158"/>
      <c r="AG756" s="158"/>
      <c r="AH756" s="158"/>
      <c r="AI756" s="158"/>
      <c r="AJ756" s="158"/>
      <c r="AK756" s="158"/>
      <c r="AL756" s="158"/>
      <c r="AM756" s="158"/>
      <c r="AN756" s="158"/>
      <c r="AO756" s="23"/>
      <c r="AP756" s="23"/>
      <c r="AQ756" s="23"/>
      <c r="AR756" s="23"/>
      <c r="AS756" s="24">
        <v>1</v>
      </c>
      <c r="AT756" s="58" t="s">
        <v>646</v>
      </c>
      <c r="AU756" s="65"/>
      <c r="AV756" s="23" t="s">
        <v>0</v>
      </c>
      <c r="AW756" s="23"/>
      <c r="AX756" s="23">
        <v>1</v>
      </c>
      <c r="AY756" s="23"/>
      <c r="AZ756" s="23"/>
      <c r="BA756" s="23">
        <v>1</v>
      </c>
      <c r="BB756" s="223"/>
      <c r="BC756" s="223"/>
      <c r="BD756" s="270">
        <v>2018</v>
      </c>
      <c r="BE756" s="270"/>
      <c r="BF756" s="448"/>
    </row>
    <row r="757" spans="1:58" s="204" customFormat="1" ht="18" customHeight="1">
      <c r="A757" s="160" t="s">
        <v>1</v>
      </c>
      <c r="B757" s="58" t="s">
        <v>320</v>
      </c>
      <c r="C757" s="63" t="s">
        <v>325</v>
      </c>
      <c r="D757" s="33" t="s">
        <v>319</v>
      </c>
      <c r="E757" s="33"/>
      <c r="F757" s="33"/>
      <c r="G757" s="33"/>
      <c r="H757" s="30" t="s">
        <v>661</v>
      </c>
      <c r="I757" s="30">
        <v>1737</v>
      </c>
      <c r="J757" s="212">
        <v>41157</v>
      </c>
      <c r="K757" s="23"/>
      <c r="L757" s="23"/>
      <c r="M757" s="23">
        <v>1</v>
      </c>
      <c r="N757" s="23"/>
      <c r="O757" s="23">
        <v>1</v>
      </c>
      <c r="P757" s="23">
        <v>54390009</v>
      </c>
      <c r="Q757" s="23"/>
      <c r="R757" s="23"/>
      <c r="S757" s="23"/>
      <c r="T757" s="586"/>
      <c r="U757" s="23"/>
      <c r="V757" s="311"/>
      <c r="W757" s="311"/>
      <c r="X757" s="311"/>
      <c r="Y757" s="94"/>
      <c r="Z757" s="23"/>
      <c r="AA757" s="23"/>
      <c r="AB757" s="23"/>
      <c r="AC757" s="23"/>
      <c r="AD757" s="158"/>
      <c r="AE757" s="158">
        <f>P757-T757-Y757</f>
        <v>54390009</v>
      </c>
      <c r="AF757" s="158"/>
      <c r="AG757" s="94">
        <v>0</v>
      </c>
      <c r="AH757" s="94"/>
      <c r="AI757" s="94"/>
      <c r="AJ757" s="158">
        <f t="shared" ref="AJ757" si="147">AE757+AG757</f>
        <v>54390009</v>
      </c>
      <c r="AK757" s="158"/>
      <c r="AL757" s="158"/>
      <c r="AM757" s="158">
        <v>1</v>
      </c>
      <c r="AN757" s="158"/>
      <c r="AO757" s="23"/>
      <c r="AP757" s="23"/>
      <c r="AQ757" s="23"/>
      <c r="AR757" s="23"/>
      <c r="AS757" s="24">
        <v>0</v>
      </c>
      <c r="AT757" s="58" t="s">
        <v>521</v>
      </c>
      <c r="AU757" s="398" t="s">
        <v>2220</v>
      </c>
      <c r="AV757" s="23"/>
      <c r="AW757" s="23"/>
      <c r="AX757" s="23"/>
      <c r="AY757" s="23"/>
      <c r="AZ757" s="23"/>
      <c r="BA757" s="23"/>
      <c r="BB757" s="223"/>
      <c r="BC757" s="223"/>
      <c r="BD757" s="271"/>
      <c r="BE757" s="271">
        <v>2019</v>
      </c>
      <c r="BF757" s="271">
        <v>2020</v>
      </c>
    </row>
    <row r="758" spans="1:58" ht="15" hidden="1" customHeight="1">
      <c r="A758" s="160" t="s">
        <v>1</v>
      </c>
      <c r="B758" s="58" t="s">
        <v>320</v>
      </c>
      <c r="C758" s="63" t="s">
        <v>326</v>
      </c>
      <c r="D758" s="33" t="s">
        <v>319</v>
      </c>
      <c r="E758" s="33"/>
      <c r="F758" s="33"/>
      <c r="G758" s="33"/>
      <c r="H758" s="30"/>
      <c r="I758" s="30"/>
      <c r="J758" s="212"/>
      <c r="K758" s="23"/>
      <c r="L758" s="23"/>
      <c r="M758" s="23"/>
      <c r="N758" s="23"/>
      <c r="O758" s="23"/>
      <c r="P758" s="23"/>
      <c r="Q758" s="23"/>
      <c r="R758" s="23"/>
      <c r="S758" s="23"/>
      <c r="T758" s="586"/>
      <c r="U758" s="23"/>
      <c r="V758" s="311"/>
      <c r="W758" s="311"/>
      <c r="X758" s="311"/>
      <c r="Y758" s="94"/>
      <c r="Z758" s="23"/>
      <c r="AA758" s="23"/>
      <c r="AB758" s="23"/>
      <c r="AC758" s="23"/>
      <c r="AD758" s="158"/>
      <c r="AE758" s="158"/>
      <c r="AF758" s="158"/>
      <c r="AG758" s="158"/>
      <c r="AH758" s="158"/>
      <c r="AI758" s="158"/>
      <c r="AJ758" s="158"/>
      <c r="AK758" s="158"/>
      <c r="AL758" s="158"/>
      <c r="AM758" s="158"/>
      <c r="AN758" s="158"/>
      <c r="AO758" s="23"/>
      <c r="AP758" s="23"/>
      <c r="AQ758" s="23"/>
      <c r="AR758" s="23"/>
      <c r="AS758" s="2"/>
      <c r="AT758" s="58"/>
      <c r="AU758" s="110" t="s">
        <v>639</v>
      </c>
      <c r="AV758" s="23">
        <v>1</v>
      </c>
      <c r="AW758" s="23"/>
      <c r="AX758" s="23"/>
      <c r="AY758" s="23"/>
      <c r="AZ758" s="23"/>
      <c r="BA758" s="23"/>
      <c r="BB758" s="223"/>
      <c r="BC758" s="223"/>
      <c r="BD758" s="270">
        <v>2016</v>
      </c>
      <c r="BE758" s="270"/>
      <c r="BF758" s="448"/>
    </row>
    <row r="759" spans="1:58" ht="15" hidden="1" customHeight="1">
      <c r="A759" s="160" t="s">
        <v>1</v>
      </c>
      <c r="B759" s="58" t="s">
        <v>320</v>
      </c>
      <c r="C759" s="63" t="s">
        <v>327</v>
      </c>
      <c r="D759" s="33" t="s">
        <v>319</v>
      </c>
      <c r="E759" s="33"/>
      <c r="F759" s="33"/>
      <c r="G759" s="33"/>
      <c r="H759" s="30"/>
      <c r="I759" s="30"/>
      <c r="J759" s="212"/>
      <c r="K759" s="23"/>
      <c r="L759" s="23"/>
      <c r="M759" s="23"/>
      <c r="N759" s="23"/>
      <c r="O759" s="23"/>
      <c r="P759" s="23"/>
      <c r="Q759" s="23"/>
      <c r="R759" s="23"/>
      <c r="S759" s="23"/>
      <c r="T759" s="586"/>
      <c r="U759" s="23"/>
      <c r="V759" s="311"/>
      <c r="W759" s="311"/>
      <c r="X759" s="311"/>
      <c r="Y759" s="94"/>
      <c r="Z759" s="23"/>
      <c r="AA759" s="23"/>
      <c r="AB759" s="23"/>
      <c r="AC759" s="23"/>
      <c r="AD759" s="158"/>
      <c r="AE759" s="158"/>
      <c r="AF759" s="158"/>
      <c r="AG759" s="158"/>
      <c r="AH759" s="158"/>
      <c r="AI759" s="158"/>
      <c r="AJ759" s="158"/>
      <c r="AK759" s="158"/>
      <c r="AL759" s="158"/>
      <c r="AM759" s="158"/>
      <c r="AN759" s="158"/>
      <c r="AO759" s="23"/>
      <c r="AP759" s="23"/>
      <c r="AQ759" s="23"/>
      <c r="AR759" s="23"/>
      <c r="AS759" s="2"/>
      <c r="AT759" s="58"/>
      <c r="AU759" s="112"/>
      <c r="AV759" s="23">
        <v>1</v>
      </c>
      <c r="AW759" s="23"/>
      <c r="AX759" s="23"/>
      <c r="AY759" s="23"/>
      <c r="AZ759" s="23"/>
      <c r="BA759" s="23"/>
      <c r="BB759" s="223"/>
      <c r="BC759" s="223"/>
      <c r="BD759" s="270">
        <v>2016</v>
      </c>
      <c r="BE759" s="270"/>
      <c r="BF759" s="448"/>
    </row>
    <row r="760" spans="1:58" ht="15" hidden="1" customHeight="1">
      <c r="A760" s="160" t="s">
        <v>1</v>
      </c>
      <c r="B760" s="58" t="s">
        <v>320</v>
      </c>
      <c r="C760" s="63" t="s">
        <v>328</v>
      </c>
      <c r="D760" s="33" t="s">
        <v>319</v>
      </c>
      <c r="E760" s="33"/>
      <c r="F760" s="33"/>
      <c r="G760" s="33"/>
      <c r="H760" s="30"/>
      <c r="I760" s="30"/>
      <c r="J760" s="212"/>
      <c r="K760" s="23"/>
      <c r="L760" s="23"/>
      <c r="M760" s="23"/>
      <c r="N760" s="23"/>
      <c r="O760" s="23"/>
      <c r="P760" s="23"/>
      <c r="Q760" s="23"/>
      <c r="R760" s="23"/>
      <c r="S760" s="23"/>
      <c r="T760" s="586"/>
      <c r="U760" s="23"/>
      <c r="V760" s="311"/>
      <c r="W760" s="311"/>
      <c r="X760" s="311"/>
      <c r="Y760" s="94"/>
      <c r="Z760" s="23"/>
      <c r="AA760" s="23"/>
      <c r="AB760" s="23"/>
      <c r="AC760" s="23"/>
      <c r="AD760" s="158"/>
      <c r="AE760" s="158"/>
      <c r="AF760" s="158"/>
      <c r="AG760" s="158"/>
      <c r="AH760" s="158"/>
      <c r="AI760" s="158"/>
      <c r="AJ760" s="158"/>
      <c r="AK760" s="158"/>
      <c r="AL760" s="158"/>
      <c r="AM760" s="158"/>
      <c r="AN760" s="158"/>
      <c r="AO760" s="23"/>
      <c r="AP760" s="23"/>
      <c r="AQ760" s="23"/>
      <c r="AR760" s="23"/>
      <c r="AS760" s="2"/>
      <c r="AT760" s="58"/>
      <c r="AU760" s="112"/>
      <c r="AV760" s="23">
        <v>1</v>
      </c>
      <c r="AW760" s="23"/>
      <c r="AX760" s="23"/>
      <c r="AY760" s="23"/>
      <c r="AZ760" s="23"/>
      <c r="BA760" s="23"/>
      <c r="BB760" s="223"/>
      <c r="BC760" s="223"/>
      <c r="BD760" s="270">
        <v>2016</v>
      </c>
      <c r="BE760" s="270"/>
      <c r="BF760" s="448"/>
    </row>
    <row r="761" spans="1:58" ht="15" hidden="1" customHeight="1">
      <c r="A761" s="160" t="s">
        <v>1</v>
      </c>
      <c r="B761" s="58" t="s">
        <v>320</v>
      </c>
      <c r="C761" s="63" t="s">
        <v>329</v>
      </c>
      <c r="D761" s="33" t="s">
        <v>319</v>
      </c>
      <c r="E761" s="33"/>
      <c r="F761" s="33"/>
      <c r="G761" s="33"/>
      <c r="H761" s="30"/>
      <c r="I761" s="30"/>
      <c r="J761" s="212"/>
      <c r="K761" s="23"/>
      <c r="L761" s="23"/>
      <c r="M761" s="23"/>
      <c r="N761" s="23"/>
      <c r="O761" s="23"/>
      <c r="P761" s="23"/>
      <c r="Q761" s="23"/>
      <c r="R761" s="23"/>
      <c r="S761" s="23"/>
      <c r="T761" s="586"/>
      <c r="U761" s="23"/>
      <c r="V761" s="311"/>
      <c r="W761" s="311"/>
      <c r="X761" s="311"/>
      <c r="Y761" s="94"/>
      <c r="Z761" s="23"/>
      <c r="AA761" s="23"/>
      <c r="AB761" s="23"/>
      <c r="AC761" s="23"/>
      <c r="AD761" s="158"/>
      <c r="AE761" s="158"/>
      <c r="AF761" s="158"/>
      <c r="AG761" s="158"/>
      <c r="AH761" s="158"/>
      <c r="AI761" s="158"/>
      <c r="AJ761" s="158"/>
      <c r="AK761" s="158"/>
      <c r="AL761" s="158"/>
      <c r="AM761" s="158"/>
      <c r="AN761" s="158"/>
      <c r="AO761" s="23"/>
      <c r="AP761" s="23"/>
      <c r="AQ761" s="23"/>
      <c r="AR761" s="23"/>
      <c r="AS761" s="2"/>
      <c r="AT761" s="58"/>
      <c r="AU761" s="112"/>
      <c r="AV761" s="23">
        <v>1</v>
      </c>
      <c r="AW761" s="23"/>
      <c r="AX761" s="23"/>
      <c r="AY761" s="23"/>
      <c r="AZ761" s="23"/>
      <c r="BA761" s="23"/>
      <c r="BB761" s="223"/>
      <c r="BC761" s="223"/>
      <c r="BD761" s="270">
        <v>2016</v>
      </c>
      <c r="BE761" s="270"/>
      <c r="BF761" s="448"/>
    </row>
    <row r="762" spans="1:58" ht="15" hidden="1" customHeight="1">
      <c r="A762" s="160" t="s">
        <v>1</v>
      </c>
      <c r="B762" s="58" t="s">
        <v>320</v>
      </c>
      <c r="C762" s="63" t="s">
        <v>330</v>
      </c>
      <c r="D762" s="33" t="s">
        <v>319</v>
      </c>
      <c r="E762" s="33"/>
      <c r="F762" s="33"/>
      <c r="G762" s="33"/>
      <c r="H762" s="30"/>
      <c r="I762" s="30"/>
      <c r="J762" s="212"/>
      <c r="K762" s="23"/>
      <c r="L762" s="23"/>
      <c r="M762" s="23"/>
      <c r="N762" s="23"/>
      <c r="O762" s="23"/>
      <c r="P762" s="23"/>
      <c r="Q762" s="23"/>
      <c r="R762" s="23"/>
      <c r="S762" s="23"/>
      <c r="T762" s="586"/>
      <c r="U762" s="23"/>
      <c r="V762" s="311"/>
      <c r="W762" s="311"/>
      <c r="X762" s="311"/>
      <c r="Y762" s="94"/>
      <c r="Z762" s="23"/>
      <c r="AA762" s="23"/>
      <c r="AB762" s="23"/>
      <c r="AC762" s="23"/>
      <c r="AD762" s="158"/>
      <c r="AE762" s="158"/>
      <c r="AF762" s="158"/>
      <c r="AG762" s="158"/>
      <c r="AH762" s="158"/>
      <c r="AI762" s="158"/>
      <c r="AJ762" s="158"/>
      <c r="AK762" s="158"/>
      <c r="AL762" s="158"/>
      <c r="AM762" s="158"/>
      <c r="AN762" s="158"/>
      <c r="AO762" s="23"/>
      <c r="AP762" s="23"/>
      <c r="AQ762" s="23"/>
      <c r="AR762" s="23"/>
      <c r="AS762" s="2"/>
      <c r="AT762" s="58"/>
      <c r="AU762" s="112"/>
      <c r="AV762" s="23">
        <v>1</v>
      </c>
      <c r="AW762" s="23"/>
      <c r="AX762" s="23"/>
      <c r="AY762" s="23"/>
      <c r="AZ762" s="23"/>
      <c r="BA762" s="23"/>
      <c r="BB762" s="223"/>
      <c r="BC762" s="223"/>
      <c r="BD762" s="270">
        <v>2016</v>
      </c>
      <c r="BE762" s="270"/>
      <c r="BF762" s="448"/>
    </row>
    <row r="763" spans="1:58" ht="15" hidden="1" customHeight="1">
      <c r="A763" s="160" t="s">
        <v>1</v>
      </c>
      <c r="B763" s="58" t="s">
        <v>320</v>
      </c>
      <c r="C763" s="63" t="s">
        <v>331</v>
      </c>
      <c r="D763" s="33" t="s">
        <v>319</v>
      </c>
      <c r="E763" s="33"/>
      <c r="F763" s="33"/>
      <c r="G763" s="33"/>
      <c r="H763" s="30"/>
      <c r="I763" s="30"/>
      <c r="J763" s="212"/>
      <c r="K763" s="23"/>
      <c r="L763" s="23"/>
      <c r="M763" s="23"/>
      <c r="N763" s="23"/>
      <c r="O763" s="23"/>
      <c r="P763" s="23"/>
      <c r="Q763" s="23"/>
      <c r="R763" s="23"/>
      <c r="S763" s="23"/>
      <c r="T763" s="586"/>
      <c r="U763" s="23"/>
      <c r="V763" s="311"/>
      <c r="W763" s="311"/>
      <c r="X763" s="311"/>
      <c r="Y763" s="94"/>
      <c r="Z763" s="23"/>
      <c r="AA763" s="23"/>
      <c r="AB763" s="23"/>
      <c r="AC763" s="23"/>
      <c r="AD763" s="158"/>
      <c r="AE763" s="158"/>
      <c r="AF763" s="158"/>
      <c r="AG763" s="158"/>
      <c r="AH763" s="158"/>
      <c r="AI763" s="158"/>
      <c r="AJ763" s="158"/>
      <c r="AK763" s="158"/>
      <c r="AL763" s="158"/>
      <c r="AM763" s="158"/>
      <c r="AN763" s="158"/>
      <c r="AO763" s="23"/>
      <c r="AP763" s="23"/>
      <c r="AQ763" s="23"/>
      <c r="AR763" s="23"/>
      <c r="AS763" s="2"/>
      <c r="AT763" s="58"/>
      <c r="AU763" s="112"/>
      <c r="AV763" s="23">
        <v>1</v>
      </c>
      <c r="AW763" s="23"/>
      <c r="AX763" s="23"/>
      <c r="AY763" s="23"/>
      <c r="AZ763" s="23"/>
      <c r="BA763" s="23"/>
      <c r="BB763" s="223"/>
      <c r="BC763" s="223"/>
      <c r="BD763" s="270">
        <v>2016</v>
      </c>
      <c r="BE763" s="270"/>
      <c r="BF763" s="448"/>
    </row>
    <row r="764" spans="1:58" ht="15" hidden="1" customHeight="1">
      <c r="A764" s="160" t="s">
        <v>1</v>
      </c>
      <c r="B764" s="58" t="s">
        <v>320</v>
      </c>
      <c r="C764" s="63" t="s">
        <v>332</v>
      </c>
      <c r="D764" s="33" t="s">
        <v>319</v>
      </c>
      <c r="E764" s="33"/>
      <c r="F764" s="33"/>
      <c r="G764" s="33"/>
      <c r="H764" s="30"/>
      <c r="I764" s="30"/>
      <c r="J764" s="212"/>
      <c r="K764" s="23"/>
      <c r="L764" s="23"/>
      <c r="M764" s="23"/>
      <c r="N764" s="23"/>
      <c r="O764" s="23"/>
      <c r="P764" s="23"/>
      <c r="Q764" s="23"/>
      <c r="R764" s="23"/>
      <c r="S764" s="23"/>
      <c r="T764" s="586"/>
      <c r="U764" s="23"/>
      <c r="V764" s="311"/>
      <c r="W764" s="311"/>
      <c r="X764" s="311"/>
      <c r="Y764" s="94"/>
      <c r="Z764" s="23"/>
      <c r="AA764" s="23"/>
      <c r="AB764" s="23"/>
      <c r="AC764" s="23"/>
      <c r="AD764" s="158"/>
      <c r="AE764" s="158"/>
      <c r="AF764" s="158"/>
      <c r="AG764" s="158"/>
      <c r="AH764" s="158"/>
      <c r="AI764" s="158"/>
      <c r="AJ764" s="158"/>
      <c r="AK764" s="158"/>
      <c r="AL764" s="158"/>
      <c r="AM764" s="158"/>
      <c r="AN764" s="158"/>
      <c r="AO764" s="23"/>
      <c r="AP764" s="23"/>
      <c r="AQ764" s="23"/>
      <c r="AR764" s="23"/>
      <c r="AS764" s="2"/>
      <c r="AT764" s="58"/>
      <c r="AU764" s="112"/>
      <c r="AV764" s="23">
        <v>1</v>
      </c>
      <c r="AW764" s="23"/>
      <c r="AX764" s="23"/>
      <c r="AY764" s="23"/>
      <c r="AZ764" s="23"/>
      <c r="BA764" s="23"/>
      <c r="BB764" s="223"/>
      <c r="BC764" s="223"/>
      <c r="BD764" s="270">
        <v>2016</v>
      </c>
      <c r="BE764" s="270"/>
      <c r="BF764" s="448"/>
    </row>
    <row r="765" spans="1:58" ht="15" hidden="1" customHeight="1">
      <c r="A765" s="160" t="s">
        <v>1</v>
      </c>
      <c r="B765" s="58" t="s">
        <v>320</v>
      </c>
      <c r="C765" s="63" t="s">
        <v>333</v>
      </c>
      <c r="D765" s="33" t="s">
        <v>319</v>
      </c>
      <c r="E765" s="33"/>
      <c r="F765" s="33"/>
      <c r="G765" s="33"/>
      <c r="H765" s="30"/>
      <c r="I765" s="30"/>
      <c r="J765" s="212"/>
      <c r="K765" s="23"/>
      <c r="L765" s="23"/>
      <c r="M765" s="23"/>
      <c r="N765" s="23"/>
      <c r="O765" s="23"/>
      <c r="P765" s="23"/>
      <c r="Q765" s="23"/>
      <c r="R765" s="23"/>
      <c r="S765" s="23"/>
      <c r="T765" s="586"/>
      <c r="U765" s="23"/>
      <c r="V765" s="311"/>
      <c r="W765" s="311"/>
      <c r="X765" s="311"/>
      <c r="Y765" s="94"/>
      <c r="Z765" s="23"/>
      <c r="AA765" s="23"/>
      <c r="AB765" s="23"/>
      <c r="AC765" s="23"/>
      <c r="AD765" s="158"/>
      <c r="AE765" s="158"/>
      <c r="AF765" s="158"/>
      <c r="AG765" s="158"/>
      <c r="AH765" s="158"/>
      <c r="AI765" s="158"/>
      <c r="AJ765" s="158"/>
      <c r="AK765" s="158"/>
      <c r="AL765" s="158"/>
      <c r="AM765" s="158"/>
      <c r="AN765" s="158"/>
      <c r="AO765" s="23"/>
      <c r="AP765" s="23"/>
      <c r="AQ765" s="23"/>
      <c r="AR765" s="23"/>
      <c r="AS765" s="2"/>
      <c r="AT765" s="58"/>
      <c r="AU765" s="112"/>
      <c r="AV765" s="23">
        <v>1</v>
      </c>
      <c r="AW765" s="23"/>
      <c r="AX765" s="23"/>
      <c r="AY765" s="23"/>
      <c r="AZ765" s="23"/>
      <c r="BA765" s="23"/>
      <c r="BB765" s="223"/>
      <c r="BC765" s="223"/>
      <c r="BD765" s="270">
        <v>2016</v>
      </c>
      <c r="BE765" s="270"/>
      <c r="BF765" s="448"/>
    </row>
    <row r="766" spans="1:58" ht="15" hidden="1" customHeight="1">
      <c r="A766" s="160" t="s">
        <v>1</v>
      </c>
      <c r="B766" s="58" t="s">
        <v>320</v>
      </c>
      <c r="C766" s="63" t="s">
        <v>334</v>
      </c>
      <c r="D766" s="33" t="s">
        <v>319</v>
      </c>
      <c r="E766" s="33"/>
      <c r="F766" s="33"/>
      <c r="G766" s="33"/>
      <c r="H766" s="30"/>
      <c r="I766" s="30"/>
      <c r="J766" s="212"/>
      <c r="K766" s="23"/>
      <c r="L766" s="23"/>
      <c r="M766" s="23"/>
      <c r="N766" s="23"/>
      <c r="O766" s="23"/>
      <c r="P766" s="23"/>
      <c r="Q766" s="23"/>
      <c r="R766" s="23"/>
      <c r="S766" s="23"/>
      <c r="T766" s="586"/>
      <c r="U766" s="23"/>
      <c r="V766" s="311"/>
      <c r="W766" s="311"/>
      <c r="X766" s="311"/>
      <c r="Y766" s="94"/>
      <c r="Z766" s="23"/>
      <c r="AA766" s="23"/>
      <c r="AB766" s="23"/>
      <c r="AC766" s="23"/>
      <c r="AD766" s="158"/>
      <c r="AE766" s="158"/>
      <c r="AF766" s="158"/>
      <c r="AG766" s="158"/>
      <c r="AH766" s="158"/>
      <c r="AI766" s="158"/>
      <c r="AJ766" s="158"/>
      <c r="AK766" s="158"/>
      <c r="AL766" s="158"/>
      <c r="AM766" s="158"/>
      <c r="AN766" s="158"/>
      <c r="AO766" s="23"/>
      <c r="AP766" s="23"/>
      <c r="AQ766" s="23"/>
      <c r="AR766" s="23"/>
      <c r="AS766" s="2"/>
      <c r="AT766" s="58"/>
      <c r="AU766" s="112"/>
      <c r="AV766" s="23">
        <v>1</v>
      </c>
      <c r="AW766" s="23"/>
      <c r="AX766" s="23"/>
      <c r="AY766" s="23"/>
      <c r="AZ766" s="23"/>
      <c r="BA766" s="23"/>
      <c r="BB766" s="223"/>
      <c r="BC766" s="223"/>
      <c r="BD766" s="270">
        <v>2016</v>
      </c>
      <c r="BE766" s="270"/>
      <c r="BF766" s="448"/>
    </row>
    <row r="767" spans="1:58" ht="15" hidden="1" customHeight="1">
      <c r="A767" s="160" t="s">
        <v>1</v>
      </c>
      <c r="B767" s="58" t="s">
        <v>320</v>
      </c>
      <c r="C767" s="63" t="s">
        <v>335</v>
      </c>
      <c r="D767" s="33" t="s">
        <v>319</v>
      </c>
      <c r="E767" s="33"/>
      <c r="F767" s="33"/>
      <c r="G767" s="33"/>
      <c r="H767" s="30"/>
      <c r="I767" s="30"/>
      <c r="J767" s="212"/>
      <c r="K767" s="23"/>
      <c r="L767" s="23"/>
      <c r="M767" s="23"/>
      <c r="N767" s="23"/>
      <c r="O767" s="23"/>
      <c r="P767" s="23"/>
      <c r="Q767" s="23"/>
      <c r="R767" s="23"/>
      <c r="S767" s="23"/>
      <c r="T767" s="586"/>
      <c r="U767" s="23"/>
      <c r="V767" s="311"/>
      <c r="W767" s="311"/>
      <c r="X767" s="311"/>
      <c r="Y767" s="94"/>
      <c r="Z767" s="23"/>
      <c r="AA767" s="23"/>
      <c r="AB767" s="23"/>
      <c r="AC767" s="23"/>
      <c r="AD767" s="158"/>
      <c r="AE767" s="158"/>
      <c r="AF767" s="158"/>
      <c r="AG767" s="158"/>
      <c r="AH767" s="158"/>
      <c r="AI767" s="158"/>
      <c r="AJ767" s="158"/>
      <c r="AK767" s="158"/>
      <c r="AL767" s="158"/>
      <c r="AM767" s="158"/>
      <c r="AN767" s="158"/>
      <c r="AO767" s="23"/>
      <c r="AP767" s="23"/>
      <c r="AQ767" s="23"/>
      <c r="AR767" s="23"/>
      <c r="AS767" s="2"/>
      <c r="AT767" s="58"/>
      <c r="AU767" s="112"/>
      <c r="AV767" s="23">
        <v>1</v>
      </c>
      <c r="AW767" s="23"/>
      <c r="AX767" s="23"/>
      <c r="AY767" s="23"/>
      <c r="AZ767" s="23"/>
      <c r="BA767" s="23"/>
      <c r="BB767" s="223"/>
      <c r="BC767" s="223"/>
      <c r="BD767" s="270">
        <v>2016</v>
      </c>
      <c r="BE767" s="270"/>
      <c r="BF767" s="448"/>
    </row>
    <row r="768" spans="1:58" ht="15" hidden="1" customHeight="1">
      <c r="A768" s="160" t="s">
        <v>1</v>
      </c>
      <c r="B768" s="58" t="s">
        <v>320</v>
      </c>
      <c r="C768" s="63" t="s">
        <v>336</v>
      </c>
      <c r="D768" s="33" t="s">
        <v>319</v>
      </c>
      <c r="E768" s="33"/>
      <c r="F768" s="33"/>
      <c r="G768" s="33"/>
      <c r="H768" s="30"/>
      <c r="I768" s="30"/>
      <c r="J768" s="212"/>
      <c r="K768" s="23"/>
      <c r="L768" s="23"/>
      <c r="M768" s="23"/>
      <c r="N768" s="23"/>
      <c r="O768" s="23"/>
      <c r="P768" s="23"/>
      <c r="Q768" s="23"/>
      <c r="R768" s="23"/>
      <c r="S768" s="23"/>
      <c r="T768" s="586"/>
      <c r="U768" s="23"/>
      <c r="V768" s="311"/>
      <c r="W768" s="311"/>
      <c r="X768" s="311"/>
      <c r="Y768" s="94"/>
      <c r="Z768" s="23"/>
      <c r="AA768" s="23"/>
      <c r="AB768" s="23"/>
      <c r="AC768" s="23"/>
      <c r="AD768" s="158"/>
      <c r="AE768" s="158"/>
      <c r="AF768" s="158"/>
      <c r="AG768" s="158"/>
      <c r="AH768" s="158"/>
      <c r="AI768" s="158"/>
      <c r="AJ768" s="158"/>
      <c r="AK768" s="158"/>
      <c r="AL768" s="158"/>
      <c r="AM768" s="158"/>
      <c r="AN768" s="158"/>
      <c r="AO768" s="23"/>
      <c r="AP768" s="23"/>
      <c r="AQ768" s="23"/>
      <c r="AR768" s="23"/>
      <c r="AS768" s="2"/>
      <c r="AT768" s="58"/>
      <c r="AU768" s="112"/>
      <c r="AV768" s="23">
        <v>1</v>
      </c>
      <c r="AW768" s="23"/>
      <c r="AX768" s="23"/>
      <c r="AY768" s="23"/>
      <c r="AZ768" s="23"/>
      <c r="BA768" s="23"/>
      <c r="BB768" s="223"/>
      <c r="BC768" s="223"/>
      <c r="BD768" s="270">
        <v>2016</v>
      </c>
      <c r="BE768" s="270"/>
      <c r="BF768" s="448"/>
    </row>
    <row r="769" spans="1:58" ht="15" hidden="1" customHeight="1">
      <c r="A769" s="160" t="s">
        <v>1</v>
      </c>
      <c r="B769" s="58" t="s">
        <v>320</v>
      </c>
      <c r="C769" s="63" t="s">
        <v>337</v>
      </c>
      <c r="D769" s="33" t="s">
        <v>319</v>
      </c>
      <c r="E769" s="33"/>
      <c r="F769" s="33"/>
      <c r="G769" s="33"/>
      <c r="H769" s="30"/>
      <c r="I769" s="30"/>
      <c r="J769" s="212"/>
      <c r="K769" s="23"/>
      <c r="L769" s="23"/>
      <c r="M769" s="23"/>
      <c r="N769" s="23"/>
      <c r="O769" s="23"/>
      <c r="P769" s="23"/>
      <c r="Q769" s="23"/>
      <c r="R769" s="23"/>
      <c r="S769" s="23"/>
      <c r="T769" s="586"/>
      <c r="U769" s="23"/>
      <c r="V769" s="311"/>
      <c r="W769" s="311"/>
      <c r="X769" s="311"/>
      <c r="Y769" s="94"/>
      <c r="Z769" s="23"/>
      <c r="AA769" s="23"/>
      <c r="AB769" s="23"/>
      <c r="AC769" s="23"/>
      <c r="AD769" s="158"/>
      <c r="AE769" s="158"/>
      <c r="AF769" s="158"/>
      <c r="AG769" s="158"/>
      <c r="AH769" s="158"/>
      <c r="AI769" s="158"/>
      <c r="AJ769" s="158"/>
      <c r="AK769" s="158"/>
      <c r="AL769" s="158"/>
      <c r="AM769" s="158"/>
      <c r="AN769" s="158"/>
      <c r="AO769" s="23"/>
      <c r="AP769" s="23"/>
      <c r="AQ769" s="23"/>
      <c r="AR769" s="23"/>
      <c r="AS769" s="2"/>
      <c r="AT769" s="58"/>
      <c r="AU769" s="112"/>
      <c r="AV769" s="23">
        <v>1</v>
      </c>
      <c r="AW769" s="23"/>
      <c r="AX769" s="23"/>
      <c r="AY769" s="23"/>
      <c r="AZ769" s="23"/>
      <c r="BA769" s="23"/>
      <c r="BB769" s="223"/>
      <c r="BC769" s="223"/>
      <c r="BD769" s="270">
        <v>2016</v>
      </c>
      <c r="BE769" s="270"/>
      <c r="BF769" s="448"/>
    </row>
    <row r="770" spans="1:58" ht="15" hidden="1" customHeight="1">
      <c r="A770" s="160" t="s">
        <v>1</v>
      </c>
      <c r="B770" s="58" t="s">
        <v>320</v>
      </c>
      <c r="C770" s="63" t="s">
        <v>338</v>
      </c>
      <c r="D770" s="33" t="s">
        <v>319</v>
      </c>
      <c r="E770" s="33"/>
      <c r="F770" s="33"/>
      <c r="G770" s="33"/>
      <c r="H770" s="30"/>
      <c r="I770" s="30"/>
      <c r="J770" s="212"/>
      <c r="K770" s="23"/>
      <c r="L770" s="23"/>
      <c r="M770" s="23"/>
      <c r="N770" s="23"/>
      <c r="O770" s="23"/>
      <c r="P770" s="23"/>
      <c r="Q770" s="23"/>
      <c r="R770" s="23"/>
      <c r="S770" s="23"/>
      <c r="T770" s="586"/>
      <c r="U770" s="23"/>
      <c r="V770" s="311"/>
      <c r="W770" s="311"/>
      <c r="X770" s="311"/>
      <c r="Y770" s="94"/>
      <c r="Z770" s="23"/>
      <c r="AA770" s="23"/>
      <c r="AB770" s="23"/>
      <c r="AC770" s="23"/>
      <c r="AD770" s="158"/>
      <c r="AE770" s="158"/>
      <c r="AF770" s="158"/>
      <c r="AG770" s="158"/>
      <c r="AH770" s="158"/>
      <c r="AI770" s="158"/>
      <c r="AJ770" s="158"/>
      <c r="AK770" s="158"/>
      <c r="AL770" s="158"/>
      <c r="AM770" s="158"/>
      <c r="AN770" s="158"/>
      <c r="AO770" s="23"/>
      <c r="AP770" s="23"/>
      <c r="AQ770" s="23"/>
      <c r="AR770" s="23"/>
      <c r="AS770" s="2"/>
      <c r="AT770" s="58"/>
      <c r="AU770" s="112"/>
      <c r="AV770" s="23">
        <v>1</v>
      </c>
      <c r="AW770" s="23"/>
      <c r="AX770" s="23"/>
      <c r="AY770" s="23"/>
      <c r="AZ770" s="23"/>
      <c r="BA770" s="23"/>
      <c r="BB770" s="223"/>
      <c r="BC770" s="223"/>
      <c r="BD770" s="270">
        <v>2016</v>
      </c>
      <c r="BE770" s="270"/>
      <c r="BF770" s="448"/>
    </row>
    <row r="771" spans="1:58" ht="15" hidden="1" customHeight="1">
      <c r="A771" s="160" t="s">
        <v>1</v>
      </c>
      <c r="B771" s="58" t="s">
        <v>320</v>
      </c>
      <c r="C771" s="63" t="s">
        <v>339</v>
      </c>
      <c r="D771" s="33" t="s">
        <v>319</v>
      </c>
      <c r="E771" s="33"/>
      <c r="F771" s="33"/>
      <c r="G771" s="33"/>
      <c r="H771" s="30"/>
      <c r="I771" s="30"/>
      <c r="J771" s="212"/>
      <c r="K771" s="23"/>
      <c r="L771" s="23"/>
      <c r="M771" s="23"/>
      <c r="N771" s="23"/>
      <c r="O771" s="23"/>
      <c r="P771" s="23"/>
      <c r="Q771" s="23"/>
      <c r="R771" s="23"/>
      <c r="S771" s="23"/>
      <c r="T771" s="586"/>
      <c r="U771" s="23"/>
      <c r="V771" s="311"/>
      <c r="W771" s="311"/>
      <c r="X771" s="311"/>
      <c r="Y771" s="94"/>
      <c r="Z771" s="23"/>
      <c r="AA771" s="23"/>
      <c r="AB771" s="23"/>
      <c r="AC771" s="23"/>
      <c r="AD771" s="158"/>
      <c r="AE771" s="158"/>
      <c r="AF771" s="158"/>
      <c r="AG771" s="158"/>
      <c r="AH771" s="158"/>
      <c r="AI771" s="158"/>
      <c r="AJ771" s="158"/>
      <c r="AK771" s="158"/>
      <c r="AL771" s="158"/>
      <c r="AM771" s="158"/>
      <c r="AN771" s="158"/>
      <c r="AO771" s="23"/>
      <c r="AP771" s="23"/>
      <c r="AQ771" s="23"/>
      <c r="AR771" s="23"/>
      <c r="AS771" s="2"/>
      <c r="AT771" s="58"/>
      <c r="AU771" s="112"/>
      <c r="AV771" s="23">
        <v>1</v>
      </c>
      <c r="AW771" s="23"/>
      <c r="AX771" s="23"/>
      <c r="AY771" s="23"/>
      <c r="AZ771" s="23"/>
      <c r="BA771" s="23"/>
      <c r="BB771" s="223"/>
      <c r="BC771" s="223"/>
      <c r="BD771" s="270">
        <v>2016</v>
      </c>
      <c r="BE771" s="270"/>
      <c r="BF771" s="448"/>
    </row>
    <row r="772" spans="1:58" ht="15" hidden="1" customHeight="1">
      <c r="A772" s="160" t="s">
        <v>1</v>
      </c>
      <c r="B772" s="58" t="s">
        <v>320</v>
      </c>
      <c r="C772" s="63" t="s">
        <v>340</v>
      </c>
      <c r="D772" s="33" t="s">
        <v>319</v>
      </c>
      <c r="E772" s="33"/>
      <c r="F772" s="33"/>
      <c r="G772" s="33"/>
      <c r="H772" s="30"/>
      <c r="I772" s="30"/>
      <c r="J772" s="212"/>
      <c r="K772" s="23"/>
      <c r="L772" s="23"/>
      <c r="M772" s="23"/>
      <c r="N772" s="23"/>
      <c r="O772" s="23"/>
      <c r="P772" s="23"/>
      <c r="Q772" s="23"/>
      <c r="R772" s="23"/>
      <c r="S772" s="23"/>
      <c r="T772" s="586"/>
      <c r="U772" s="23"/>
      <c r="V772" s="311"/>
      <c r="W772" s="311"/>
      <c r="X772" s="311"/>
      <c r="Y772" s="94"/>
      <c r="Z772" s="23"/>
      <c r="AA772" s="23"/>
      <c r="AB772" s="23"/>
      <c r="AC772" s="23"/>
      <c r="AD772" s="158"/>
      <c r="AE772" s="158"/>
      <c r="AF772" s="158"/>
      <c r="AG772" s="158"/>
      <c r="AH772" s="158"/>
      <c r="AI772" s="158"/>
      <c r="AJ772" s="158"/>
      <c r="AK772" s="158"/>
      <c r="AL772" s="158"/>
      <c r="AM772" s="158"/>
      <c r="AN772" s="158"/>
      <c r="AO772" s="23"/>
      <c r="AP772" s="23"/>
      <c r="AQ772" s="23"/>
      <c r="AR772" s="23"/>
      <c r="AS772" s="2"/>
      <c r="AT772" s="58"/>
      <c r="AU772" s="112"/>
      <c r="AV772" s="23">
        <v>1</v>
      </c>
      <c r="AW772" s="23"/>
      <c r="AX772" s="23"/>
      <c r="AY772" s="23"/>
      <c r="AZ772" s="23"/>
      <c r="BA772" s="23"/>
      <c r="BB772" s="223"/>
      <c r="BC772" s="223"/>
      <c r="BD772" s="270">
        <v>2016</v>
      </c>
      <c r="BE772" s="270"/>
      <c r="BF772" s="448"/>
    </row>
    <row r="773" spans="1:58" ht="15" hidden="1" customHeight="1">
      <c r="A773" s="160" t="s">
        <v>1</v>
      </c>
      <c r="B773" s="58" t="s">
        <v>320</v>
      </c>
      <c r="C773" s="63" t="s">
        <v>341</v>
      </c>
      <c r="D773" s="33" t="s">
        <v>319</v>
      </c>
      <c r="E773" s="33"/>
      <c r="F773" s="33"/>
      <c r="G773" s="33"/>
      <c r="H773" s="30"/>
      <c r="I773" s="30"/>
      <c r="J773" s="212"/>
      <c r="K773" s="23"/>
      <c r="L773" s="23"/>
      <c r="M773" s="23"/>
      <c r="N773" s="23"/>
      <c r="O773" s="23"/>
      <c r="P773" s="23"/>
      <c r="Q773" s="23"/>
      <c r="R773" s="23"/>
      <c r="S773" s="23"/>
      <c r="T773" s="586"/>
      <c r="U773" s="23"/>
      <c r="V773" s="311"/>
      <c r="W773" s="311"/>
      <c r="X773" s="311"/>
      <c r="Y773" s="94"/>
      <c r="Z773" s="23"/>
      <c r="AA773" s="23"/>
      <c r="AB773" s="23"/>
      <c r="AC773" s="23"/>
      <c r="AD773" s="158"/>
      <c r="AE773" s="158"/>
      <c r="AF773" s="158"/>
      <c r="AG773" s="158"/>
      <c r="AH773" s="158"/>
      <c r="AI773" s="158"/>
      <c r="AJ773" s="158"/>
      <c r="AK773" s="158"/>
      <c r="AL773" s="158"/>
      <c r="AM773" s="158"/>
      <c r="AN773" s="158"/>
      <c r="AO773" s="23"/>
      <c r="AP773" s="23"/>
      <c r="AQ773" s="23"/>
      <c r="AR773" s="23"/>
      <c r="AS773" s="2"/>
      <c r="AT773" s="58"/>
      <c r="AU773" s="112"/>
      <c r="AV773" s="23">
        <v>1</v>
      </c>
      <c r="AW773" s="23"/>
      <c r="AX773" s="23"/>
      <c r="AY773" s="23"/>
      <c r="AZ773" s="23"/>
      <c r="BA773" s="23"/>
      <c r="BB773" s="223"/>
      <c r="BC773" s="223"/>
      <c r="BD773" s="270">
        <v>2016</v>
      </c>
      <c r="BE773" s="270"/>
      <c r="BF773" s="448"/>
    </row>
    <row r="774" spans="1:58" ht="15" hidden="1" customHeight="1">
      <c r="A774" s="160" t="s">
        <v>1</v>
      </c>
      <c r="B774" s="58" t="s">
        <v>320</v>
      </c>
      <c r="C774" s="63" t="s">
        <v>342</v>
      </c>
      <c r="D774" s="33" t="s">
        <v>319</v>
      </c>
      <c r="E774" s="33"/>
      <c r="F774" s="33"/>
      <c r="G774" s="33"/>
      <c r="H774" s="30"/>
      <c r="I774" s="30"/>
      <c r="J774" s="212"/>
      <c r="K774" s="23"/>
      <c r="L774" s="23"/>
      <c r="M774" s="23"/>
      <c r="N774" s="23"/>
      <c r="O774" s="23"/>
      <c r="P774" s="23"/>
      <c r="Q774" s="23"/>
      <c r="R774" s="23"/>
      <c r="S774" s="23"/>
      <c r="T774" s="586"/>
      <c r="U774" s="23"/>
      <c r="V774" s="311"/>
      <c r="W774" s="311"/>
      <c r="X774" s="311"/>
      <c r="Y774" s="94"/>
      <c r="Z774" s="23"/>
      <c r="AA774" s="23"/>
      <c r="AB774" s="23"/>
      <c r="AC774" s="23"/>
      <c r="AD774" s="158"/>
      <c r="AE774" s="158"/>
      <c r="AF774" s="158"/>
      <c r="AG774" s="158"/>
      <c r="AH774" s="158"/>
      <c r="AI774" s="158"/>
      <c r="AJ774" s="158"/>
      <c r="AK774" s="158"/>
      <c r="AL774" s="158"/>
      <c r="AM774" s="158"/>
      <c r="AN774" s="158"/>
      <c r="AO774" s="23"/>
      <c r="AP774" s="23"/>
      <c r="AQ774" s="23"/>
      <c r="AR774" s="23"/>
      <c r="AS774" s="2"/>
      <c r="AT774" s="58"/>
      <c r="AU774" s="112"/>
      <c r="AV774" s="23">
        <v>1</v>
      </c>
      <c r="AW774" s="23"/>
      <c r="AX774" s="23"/>
      <c r="AY774" s="23"/>
      <c r="AZ774" s="23"/>
      <c r="BA774" s="23"/>
      <c r="BB774" s="223"/>
      <c r="BC774" s="223"/>
      <c r="BD774" s="270">
        <v>2016</v>
      </c>
      <c r="BE774" s="270"/>
      <c r="BF774" s="448"/>
    </row>
    <row r="775" spans="1:58" ht="15" hidden="1" customHeight="1">
      <c r="A775" s="160" t="s">
        <v>1</v>
      </c>
      <c r="B775" s="58" t="s">
        <v>320</v>
      </c>
      <c r="C775" s="63" t="s">
        <v>343</v>
      </c>
      <c r="D775" s="33" t="s">
        <v>319</v>
      </c>
      <c r="E775" s="33"/>
      <c r="F775" s="33"/>
      <c r="G775" s="33"/>
      <c r="H775" s="30"/>
      <c r="I775" s="30"/>
      <c r="J775" s="212"/>
      <c r="K775" s="23"/>
      <c r="L775" s="23"/>
      <c r="M775" s="23"/>
      <c r="N775" s="23"/>
      <c r="O775" s="23"/>
      <c r="P775" s="23"/>
      <c r="Q775" s="23"/>
      <c r="R775" s="23"/>
      <c r="S775" s="23"/>
      <c r="T775" s="586"/>
      <c r="U775" s="23"/>
      <c r="V775" s="311"/>
      <c r="W775" s="311"/>
      <c r="X775" s="311"/>
      <c r="Y775" s="94"/>
      <c r="Z775" s="23"/>
      <c r="AA775" s="23"/>
      <c r="AB775" s="23"/>
      <c r="AC775" s="23"/>
      <c r="AD775" s="158"/>
      <c r="AE775" s="158"/>
      <c r="AF775" s="158"/>
      <c r="AG775" s="158"/>
      <c r="AH775" s="158"/>
      <c r="AI775" s="158"/>
      <c r="AJ775" s="158"/>
      <c r="AK775" s="158"/>
      <c r="AL775" s="158"/>
      <c r="AM775" s="158"/>
      <c r="AN775" s="158"/>
      <c r="AO775" s="23"/>
      <c r="AP775" s="23"/>
      <c r="AQ775" s="23"/>
      <c r="AR775" s="23"/>
      <c r="AS775" s="2"/>
      <c r="AT775" s="58"/>
      <c r="AU775" s="112"/>
      <c r="AV775" s="23">
        <v>1</v>
      </c>
      <c r="AW775" s="23"/>
      <c r="AX775" s="23"/>
      <c r="AY775" s="23"/>
      <c r="AZ775" s="23"/>
      <c r="BA775" s="23"/>
      <c r="BB775" s="223"/>
      <c r="BC775" s="223"/>
      <c r="BD775" s="270">
        <v>2016</v>
      </c>
      <c r="BE775" s="270"/>
      <c r="BF775" s="448"/>
    </row>
    <row r="776" spans="1:58" ht="15" hidden="1" customHeight="1">
      <c r="A776" s="160" t="s">
        <v>1</v>
      </c>
      <c r="B776" s="58" t="s">
        <v>320</v>
      </c>
      <c r="C776" s="63" t="s">
        <v>344</v>
      </c>
      <c r="D776" s="33" t="s">
        <v>319</v>
      </c>
      <c r="E776" s="33"/>
      <c r="F776" s="33"/>
      <c r="G776" s="33"/>
      <c r="H776" s="30"/>
      <c r="I776" s="30"/>
      <c r="J776" s="212"/>
      <c r="K776" s="23"/>
      <c r="L776" s="23"/>
      <c r="M776" s="23"/>
      <c r="N776" s="23"/>
      <c r="O776" s="23"/>
      <c r="P776" s="23"/>
      <c r="Q776" s="23"/>
      <c r="R776" s="23"/>
      <c r="S776" s="23"/>
      <c r="T776" s="586"/>
      <c r="U776" s="23"/>
      <c r="V776" s="311"/>
      <c r="W776" s="311"/>
      <c r="X776" s="311"/>
      <c r="Y776" s="94"/>
      <c r="Z776" s="23"/>
      <c r="AA776" s="23"/>
      <c r="AB776" s="23"/>
      <c r="AC776" s="23"/>
      <c r="AD776" s="158"/>
      <c r="AE776" s="158"/>
      <c r="AF776" s="158"/>
      <c r="AG776" s="158"/>
      <c r="AH776" s="158"/>
      <c r="AI776" s="158"/>
      <c r="AJ776" s="158"/>
      <c r="AK776" s="158"/>
      <c r="AL776" s="158"/>
      <c r="AM776" s="158"/>
      <c r="AN776" s="158"/>
      <c r="AO776" s="23"/>
      <c r="AP776" s="23"/>
      <c r="AQ776" s="23"/>
      <c r="AR776" s="23"/>
      <c r="AS776" s="2"/>
      <c r="AT776" s="58"/>
      <c r="AU776" s="112"/>
      <c r="AV776" s="23">
        <v>1</v>
      </c>
      <c r="AW776" s="23"/>
      <c r="AX776" s="23"/>
      <c r="AY776" s="23"/>
      <c r="AZ776" s="23"/>
      <c r="BA776" s="23"/>
      <c r="BB776" s="223"/>
      <c r="BC776" s="223"/>
      <c r="BD776" s="270">
        <v>2016</v>
      </c>
      <c r="BE776" s="270"/>
      <c r="BF776" s="448"/>
    </row>
    <row r="777" spans="1:58" ht="15" hidden="1" customHeight="1">
      <c r="A777" s="160" t="s">
        <v>1</v>
      </c>
      <c r="B777" s="58" t="s">
        <v>320</v>
      </c>
      <c r="C777" s="63" t="s">
        <v>345</v>
      </c>
      <c r="D777" s="33" t="s">
        <v>319</v>
      </c>
      <c r="E777" s="33"/>
      <c r="F777" s="33"/>
      <c r="G777" s="33"/>
      <c r="H777" s="30"/>
      <c r="I777" s="30"/>
      <c r="J777" s="212"/>
      <c r="K777" s="23"/>
      <c r="L777" s="23"/>
      <c r="M777" s="23"/>
      <c r="N777" s="23"/>
      <c r="O777" s="23"/>
      <c r="P777" s="23"/>
      <c r="Q777" s="23"/>
      <c r="R777" s="23"/>
      <c r="S777" s="23"/>
      <c r="T777" s="586"/>
      <c r="U777" s="23"/>
      <c r="V777" s="311"/>
      <c r="W777" s="311"/>
      <c r="X777" s="311"/>
      <c r="Y777" s="94"/>
      <c r="Z777" s="23"/>
      <c r="AA777" s="23"/>
      <c r="AB777" s="23"/>
      <c r="AC777" s="23"/>
      <c r="AD777" s="158"/>
      <c r="AE777" s="158"/>
      <c r="AF777" s="158"/>
      <c r="AG777" s="158"/>
      <c r="AH777" s="158"/>
      <c r="AI777" s="158"/>
      <c r="AJ777" s="158"/>
      <c r="AK777" s="158"/>
      <c r="AL777" s="158"/>
      <c r="AM777" s="158"/>
      <c r="AN777" s="158"/>
      <c r="AO777" s="23"/>
      <c r="AP777" s="23"/>
      <c r="AQ777" s="23"/>
      <c r="AR777" s="23"/>
      <c r="AS777" s="2"/>
      <c r="AT777" s="58"/>
      <c r="AU777" s="112"/>
      <c r="AV777" s="23">
        <v>1</v>
      </c>
      <c r="AW777" s="23"/>
      <c r="AX777" s="23"/>
      <c r="AY777" s="23"/>
      <c r="AZ777" s="23"/>
      <c r="BA777" s="23"/>
      <c r="BB777" s="223"/>
      <c r="BC777" s="223"/>
      <c r="BD777" s="270">
        <v>2016</v>
      </c>
      <c r="BE777" s="270"/>
      <c r="BF777" s="448"/>
    </row>
    <row r="778" spans="1:58" ht="15" hidden="1" customHeight="1">
      <c r="A778" s="160" t="s">
        <v>1</v>
      </c>
      <c r="B778" s="58" t="s">
        <v>320</v>
      </c>
      <c r="C778" s="63" t="s">
        <v>346</v>
      </c>
      <c r="D778" s="33" t="s">
        <v>319</v>
      </c>
      <c r="E778" s="33"/>
      <c r="F778" s="33"/>
      <c r="G778" s="33"/>
      <c r="H778" s="30"/>
      <c r="I778" s="30"/>
      <c r="J778" s="212"/>
      <c r="K778" s="23"/>
      <c r="L778" s="23"/>
      <c r="M778" s="23"/>
      <c r="N778" s="23"/>
      <c r="O778" s="23"/>
      <c r="P778" s="23"/>
      <c r="Q778" s="23"/>
      <c r="R778" s="23"/>
      <c r="S778" s="23"/>
      <c r="T778" s="586"/>
      <c r="U778" s="23"/>
      <c r="V778" s="311"/>
      <c r="W778" s="311"/>
      <c r="X778" s="311"/>
      <c r="Y778" s="94"/>
      <c r="Z778" s="23"/>
      <c r="AA778" s="23"/>
      <c r="AB778" s="23"/>
      <c r="AC778" s="23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23"/>
      <c r="AP778" s="23"/>
      <c r="AQ778" s="23"/>
      <c r="AR778" s="23"/>
      <c r="AS778" s="2"/>
      <c r="AT778" s="58"/>
      <c r="AU778" s="112"/>
      <c r="AV778" s="23">
        <v>1</v>
      </c>
      <c r="AW778" s="23"/>
      <c r="AX778" s="23"/>
      <c r="AY778" s="23"/>
      <c r="AZ778" s="23"/>
      <c r="BA778" s="23"/>
      <c r="BB778" s="223"/>
      <c r="BC778" s="223"/>
      <c r="BD778" s="270">
        <v>2016</v>
      </c>
      <c r="BE778" s="270"/>
      <c r="BF778" s="448"/>
    </row>
    <row r="779" spans="1:58" ht="15" hidden="1" customHeight="1">
      <c r="A779" s="160" t="s">
        <v>1</v>
      </c>
      <c r="B779" s="58" t="s">
        <v>320</v>
      </c>
      <c r="C779" s="63" t="s">
        <v>347</v>
      </c>
      <c r="D779" s="33" t="s">
        <v>319</v>
      </c>
      <c r="E779" s="33"/>
      <c r="F779" s="33"/>
      <c r="G779" s="33"/>
      <c r="H779" s="30"/>
      <c r="I779" s="30"/>
      <c r="J779" s="212"/>
      <c r="K779" s="23"/>
      <c r="L779" s="23"/>
      <c r="M779" s="23"/>
      <c r="N779" s="23"/>
      <c r="O779" s="23"/>
      <c r="P779" s="23"/>
      <c r="Q779" s="23"/>
      <c r="R779" s="23"/>
      <c r="S779" s="23"/>
      <c r="T779" s="586"/>
      <c r="U779" s="23"/>
      <c r="V779" s="311"/>
      <c r="W779" s="311"/>
      <c r="X779" s="311"/>
      <c r="Y779" s="94"/>
      <c r="Z779" s="23"/>
      <c r="AA779" s="23"/>
      <c r="AB779" s="23"/>
      <c r="AC779" s="23"/>
      <c r="AD779" s="158"/>
      <c r="AE779" s="158"/>
      <c r="AF779" s="158"/>
      <c r="AG779" s="158"/>
      <c r="AH779" s="158"/>
      <c r="AI779" s="158"/>
      <c r="AJ779" s="158"/>
      <c r="AK779" s="158"/>
      <c r="AL779" s="158"/>
      <c r="AM779" s="158"/>
      <c r="AN779" s="158"/>
      <c r="AO779" s="23"/>
      <c r="AP779" s="23"/>
      <c r="AQ779" s="23"/>
      <c r="AR779" s="23"/>
      <c r="AS779" s="2"/>
      <c r="AT779" s="58"/>
      <c r="AU779" s="112"/>
      <c r="AV779" s="23">
        <v>1</v>
      </c>
      <c r="AW779" s="23"/>
      <c r="AX779" s="23"/>
      <c r="AY779" s="23"/>
      <c r="AZ779" s="23"/>
      <c r="BA779" s="23"/>
      <c r="BB779" s="223"/>
      <c r="BC779" s="223"/>
      <c r="BD779" s="270">
        <v>2016</v>
      </c>
      <c r="BE779" s="270"/>
      <c r="BF779" s="448"/>
    </row>
    <row r="780" spans="1:58" ht="15" hidden="1" customHeight="1">
      <c r="A780" s="160" t="s">
        <v>1</v>
      </c>
      <c r="B780" s="58" t="s">
        <v>320</v>
      </c>
      <c r="C780" s="63" t="s">
        <v>348</v>
      </c>
      <c r="D780" s="33" t="s">
        <v>319</v>
      </c>
      <c r="E780" s="33"/>
      <c r="F780" s="33"/>
      <c r="G780" s="33"/>
      <c r="H780" s="30"/>
      <c r="I780" s="30"/>
      <c r="J780" s="212"/>
      <c r="K780" s="23"/>
      <c r="L780" s="23"/>
      <c r="M780" s="23"/>
      <c r="N780" s="23"/>
      <c r="O780" s="23"/>
      <c r="P780" s="23"/>
      <c r="Q780" s="23"/>
      <c r="R780" s="23"/>
      <c r="S780" s="23"/>
      <c r="T780" s="586"/>
      <c r="U780" s="23"/>
      <c r="V780" s="311"/>
      <c r="W780" s="311"/>
      <c r="X780" s="311"/>
      <c r="Y780" s="94"/>
      <c r="Z780" s="23"/>
      <c r="AA780" s="23"/>
      <c r="AB780" s="23"/>
      <c r="AC780" s="23"/>
      <c r="AD780" s="158"/>
      <c r="AE780" s="158"/>
      <c r="AF780" s="158"/>
      <c r="AG780" s="158"/>
      <c r="AH780" s="158"/>
      <c r="AI780" s="158"/>
      <c r="AJ780" s="158"/>
      <c r="AK780" s="158"/>
      <c r="AL780" s="158"/>
      <c r="AM780" s="158"/>
      <c r="AN780" s="158"/>
      <c r="AO780" s="23"/>
      <c r="AP780" s="23"/>
      <c r="AQ780" s="23"/>
      <c r="AR780" s="23"/>
      <c r="AS780" s="2"/>
      <c r="AT780" s="58"/>
      <c r="AU780" s="112"/>
      <c r="AV780" s="23">
        <v>1</v>
      </c>
      <c r="AW780" s="23"/>
      <c r="AX780" s="23"/>
      <c r="AY780" s="23"/>
      <c r="AZ780" s="23"/>
      <c r="BA780" s="23"/>
      <c r="BB780" s="223"/>
      <c r="BC780" s="223"/>
      <c r="BD780" s="270">
        <v>2016</v>
      </c>
      <c r="BE780" s="270"/>
      <c r="BF780" s="448"/>
    </row>
    <row r="781" spans="1:58" ht="15" hidden="1" customHeight="1">
      <c r="A781" s="160" t="s">
        <v>1</v>
      </c>
      <c r="B781" s="58" t="s">
        <v>320</v>
      </c>
      <c r="C781" s="63" t="s">
        <v>349</v>
      </c>
      <c r="D781" s="33" t="s">
        <v>319</v>
      </c>
      <c r="E781" s="33"/>
      <c r="F781" s="33"/>
      <c r="G781" s="33"/>
      <c r="H781" s="30"/>
      <c r="I781" s="30"/>
      <c r="J781" s="212"/>
      <c r="K781" s="23"/>
      <c r="L781" s="23"/>
      <c r="M781" s="23"/>
      <c r="N781" s="23"/>
      <c r="O781" s="23"/>
      <c r="P781" s="23"/>
      <c r="Q781" s="23"/>
      <c r="R781" s="23"/>
      <c r="S781" s="23"/>
      <c r="T781" s="586"/>
      <c r="U781" s="23"/>
      <c r="V781" s="311"/>
      <c r="W781" s="311"/>
      <c r="X781" s="311"/>
      <c r="Y781" s="94"/>
      <c r="Z781" s="23"/>
      <c r="AA781" s="23"/>
      <c r="AB781" s="23"/>
      <c r="AC781" s="23"/>
      <c r="AD781" s="158"/>
      <c r="AE781" s="158"/>
      <c r="AF781" s="158"/>
      <c r="AG781" s="158"/>
      <c r="AH781" s="158"/>
      <c r="AI781" s="158"/>
      <c r="AJ781" s="158"/>
      <c r="AK781" s="158"/>
      <c r="AL781" s="158"/>
      <c r="AM781" s="158"/>
      <c r="AN781" s="158"/>
      <c r="AO781" s="23"/>
      <c r="AP781" s="23"/>
      <c r="AQ781" s="23"/>
      <c r="AR781" s="23"/>
      <c r="AS781" s="2"/>
      <c r="AT781" s="58"/>
      <c r="AU781" s="112"/>
      <c r="AV781" s="23">
        <v>1</v>
      </c>
      <c r="AW781" s="23"/>
      <c r="AX781" s="23"/>
      <c r="AY781" s="23"/>
      <c r="AZ781" s="23"/>
      <c r="BA781" s="23"/>
      <c r="BB781" s="223"/>
      <c r="BC781" s="223"/>
      <c r="BD781" s="270">
        <v>2016</v>
      </c>
      <c r="BE781" s="270"/>
      <c r="BF781" s="448"/>
    </row>
    <row r="782" spans="1:58" ht="15" hidden="1" customHeight="1">
      <c r="A782" s="160" t="s">
        <v>1</v>
      </c>
      <c r="B782" s="58" t="s">
        <v>320</v>
      </c>
      <c r="C782" s="63" t="s">
        <v>350</v>
      </c>
      <c r="D782" s="33" t="s">
        <v>319</v>
      </c>
      <c r="E782" s="33"/>
      <c r="F782" s="33"/>
      <c r="G782" s="33"/>
      <c r="H782" s="30"/>
      <c r="I782" s="30"/>
      <c r="J782" s="212"/>
      <c r="K782" s="23"/>
      <c r="L782" s="23"/>
      <c r="M782" s="23"/>
      <c r="N782" s="23"/>
      <c r="O782" s="23"/>
      <c r="P782" s="23"/>
      <c r="Q782" s="23"/>
      <c r="R782" s="23"/>
      <c r="S782" s="23"/>
      <c r="T782" s="586"/>
      <c r="U782" s="23"/>
      <c r="V782" s="311"/>
      <c r="W782" s="311"/>
      <c r="X782" s="311"/>
      <c r="Y782" s="94"/>
      <c r="Z782" s="23"/>
      <c r="AA782" s="23"/>
      <c r="AB782" s="23"/>
      <c r="AC782" s="23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23"/>
      <c r="AP782" s="23"/>
      <c r="AQ782" s="23"/>
      <c r="AR782" s="23"/>
      <c r="AS782" s="2"/>
      <c r="AT782" s="58"/>
      <c r="AU782" s="112"/>
      <c r="AV782" s="23">
        <v>1</v>
      </c>
      <c r="AW782" s="23"/>
      <c r="AX782" s="23"/>
      <c r="AY782" s="23"/>
      <c r="AZ782" s="23"/>
      <c r="BA782" s="23"/>
      <c r="BB782" s="223"/>
      <c r="BC782" s="223"/>
      <c r="BD782" s="270">
        <v>2016</v>
      </c>
      <c r="BE782" s="270"/>
      <c r="BF782" s="448"/>
    </row>
    <row r="783" spans="1:58" ht="15" hidden="1" customHeight="1">
      <c r="A783" s="160" t="s">
        <v>1</v>
      </c>
      <c r="B783" s="58" t="s">
        <v>320</v>
      </c>
      <c r="C783" s="63" t="s">
        <v>351</v>
      </c>
      <c r="D783" s="33" t="s">
        <v>319</v>
      </c>
      <c r="E783" s="33"/>
      <c r="F783" s="33"/>
      <c r="G783" s="33"/>
      <c r="H783" s="30"/>
      <c r="I783" s="30"/>
      <c r="J783" s="212"/>
      <c r="K783" s="23"/>
      <c r="L783" s="23"/>
      <c r="M783" s="23"/>
      <c r="N783" s="23"/>
      <c r="O783" s="23"/>
      <c r="P783" s="23"/>
      <c r="Q783" s="23"/>
      <c r="R783" s="23"/>
      <c r="S783" s="23"/>
      <c r="T783" s="586"/>
      <c r="U783" s="23"/>
      <c r="V783" s="311"/>
      <c r="W783" s="311"/>
      <c r="X783" s="311"/>
      <c r="Y783" s="94"/>
      <c r="Z783" s="23"/>
      <c r="AA783" s="23"/>
      <c r="AB783" s="23"/>
      <c r="AC783" s="23"/>
      <c r="AD783" s="158"/>
      <c r="AE783" s="158"/>
      <c r="AF783" s="158"/>
      <c r="AG783" s="158"/>
      <c r="AH783" s="158"/>
      <c r="AI783" s="158"/>
      <c r="AJ783" s="158"/>
      <c r="AK783" s="158"/>
      <c r="AL783" s="158"/>
      <c r="AM783" s="158"/>
      <c r="AN783" s="158"/>
      <c r="AO783" s="23"/>
      <c r="AP783" s="23"/>
      <c r="AQ783" s="23"/>
      <c r="AR783" s="23"/>
      <c r="AS783" s="2"/>
      <c r="AT783" s="58"/>
      <c r="AU783" s="112"/>
      <c r="AV783" s="23">
        <v>1</v>
      </c>
      <c r="AW783" s="23"/>
      <c r="AX783" s="23"/>
      <c r="AY783" s="23"/>
      <c r="AZ783" s="23"/>
      <c r="BA783" s="23"/>
      <c r="BB783" s="223"/>
      <c r="BC783" s="223"/>
      <c r="BD783" s="270">
        <v>2016</v>
      </c>
      <c r="BE783" s="270"/>
      <c r="BF783" s="448"/>
    </row>
    <row r="784" spans="1:58" ht="15" hidden="1" customHeight="1">
      <c r="A784" s="160" t="s">
        <v>1</v>
      </c>
      <c r="B784" s="58" t="s">
        <v>320</v>
      </c>
      <c r="C784" s="63" t="s">
        <v>352</v>
      </c>
      <c r="D784" s="33" t="s">
        <v>319</v>
      </c>
      <c r="E784" s="33"/>
      <c r="F784" s="33"/>
      <c r="G784" s="33"/>
      <c r="H784" s="30"/>
      <c r="I784" s="30"/>
      <c r="J784" s="212"/>
      <c r="K784" s="23"/>
      <c r="L784" s="23"/>
      <c r="M784" s="23"/>
      <c r="N784" s="23"/>
      <c r="O784" s="23"/>
      <c r="P784" s="23"/>
      <c r="Q784" s="23"/>
      <c r="R784" s="23"/>
      <c r="S784" s="23"/>
      <c r="T784" s="586"/>
      <c r="U784" s="23"/>
      <c r="V784" s="311"/>
      <c r="W784" s="311"/>
      <c r="X784" s="311"/>
      <c r="Y784" s="94"/>
      <c r="Z784" s="23"/>
      <c r="AA784" s="23"/>
      <c r="AB784" s="23"/>
      <c r="AC784" s="23"/>
      <c r="AD784" s="158"/>
      <c r="AE784" s="158"/>
      <c r="AF784" s="158"/>
      <c r="AG784" s="158"/>
      <c r="AH784" s="158"/>
      <c r="AI784" s="158"/>
      <c r="AJ784" s="158"/>
      <c r="AK784" s="158"/>
      <c r="AL784" s="158"/>
      <c r="AM784" s="158"/>
      <c r="AN784" s="158"/>
      <c r="AO784" s="23"/>
      <c r="AP784" s="23"/>
      <c r="AQ784" s="23"/>
      <c r="AR784" s="23"/>
      <c r="AS784" s="2"/>
      <c r="AT784" s="58"/>
      <c r="AU784" s="112"/>
      <c r="AV784" s="23">
        <v>1</v>
      </c>
      <c r="AW784" s="23"/>
      <c r="AX784" s="23"/>
      <c r="AY784" s="23"/>
      <c r="AZ784" s="23"/>
      <c r="BA784" s="23"/>
      <c r="BB784" s="223"/>
      <c r="BC784" s="223"/>
      <c r="BD784" s="270">
        <v>2016</v>
      </c>
      <c r="BE784" s="270"/>
      <c r="BF784" s="448"/>
    </row>
    <row r="785" spans="1:58" ht="15" hidden="1" customHeight="1">
      <c r="A785" s="160" t="s">
        <v>1</v>
      </c>
      <c r="B785" s="58" t="s">
        <v>320</v>
      </c>
      <c r="C785" s="63" t="s">
        <v>353</v>
      </c>
      <c r="D785" s="33" t="s">
        <v>319</v>
      </c>
      <c r="E785" s="33"/>
      <c r="F785" s="33"/>
      <c r="G785" s="33"/>
      <c r="H785" s="30"/>
      <c r="I785" s="30"/>
      <c r="J785" s="212"/>
      <c r="K785" s="23"/>
      <c r="L785" s="23"/>
      <c r="M785" s="23"/>
      <c r="N785" s="23"/>
      <c r="O785" s="23"/>
      <c r="P785" s="23"/>
      <c r="Q785" s="23"/>
      <c r="R785" s="23"/>
      <c r="S785" s="23"/>
      <c r="T785" s="586"/>
      <c r="U785" s="23"/>
      <c r="V785" s="311"/>
      <c r="W785" s="311"/>
      <c r="X785" s="311"/>
      <c r="Y785" s="94"/>
      <c r="Z785" s="23"/>
      <c r="AA785" s="23"/>
      <c r="AB785" s="23"/>
      <c r="AC785" s="23"/>
      <c r="AD785" s="158"/>
      <c r="AE785" s="158"/>
      <c r="AF785" s="158"/>
      <c r="AG785" s="158"/>
      <c r="AH785" s="158"/>
      <c r="AI785" s="158"/>
      <c r="AJ785" s="158"/>
      <c r="AK785" s="158"/>
      <c r="AL785" s="158"/>
      <c r="AM785" s="158"/>
      <c r="AN785" s="158"/>
      <c r="AO785" s="23"/>
      <c r="AP785" s="23"/>
      <c r="AQ785" s="23"/>
      <c r="AR785" s="23"/>
      <c r="AS785" s="2"/>
      <c r="AT785" s="58"/>
      <c r="AU785" s="112"/>
      <c r="AV785" s="23">
        <v>1</v>
      </c>
      <c r="AW785" s="23"/>
      <c r="AX785" s="23"/>
      <c r="AY785" s="23"/>
      <c r="AZ785" s="23"/>
      <c r="BA785" s="23"/>
      <c r="BB785" s="223"/>
      <c r="BC785" s="223"/>
      <c r="BD785" s="270">
        <v>2016</v>
      </c>
      <c r="BE785" s="270"/>
      <c r="BF785" s="448"/>
    </row>
    <row r="786" spans="1:58" ht="15" hidden="1" customHeight="1">
      <c r="A786" s="160" t="s">
        <v>1</v>
      </c>
      <c r="B786" s="58" t="s">
        <v>320</v>
      </c>
      <c r="C786" s="63" t="s">
        <v>354</v>
      </c>
      <c r="D786" s="33" t="s">
        <v>319</v>
      </c>
      <c r="E786" s="33"/>
      <c r="F786" s="33"/>
      <c r="G786" s="33"/>
      <c r="H786" s="30"/>
      <c r="I786" s="30"/>
      <c r="J786" s="212"/>
      <c r="K786" s="23"/>
      <c r="L786" s="23"/>
      <c r="M786" s="23"/>
      <c r="N786" s="23"/>
      <c r="O786" s="23"/>
      <c r="P786" s="23"/>
      <c r="Q786" s="23"/>
      <c r="R786" s="23"/>
      <c r="S786" s="23"/>
      <c r="T786" s="586"/>
      <c r="U786" s="23"/>
      <c r="V786" s="311"/>
      <c r="W786" s="311"/>
      <c r="X786" s="311"/>
      <c r="Y786" s="94"/>
      <c r="Z786" s="23"/>
      <c r="AA786" s="23"/>
      <c r="AB786" s="23"/>
      <c r="AC786" s="23"/>
      <c r="AD786" s="158"/>
      <c r="AE786" s="158"/>
      <c r="AF786" s="158"/>
      <c r="AG786" s="158"/>
      <c r="AH786" s="158"/>
      <c r="AI786" s="158"/>
      <c r="AJ786" s="158"/>
      <c r="AK786" s="158"/>
      <c r="AL786" s="158"/>
      <c r="AM786" s="158"/>
      <c r="AN786" s="158"/>
      <c r="AO786" s="23"/>
      <c r="AP786" s="23"/>
      <c r="AQ786" s="23"/>
      <c r="AR786" s="23"/>
      <c r="AS786" s="2"/>
      <c r="AT786" s="58"/>
      <c r="AU786" s="112"/>
      <c r="AV786" s="23">
        <v>1</v>
      </c>
      <c r="AW786" s="23"/>
      <c r="AX786" s="23"/>
      <c r="AY786" s="23"/>
      <c r="AZ786" s="23"/>
      <c r="BA786" s="23"/>
      <c r="BB786" s="223"/>
      <c r="BC786" s="223"/>
      <c r="BD786" s="270">
        <v>2016</v>
      </c>
      <c r="BE786" s="270"/>
      <c r="BF786" s="448"/>
    </row>
    <row r="787" spans="1:58" ht="15" hidden="1" customHeight="1">
      <c r="A787" s="160" t="s">
        <v>1</v>
      </c>
      <c r="B787" s="58" t="s">
        <v>320</v>
      </c>
      <c r="C787" s="63" t="s">
        <v>355</v>
      </c>
      <c r="D787" s="33" t="s">
        <v>319</v>
      </c>
      <c r="E787" s="33"/>
      <c r="F787" s="33"/>
      <c r="G787" s="33"/>
      <c r="H787" s="30"/>
      <c r="I787" s="30"/>
      <c r="J787" s="212"/>
      <c r="K787" s="23"/>
      <c r="L787" s="23"/>
      <c r="M787" s="23"/>
      <c r="N787" s="23"/>
      <c r="O787" s="23"/>
      <c r="P787" s="23"/>
      <c r="Q787" s="23"/>
      <c r="R787" s="23"/>
      <c r="S787" s="23"/>
      <c r="T787" s="586"/>
      <c r="U787" s="23"/>
      <c r="V787" s="311"/>
      <c r="W787" s="311"/>
      <c r="X787" s="311"/>
      <c r="Y787" s="94"/>
      <c r="Z787" s="23"/>
      <c r="AA787" s="23"/>
      <c r="AB787" s="23"/>
      <c r="AC787" s="23"/>
      <c r="AD787" s="158"/>
      <c r="AE787" s="158"/>
      <c r="AF787" s="158"/>
      <c r="AG787" s="158"/>
      <c r="AH787" s="158"/>
      <c r="AI787" s="158"/>
      <c r="AJ787" s="158"/>
      <c r="AK787" s="158"/>
      <c r="AL787" s="158"/>
      <c r="AM787" s="158"/>
      <c r="AN787" s="158"/>
      <c r="AO787" s="23"/>
      <c r="AP787" s="23"/>
      <c r="AQ787" s="23"/>
      <c r="AR787" s="23"/>
      <c r="AS787" s="2"/>
      <c r="AT787" s="58"/>
      <c r="AU787" s="112"/>
      <c r="AV787" s="23">
        <v>1</v>
      </c>
      <c r="AW787" s="23"/>
      <c r="AX787" s="23"/>
      <c r="AY787" s="23"/>
      <c r="AZ787" s="23"/>
      <c r="BA787" s="23"/>
      <c r="BB787" s="223"/>
      <c r="BC787" s="223"/>
      <c r="BD787" s="270">
        <v>2016</v>
      </c>
      <c r="BE787" s="270"/>
      <c r="BF787" s="448"/>
    </row>
    <row r="788" spans="1:58" ht="15" hidden="1" customHeight="1">
      <c r="A788" s="160" t="s">
        <v>1</v>
      </c>
      <c r="B788" s="58" t="s">
        <v>320</v>
      </c>
      <c r="C788" s="63" t="s">
        <v>356</v>
      </c>
      <c r="D788" s="33" t="s">
        <v>319</v>
      </c>
      <c r="E788" s="33"/>
      <c r="F788" s="33"/>
      <c r="G788" s="33"/>
      <c r="H788" s="30"/>
      <c r="I788" s="30"/>
      <c r="J788" s="212"/>
      <c r="K788" s="23"/>
      <c r="L788" s="23"/>
      <c r="M788" s="23"/>
      <c r="N788" s="23"/>
      <c r="O788" s="23"/>
      <c r="P788" s="23"/>
      <c r="Q788" s="23"/>
      <c r="R788" s="23"/>
      <c r="S788" s="23"/>
      <c r="T788" s="586"/>
      <c r="U788" s="23"/>
      <c r="V788" s="311"/>
      <c r="W788" s="311"/>
      <c r="X788" s="311"/>
      <c r="Y788" s="94"/>
      <c r="Z788" s="23"/>
      <c r="AA788" s="23"/>
      <c r="AB788" s="23"/>
      <c r="AC788" s="23"/>
      <c r="AD788" s="158"/>
      <c r="AE788" s="158"/>
      <c r="AF788" s="158"/>
      <c r="AG788" s="158"/>
      <c r="AH788" s="158"/>
      <c r="AI788" s="158"/>
      <c r="AJ788" s="158"/>
      <c r="AK788" s="158"/>
      <c r="AL788" s="158"/>
      <c r="AM788" s="158"/>
      <c r="AN788" s="158"/>
      <c r="AO788" s="23"/>
      <c r="AP788" s="23"/>
      <c r="AQ788" s="23"/>
      <c r="AR788" s="23"/>
      <c r="AS788" s="2"/>
      <c r="AT788" s="58"/>
      <c r="AU788" s="112"/>
      <c r="AV788" s="23">
        <v>1</v>
      </c>
      <c r="AW788" s="23"/>
      <c r="AX788" s="23"/>
      <c r="AY788" s="23"/>
      <c r="AZ788" s="23"/>
      <c r="BA788" s="23"/>
      <c r="BB788" s="223"/>
      <c r="BC788" s="223"/>
      <c r="BD788" s="270">
        <v>2016</v>
      </c>
      <c r="BE788" s="270"/>
      <c r="BF788" s="448"/>
    </row>
    <row r="789" spans="1:58" ht="15" hidden="1" customHeight="1">
      <c r="A789" s="160" t="s">
        <v>1</v>
      </c>
      <c r="B789" s="58" t="s">
        <v>320</v>
      </c>
      <c r="C789" s="63" t="s">
        <v>357</v>
      </c>
      <c r="D789" s="33" t="s">
        <v>319</v>
      </c>
      <c r="E789" s="33"/>
      <c r="F789" s="33"/>
      <c r="G789" s="33"/>
      <c r="H789" s="30"/>
      <c r="I789" s="30"/>
      <c r="J789" s="212"/>
      <c r="K789" s="23"/>
      <c r="L789" s="23"/>
      <c r="M789" s="23"/>
      <c r="N789" s="23"/>
      <c r="O789" s="23"/>
      <c r="P789" s="23"/>
      <c r="Q789" s="23"/>
      <c r="R789" s="23"/>
      <c r="S789" s="23"/>
      <c r="T789" s="586"/>
      <c r="U789" s="23"/>
      <c r="V789" s="311"/>
      <c r="W789" s="311"/>
      <c r="X789" s="311"/>
      <c r="Y789" s="94"/>
      <c r="Z789" s="23"/>
      <c r="AA789" s="23"/>
      <c r="AB789" s="23"/>
      <c r="AC789" s="23"/>
      <c r="AD789" s="158"/>
      <c r="AE789" s="158"/>
      <c r="AF789" s="158"/>
      <c r="AG789" s="158"/>
      <c r="AH789" s="158"/>
      <c r="AI789" s="158"/>
      <c r="AJ789" s="158"/>
      <c r="AK789" s="158"/>
      <c r="AL789" s="158"/>
      <c r="AM789" s="158"/>
      <c r="AN789" s="158"/>
      <c r="AO789" s="23"/>
      <c r="AP789" s="23"/>
      <c r="AQ789" s="23"/>
      <c r="AR789" s="23"/>
      <c r="AS789" s="2"/>
      <c r="AT789" s="58"/>
      <c r="AU789" s="112"/>
      <c r="AV789" s="23">
        <v>1</v>
      </c>
      <c r="AW789" s="23"/>
      <c r="AX789" s="23"/>
      <c r="AY789" s="23"/>
      <c r="AZ789" s="23"/>
      <c r="BA789" s="23"/>
      <c r="BB789" s="223"/>
      <c r="BC789" s="223"/>
      <c r="BD789" s="270">
        <v>2016</v>
      </c>
      <c r="BE789" s="270"/>
      <c r="BF789" s="448"/>
    </row>
    <row r="790" spans="1:58" ht="15" hidden="1" customHeight="1">
      <c r="A790" s="160" t="s">
        <v>1</v>
      </c>
      <c r="B790" s="58" t="s">
        <v>320</v>
      </c>
      <c r="C790" s="63" t="s">
        <v>358</v>
      </c>
      <c r="D790" s="33" t="s">
        <v>319</v>
      </c>
      <c r="E790" s="33"/>
      <c r="F790" s="33"/>
      <c r="G790" s="33"/>
      <c r="H790" s="30"/>
      <c r="I790" s="30"/>
      <c r="J790" s="212"/>
      <c r="K790" s="23"/>
      <c r="L790" s="23"/>
      <c r="M790" s="23"/>
      <c r="N790" s="23"/>
      <c r="O790" s="23"/>
      <c r="P790" s="23"/>
      <c r="Q790" s="23"/>
      <c r="R790" s="23"/>
      <c r="S790" s="23"/>
      <c r="T790" s="586"/>
      <c r="U790" s="23"/>
      <c r="V790" s="311"/>
      <c r="W790" s="311"/>
      <c r="X790" s="311"/>
      <c r="Y790" s="94"/>
      <c r="Z790" s="23"/>
      <c r="AA790" s="23"/>
      <c r="AB790" s="23"/>
      <c r="AC790" s="23"/>
      <c r="AD790" s="158"/>
      <c r="AE790" s="158"/>
      <c r="AF790" s="158"/>
      <c r="AG790" s="158"/>
      <c r="AH790" s="158"/>
      <c r="AI790" s="158"/>
      <c r="AJ790" s="158"/>
      <c r="AK790" s="158"/>
      <c r="AL790" s="158"/>
      <c r="AM790" s="158"/>
      <c r="AN790" s="158"/>
      <c r="AO790" s="23"/>
      <c r="AP790" s="23"/>
      <c r="AQ790" s="23"/>
      <c r="AR790" s="23"/>
      <c r="AS790" s="2"/>
      <c r="AT790" s="58"/>
      <c r="AU790" s="112"/>
      <c r="AV790" s="23">
        <v>1</v>
      </c>
      <c r="AW790" s="23"/>
      <c r="AX790" s="23"/>
      <c r="AY790" s="23"/>
      <c r="AZ790" s="23"/>
      <c r="BA790" s="23"/>
      <c r="BB790" s="223"/>
      <c r="BC790" s="223"/>
      <c r="BD790" s="270">
        <v>2016</v>
      </c>
      <c r="BE790" s="270"/>
      <c r="BF790" s="448"/>
    </row>
    <row r="791" spans="1:58" ht="15" hidden="1" customHeight="1">
      <c r="A791" s="160" t="s">
        <v>1</v>
      </c>
      <c r="B791" s="58" t="s">
        <v>320</v>
      </c>
      <c r="C791" s="63" t="s">
        <v>359</v>
      </c>
      <c r="D791" s="33" t="s">
        <v>319</v>
      </c>
      <c r="E791" s="33"/>
      <c r="F791" s="33"/>
      <c r="G791" s="33"/>
      <c r="H791" s="30"/>
      <c r="I791" s="30"/>
      <c r="J791" s="212"/>
      <c r="K791" s="23"/>
      <c r="L791" s="23"/>
      <c r="M791" s="23"/>
      <c r="N791" s="23"/>
      <c r="O791" s="23"/>
      <c r="P791" s="23"/>
      <c r="Q791" s="23"/>
      <c r="R791" s="23"/>
      <c r="S791" s="23"/>
      <c r="T791" s="586"/>
      <c r="U791" s="23"/>
      <c r="V791" s="311"/>
      <c r="W791" s="311"/>
      <c r="X791" s="311"/>
      <c r="Y791" s="94"/>
      <c r="Z791" s="23"/>
      <c r="AA791" s="23"/>
      <c r="AB791" s="23"/>
      <c r="AC791" s="23"/>
      <c r="AD791" s="158"/>
      <c r="AE791" s="158"/>
      <c r="AF791" s="158"/>
      <c r="AG791" s="158"/>
      <c r="AH791" s="158"/>
      <c r="AI791" s="158"/>
      <c r="AJ791" s="158"/>
      <c r="AK791" s="158"/>
      <c r="AL791" s="158"/>
      <c r="AM791" s="158"/>
      <c r="AN791" s="158"/>
      <c r="AO791" s="23"/>
      <c r="AP791" s="23"/>
      <c r="AQ791" s="23"/>
      <c r="AR791" s="23"/>
      <c r="AS791" s="2"/>
      <c r="AT791" s="58"/>
      <c r="AU791" s="112"/>
      <c r="AV791" s="23">
        <v>1</v>
      </c>
      <c r="AW791" s="23"/>
      <c r="AX791" s="23"/>
      <c r="AY791" s="23"/>
      <c r="AZ791" s="23"/>
      <c r="BA791" s="23"/>
      <c r="BB791" s="223"/>
      <c r="BC791" s="223"/>
      <c r="BD791" s="270">
        <v>2016</v>
      </c>
      <c r="BE791" s="270"/>
      <c r="BF791" s="448"/>
    </row>
    <row r="792" spans="1:58" ht="15" hidden="1" customHeight="1">
      <c r="A792" s="160" t="s">
        <v>1</v>
      </c>
      <c r="B792" s="58" t="s">
        <v>320</v>
      </c>
      <c r="C792" s="63" t="s">
        <v>360</v>
      </c>
      <c r="D792" s="33" t="s">
        <v>319</v>
      </c>
      <c r="E792" s="33"/>
      <c r="F792" s="33"/>
      <c r="G792" s="33"/>
      <c r="H792" s="30"/>
      <c r="I792" s="30"/>
      <c r="J792" s="212"/>
      <c r="K792" s="23"/>
      <c r="L792" s="23"/>
      <c r="M792" s="23"/>
      <c r="N792" s="23"/>
      <c r="O792" s="23"/>
      <c r="P792" s="23"/>
      <c r="Q792" s="23"/>
      <c r="R792" s="23"/>
      <c r="S792" s="23"/>
      <c r="T792" s="586"/>
      <c r="U792" s="23"/>
      <c r="V792" s="311"/>
      <c r="W792" s="311"/>
      <c r="X792" s="311"/>
      <c r="Y792" s="94"/>
      <c r="Z792" s="23"/>
      <c r="AA792" s="23"/>
      <c r="AB792" s="23"/>
      <c r="AC792" s="23"/>
      <c r="AD792" s="158"/>
      <c r="AE792" s="158"/>
      <c r="AF792" s="158"/>
      <c r="AG792" s="158"/>
      <c r="AH792" s="158"/>
      <c r="AI792" s="158"/>
      <c r="AJ792" s="158"/>
      <c r="AK792" s="158"/>
      <c r="AL792" s="158"/>
      <c r="AM792" s="158"/>
      <c r="AN792" s="158"/>
      <c r="AO792" s="23"/>
      <c r="AP792" s="23"/>
      <c r="AQ792" s="23"/>
      <c r="AR792" s="23"/>
      <c r="AS792" s="2"/>
      <c r="AT792" s="58"/>
      <c r="AU792" s="112"/>
      <c r="AV792" s="23">
        <v>1</v>
      </c>
      <c r="AW792" s="23"/>
      <c r="AX792" s="23"/>
      <c r="AY792" s="23"/>
      <c r="AZ792" s="23"/>
      <c r="BA792" s="23"/>
      <c r="BB792" s="223"/>
      <c r="BC792" s="223"/>
      <c r="BD792" s="270">
        <v>2016</v>
      </c>
      <c r="BE792" s="270"/>
      <c r="BF792" s="448"/>
    </row>
    <row r="793" spans="1:58" ht="15" hidden="1" customHeight="1">
      <c r="A793" s="160" t="s">
        <v>1</v>
      </c>
      <c r="B793" s="58" t="s">
        <v>320</v>
      </c>
      <c r="C793" s="63" t="s">
        <v>361</v>
      </c>
      <c r="D793" s="33" t="s">
        <v>319</v>
      </c>
      <c r="E793" s="33"/>
      <c r="F793" s="33"/>
      <c r="G793" s="33"/>
      <c r="H793" s="30"/>
      <c r="I793" s="30"/>
      <c r="J793" s="212"/>
      <c r="K793" s="23"/>
      <c r="L793" s="23"/>
      <c r="M793" s="23"/>
      <c r="N793" s="23"/>
      <c r="O793" s="23"/>
      <c r="P793" s="23"/>
      <c r="Q793" s="23"/>
      <c r="R793" s="23"/>
      <c r="S793" s="23"/>
      <c r="T793" s="586"/>
      <c r="U793" s="23"/>
      <c r="V793" s="311"/>
      <c r="W793" s="311"/>
      <c r="X793" s="311"/>
      <c r="Y793" s="94"/>
      <c r="Z793" s="23"/>
      <c r="AA793" s="23"/>
      <c r="AB793" s="23"/>
      <c r="AC793" s="23"/>
      <c r="AD793" s="158"/>
      <c r="AE793" s="158"/>
      <c r="AF793" s="158"/>
      <c r="AG793" s="158"/>
      <c r="AH793" s="158"/>
      <c r="AI793" s="158"/>
      <c r="AJ793" s="158"/>
      <c r="AK793" s="158"/>
      <c r="AL793" s="158"/>
      <c r="AM793" s="158"/>
      <c r="AN793" s="158"/>
      <c r="AO793" s="23"/>
      <c r="AP793" s="23"/>
      <c r="AQ793" s="23"/>
      <c r="AR793" s="23"/>
      <c r="AS793" s="2"/>
      <c r="AT793" s="58"/>
      <c r="AU793" s="112"/>
      <c r="AV793" s="23">
        <v>1</v>
      </c>
      <c r="AW793" s="23"/>
      <c r="AX793" s="23"/>
      <c r="AY793" s="23"/>
      <c r="AZ793" s="23"/>
      <c r="BA793" s="23"/>
      <c r="BB793" s="223"/>
      <c r="BC793" s="223"/>
      <c r="BD793" s="270">
        <v>2016</v>
      </c>
      <c r="BE793" s="270"/>
      <c r="BF793" s="448"/>
    </row>
    <row r="794" spans="1:58" ht="15" hidden="1" customHeight="1">
      <c r="A794" s="160" t="s">
        <v>1</v>
      </c>
      <c r="B794" s="58" t="s">
        <v>320</v>
      </c>
      <c r="C794" s="63" t="s">
        <v>362</v>
      </c>
      <c r="D794" s="33" t="s">
        <v>319</v>
      </c>
      <c r="E794" s="33"/>
      <c r="F794" s="33"/>
      <c r="G794" s="33"/>
      <c r="H794" s="30"/>
      <c r="I794" s="30"/>
      <c r="J794" s="212"/>
      <c r="K794" s="23"/>
      <c r="L794" s="23"/>
      <c r="M794" s="23"/>
      <c r="N794" s="23"/>
      <c r="O794" s="23"/>
      <c r="P794" s="23"/>
      <c r="Q794" s="23"/>
      <c r="R794" s="23"/>
      <c r="S794" s="23"/>
      <c r="T794" s="586"/>
      <c r="U794" s="23"/>
      <c r="V794" s="311"/>
      <c r="W794" s="311"/>
      <c r="X794" s="311"/>
      <c r="Y794" s="94"/>
      <c r="Z794" s="23"/>
      <c r="AA794" s="23"/>
      <c r="AB794" s="23"/>
      <c r="AC794" s="23"/>
      <c r="AD794" s="158"/>
      <c r="AE794" s="158"/>
      <c r="AF794" s="158"/>
      <c r="AG794" s="158"/>
      <c r="AH794" s="158"/>
      <c r="AI794" s="158"/>
      <c r="AJ794" s="158"/>
      <c r="AK794" s="158"/>
      <c r="AL794" s="158"/>
      <c r="AM794" s="158"/>
      <c r="AN794" s="158"/>
      <c r="AO794" s="23"/>
      <c r="AP794" s="23"/>
      <c r="AQ794" s="23"/>
      <c r="AR794" s="23"/>
      <c r="AS794" s="2"/>
      <c r="AT794" s="58"/>
      <c r="AU794" s="112"/>
      <c r="AV794" s="23">
        <v>1</v>
      </c>
      <c r="AW794" s="23"/>
      <c r="AX794" s="23"/>
      <c r="AY794" s="23"/>
      <c r="AZ794" s="23"/>
      <c r="BA794" s="23"/>
      <c r="BB794" s="223"/>
      <c r="BC794" s="223"/>
      <c r="BD794" s="270">
        <v>2016</v>
      </c>
      <c r="BE794" s="270"/>
      <c r="BF794" s="448"/>
    </row>
    <row r="795" spans="1:58" ht="15" hidden="1" customHeight="1">
      <c r="A795" s="160" t="s">
        <v>1</v>
      </c>
      <c r="B795" s="58" t="s">
        <v>320</v>
      </c>
      <c r="C795" s="63" t="s">
        <v>363</v>
      </c>
      <c r="D795" s="33" t="s">
        <v>319</v>
      </c>
      <c r="E795" s="33"/>
      <c r="F795" s="33"/>
      <c r="G795" s="33"/>
      <c r="H795" s="30"/>
      <c r="I795" s="30"/>
      <c r="J795" s="212"/>
      <c r="K795" s="23"/>
      <c r="L795" s="23"/>
      <c r="M795" s="23"/>
      <c r="N795" s="23"/>
      <c r="O795" s="23"/>
      <c r="P795" s="23"/>
      <c r="Q795" s="23"/>
      <c r="R795" s="23"/>
      <c r="S795" s="23"/>
      <c r="T795" s="586"/>
      <c r="U795" s="23"/>
      <c r="V795" s="311"/>
      <c r="W795" s="311"/>
      <c r="X795" s="311"/>
      <c r="Y795" s="94"/>
      <c r="Z795" s="23"/>
      <c r="AA795" s="23"/>
      <c r="AB795" s="23"/>
      <c r="AC795" s="23"/>
      <c r="AD795" s="158"/>
      <c r="AE795" s="158"/>
      <c r="AF795" s="158"/>
      <c r="AG795" s="158"/>
      <c r="AH795" s="158"/>
      <c r="AI795" s="158"/>
      <c r="AJ795" s="158"/>
      <c r="AK795" s="158"/>
      <c r="AL795" s="158"/>
      <c r="AM795" s="158"/>
      <c r="AN795" s="158"/>
      <c r="AO795" s="23"/>
      <c r="AP795" s="23"/>
      <c r="AQ795" s="23"/>
      <c r="AR795" s="23"/>
      <c r="AS795" s="2"/>
      <c r="AT795" s="58"/>
      <c r="AU795" s="112"/>
      <c r="AV795" s="23">
        <v>1</v>
      </c>
      <c r="AW795" s="23"/>
      <c r="AX795" s="23"/>
      <c r="AY795" s="23"/>
      <c r="AZ795" s="23"/>
      <c r="BA795" s="23"/>
      <c r="BB795" s="223"/>
      <c r="BC795" s="223"/>
      <c r="BD795" s="270">
        <v>2016</v>
      </c>
      <c r="BE795" s="270"/>
      <c r="BF795" s="448"/>
    </row>
    <row r="796" spans="1:58" ht="15" hidden="1" customHeight="1">
      <c r="A796" s="160" t="s">
        <v>1</v>
      </c>
      <c r="B796" s="58" t="s">
        <v>320</v>
      </c>
      <c r="C796" s="63" t="s">
        <v>364</v>
      </c>
      <c r="D796" s="33" t="s">
        <v>319</v>
      </c>
      <c r="E796" s="33"/>
      <c r="F796" s="33"/>
      <c r="G796" s="33"/>
      <c r="H796" s="30"/>
      <c r="I796" s="30"/>
      <c r="J796" s="212"/>
      <c r="K796" s="23"/>
      <c r="L796" s="23"/>
      <c r="M796" s="23"/>
      <c r="N796" s="23"/>
      <c r="O796" s="23"/>
      <c r="P796" s="23"/>
      <c r="Q796" s="23"/>
      <c r="R796" s="23"/>
      <c r="S796" s="23"/>
      <c r="T796" s="586"/>
      <c r="U796" s="23"/>
      <c r="V796" s="311"/>
      <c r="W796" s="311"/>
      <c r="X796" s="311"/>
      <c r="Y796" s="94"/>
      <c r="Z796" s="23"/>
      <c r="AA796" s="23"/>
      <c r="AB796" s="23"/>
      <c r="AC796" s="23"/>
      <c r="AD796" s="158"/>
      <c r="AE796" s="158"/>
      <c r="AF796" s="158"/>
      <c r="AG796" s="158"/>
      <c r="AH796" s="158"/>
      <c r="AI796" s="158"/>
      <c r="AJ796" s="158"/>
      <c r="AK796" s="158"/>
      <c r="AL796" s="158"/>
      <c r="AM796" s="158"/>
      <c r="AN796" s="158"/>
      <c r="AO796" s="23"/>
      <c r="AP796" s="23"/>
      <c r="AQ796" s="23"/>
      <c r="AR796" s="23"/>
      <c r="AS796" s="2"/>
      <c r="AT796" s="58"/>
      <c r="AU796" s="112"/>
      <c r="AV796" s="23">
        <v>1</v>
      </c>
      <c r="AW796" s="23"/>
      <c r="AX796" s="23"/>
      <c r="AY796" s="23"/>
      <c r="AZ796" s="23"/>
      <c r="BA796" s="23"/>
      <c r="BB796" s="223"/>
      <c r="BC796" s="223"/>
      <c r="BD796" s="270">
        <v>2016</v>
      </c>
      <c r="BE796" s="270"/>
      <c r="BF796" s="448"/>
    </row>
    <row r="797" spans="1:58" ht="15" hidden="1" customHeight="1">
      <c r="A797" s="160" t="s">
        <v>1</v>
      </c>
      <c r="B797" s="58" t="s">
        <v>320</v>
      </c>
      <c r="C797" s="63" t="s">
        <v>365</v>
      </c>
      <c r="D797" s="33" t="s">
        <v>319</v>
      </c>
      <c r="E797" s="33"/>
      <c r="F797" s="33"/>
      <c r="G797" s="33"/>
      <c r="H797" s="30"/>
      <c r="I797" s="30"/>
      <c r="J797" s="212"/>
      <c r="K797" s="23"/>
      <c r="L797" s="23"/>
      <c r="M797" s="23"/>
      <c r="N797" s="23"/>
      <c r="O797" s="23"/>
      <c r="P797" s="23"/>
      <c r="Q797" s="23"/>
      <c r="R797" s="23"/>
      <c r="S797" s="23"/>
      <c r="T797" s="586"/>
      <c r="U797" s="23"/>
      <c r="V797" s="311"/>
      <c r="W797" s="311"/>
      <c r="X797" s="311"/>
      <c r="Y797" s="94"/>
      <c r="Z797" s="23"/>
      <c r="AA797" s="23"/>
      <c r="AB797" s="23"/>
      <c r="AC797" s="23"/>
      <c r="AD797" s="158"/>
      <c r="AE797" s="158"/>
      <c r="AF797" s="158"/>
      <c r="AG797" s="158"/>
      <c r="AH797" s="158"/>
      <c r="AI797" s="158"/>
      <c r="AJ797" s="158"/>
      <c r="AK797" s="158"/>
      <c r="AL797" s="158"/>
      <c r="AM797" s="158"/>
      <c r="AN797" s="158"/>
      <c r="AO797" s="23"/>
      <c r="AP797" s="23"/>
      <c r="AQ797" s="23"/>
      <c r="AR797" s="23"/>
      <c r="AS797" s="2"/>
      <c r="AT797" s="58"/>
      <c r="AU797" s="112"/>
      <c r="AV797" s="23">
        <v>1</v>
      </c>
      <c r="AW797" s="23"/>
      <c r="AX797" s="23"/>
      <c r="AY797" s="23"/>
      <c r="AZ797" s="23"/>
      <c r="BA797" s="23"/>
      <c r="BB797" s="223"/>
      <c r="BC797" s="223"/>
      <c r="BD797" s="270">
        <v>2016</v>
      </c>
      <c r="BE797" s="270"/>
      <c r="BF797" s="448"/>
    </row>
    <row r="798" spans="1:58" ht="15" hidden="1" customHeight="1">
      <c r="A798" s="160" t="s">
        <v>1</v>
      </c>
      <c r="B798" s="58" t="s">
        <v>320</v>
      </c>
      <c r="C798" s="63" t="s">
        <v>366</v>
      </c>
      <c r="D798" s="33" t="s">
        <v>319</v>
      </c>
      <c r="E798" s="33"/>
      <c r="F798" s="33"/>
      <c r="G798" s="33"/>
      <c r="H798" s="30"/>
      <c r="I798" s="30"/>
      <c r="J798" s="212"/>
      <c r="K798" s="23"/>
      <c r="L798" s="23"/>
      <c r="M798" s="23"/>
      <c r="N798" s="23"/>
      <c r="O798" s="23"/>
      <c r="P798" s="23"/>
      <c r="Q798" s="23"/>
      <c r="R798" s="23"/>
      <c r="S798" s="23"/>
      <c r="T798" s="586"/>
      <c r="U798" s="23"/>
      <c r="V798" s="311"/>
      <c r="W798" s="311"/>
      <c r="X798" s="311"/>
      <c r="Y798" s="94"/>
      <c r="Z798" s="23"/>
      <c r="AA798" s="23"/>
      <c r="AB798" s="23"/>
      <c r="AC798" s="23"/>
      <c r="AD798" s="158"/>
      <c r="AE798" s="158"/>
      <c r="AF798" s="158"/>
      <c r="AG798" s="158"/>
      <c r="AH798" s="158"/>
      <c r="AI798" s="158"/>
      <c r="AJ798" s="158"/>
      <c r="AK798" s="158"/>
      <c r="AL798" s="158"/>
      <c r="AM798" s="158"/>
      <c r="AN798" s="158"/>
      <c r="AO798" s="23"/>
      <c r="AP798" s="23"/>
      <c r="AQ798" s="23"/>
      <c r="AR798" s="23"/>
      <c r="AS798" s="2"/>
      <c r="AT798" s="58"/>
      <c r="AU798" s="112"/>
      <c r="AV798" s="23">
        <v>1</v>
      </c>
      <c r="AW798" s="23"/>
      <c r="AX798" s="23"/>
      <c r="AY798" s="23"/>
      <c r="AZ798" s="23"/>
      <c r="BA798" s="23"/>
      <c r="BB798" s="223"/>
      <c r="BC798" s="223"/>
      <c r="BD798" s="270">
        <v>2016</v>
      </c>
      <c r="BE798" s="270"/>
      <c r="BF798" s="448"/>
    </row>
    <row r="799" spans="1:58" ht="15" hidden="1" customHeight="1">
      <c r="A799" s="160" t="s">
        <v>1</v>
      </c>
      <c r="B799" s="58" t="s">
        <v>320</v>
      </c>
      <c r="C799" s="63" t="s">
        <v>367</v>
      </c>
      <c r="D799" s="33" t="s">
        <v>319</v>
      </c>
      <c r="E799" s="33"/>
      <c r="F799" s="33"/>
      <c r="G799" s="33"/>
      <c r="H799" s="30"/>
      <c r="I799" s="30"/>
      <c r="J799" s="212"/>
      <c r="K799" s="23"/>
      <c r="L799" s="23"/>
      <c r="M799" s="23"/>
      <c r="N799" s="23"/>
      <c r="O799" s="23"/>
      <c r="P799" s="23"/>
      <c r="Q799" s="23"/>
      <c r="R799" s="23"/>
      <c r="S799" s="23"/>
      <c r="T799" s="586"/>
      <c r="U799" s="23"/>
      <c r="V799" s="311"/>
      <c r="W799" s="311"/>
      <c r="X799" s="311"/>
      <c r="Y799" s="94"/>
      <c r="Z799" s="23"/>
      <c r="AA799" s="23"/>
      <c r="AB799" s="23"/>
      <c r="AC799" s="23"/>
      <c r="AD799" s="158"/>
      <c r="AE799" s="158"/>
      <c r="AF799" s="158"/>
      <c r="AG799" s="158"/>
      <c r="AH799" s="158"/>
      <c r="AI799" s="158"/>
      <c r="AJ799" s="158"/>
      <c r="AK799" s="158"/>
      <c r="AL799" s="158"/>
      <c r="AM799" s="158"/>
      <c r="AN799" s="158"/>
      <c r="AO799" s="23"/>
      <c r="AP799" s="23"/>
      <c r="AQ799" s="23"/>
      <c r="AR799" s="23"/>
      <c r="AS799" s="2"/>
      <c r="AT799" s="58"/>
      <c r="AU799" s="112"/>
      <c r="AV799" s="23">
        <v>1</v>
      </c>
      <c r="AW799" s="23"/>
      <c r="AX799" s="23"/>
      <c r="AY799" s="23"/>
      <c r="AZ799" s="23"/>
      <c r="BA799" s="23"/>
      <c r="BB799" s="223"/>
      <c r="BC799" s="223"/>
      <c r="BD799" s="270">
        <v>2016</v>
      </c>
      <c r="BE799" s="270"/>
      <c r="BF799" s="448"/>
    </row>
    <row r="800" spans="1:58" ht="15" hidden="1" customHeight="1">
      <c r="A800" s="160" t="s">
        <v>1</v>
      </c>
      <c r="B800" s="58" t="s">
        <v>320</v>
      </c>
      <c r="C800" s="63" t="s">
        <v>368</v>
      </c>
      <c r="D800" s="33" t="s">
        <v>319</v>
      </c>
      <c r="E800" s="33"/>
      <c r="F800" s="33"/>
      <c r="G800" s="33"/>
      <c r="H800" s="30"/>
      <c r="I800" s="30"/>
      <c r="J800" s="212"/>
      <c r="K800" s="23"/>
      <c r="L800" s="23"/>
      <c r="M800" s="23"/>
      <c r="N800" s="23"/>
      <c r="O800" s="23"/>
      <c r="P800" s="23"/>
      <c r="Q800" s="23"/>
      <c r="R800" s="23"/>
      <c r="S800" s="23"/>
      <c r="T800" s="586"/>
      <c r="U800" s="23"/>
      <c r="V800" s="311"/>
      <c r="W800" s="311"/>
      <c r="X800" s="311"/>
      <c r="Y800" s="94"/>
      <c r="Z800" s="23"/>
      <c r="AA800" s="23"/>
      <c r="AB800" s="23"/>
      <c r="AC800" s="23"/>
      <c r="AD800" s="158"/>
      <c r="AE800" s="158"/>
      <c r="AF800" s="158"/>
      <c r="AG800" s="158"/>
      <c r="AH800" s="158"/>
      <c r="AI800" s="158"/>
      <c r="AJ800" s="158"/>
      <c r="AK800" s="158"/>
      <c r="AL800" s="158"/>
      <c r="AM800" s="158"/>
      <c r="AN800" s="158"/>
      <c r="AO800" s="23"/>
      <c r="AP800" s="23"/>
      <c r="AQ800" s="23"/>
      <c r="AR800" s="23"/>
      <c r="AS800" s="2"/>
      <c r="AT800" s="58"/>
      <c r="AU800" s="112"/>
      <c r="AV800" s="23">
        <v>1</v>
      </c>
      <c r="AW800" s="23"/>
      <c r="AX800" s="23"/>
      <c r="AY800" s="23"/>
      <c r="AZ800" s="23"/>
      <c r="BA800" s="23"/>
      <c r="BB800" s="223"/>
      <c r="BC800" s="223"/>
      <c r="BD800" s="270">
        <v>2016</v>
      </c>
      <c r="BE800" s="270"/>
      <c r="BF800" s="448"/>
    </row>
    <row r="801" spans="1:58" ht="15" hidden="1" customHeight="1">
      <c r="A801" s="160" t="s">
        <v>1</v>
      </c>
      <c r="B801" s="58" t="s">
        <v>320</v>
      </c>
      <c r="C801" s="63" t="s">
        <v>369</v>
      </c>
      <c r="D801" s="33" t="s">
        <v>319</v>
      </c>
      <c r="E801" s="33"/>
      <c r="F801" s="33"/>
      <c r="G801" s="33"/>
      <c r="H801" s="30"/>
      <c r="I801" s="30"/>
      <c r="J801" s="212"/>
      <c r="K801" s="23"/>
      <c r="L801" s="23"/>
      <c r="M801" s="23"/>
      <c r="N801" s="23"/>
      <c r="O801" s="23"/>
      <c r="P801" s="23"/>
      <c r="Q801" s="23"/>
      <c r="R801" s="23"/>
      <c r="S801" s="23"/>
      <c r="T801" s="586"/>
      <c r="U801" s="23"/>
      <c r="V801" s="311"/>
      <c r="W801" s="311"/>
      <c r="X801" s="311"/>
      <c r="Y801" s="94"/>
      <c r="Z801" s="23"/>
      <c r="AA801" s="23"/>
      <c r="AB801" s="23"/>
      <c r="AC801" s="23"/>
      <c r="AD801" s="158"/>
      <c r="AE801" s="158"/>
      <c r="AF801" s="158"/>
      <c r="AG801" s="158"/>
      <c r="AH801" s="158"/>
      <c r="AI801" s="158"/>
      <c r="AJ801" s="158"/>
      <c r="AK801" s="158"/>
      <c r="AL801" s="158"/>
      <c r="AM801" s="158"/>
      <c r="AN801" s="158"/>
      <c r="AO801" s="23"/>
      <c r="AP801" s="23"/>
      <c r="AQ801" s="23"/>
      <c r="AR801" s="23"/>
      <c r="AS801" s="2"/>
      <c r="AT801" s="58"/>
      <c r="AU801" s="112"/>
      <c r="AV801" s="23">
        <v>1</v>
      </c>
      <c r="AW801" s="23"/>
      <c r="AX801" s="23"/>
      <c r="AY801" s="23"/>
      <c r="AZ801" s="23"/>
      <c r="BA801" s="23"/>
      <c r="BB801" s="223"/>
      <c r="BC801" s="223"/>
      <c r="BD801" s="270">
        <v>2016</v>
      </c>
      <c r="BE801" s="270"/>
      <c r="BF801" s="448"/>
    </row>
    <row r="802" spans="1:58" ht="15" hidden="1" customHeight="1">
      <c r="A802" s="160" t="s">
        <v>1</v>
      </c>
      <c r="B802" s="58" t="s">
        <v>320</v>
      </c>
      <c r="C802" s="63" t="s">
        <v>370</v>
      </c>
      <c r="D802" s="33" t="s">
        <v>319</v>
      </c>
      <c r="E802" s="33"/>
      <c r="F802" s="33"/>
      <c r="G802" s="33"/>
      <c r="H802" s="30"/>
      <c r="I802" s="30"/>
      <c r="J802" s="212"/>
      <c r="K802" s="23"/>
      <c r="L802" s="23"/>
      <c r="M802" s="23"/>
      <c r="N802" s="23"/>
      <c r="O802" s="23"/>
      <c r="P802" s="23"/>
      <c r="Q802" s="23"/>
      <c r="R802" s="23"/>
      <c r="S802" s="23"/>
      <c r="T802" s="586"/>
      <c r="U802" s="23"/>
      <c r="V802" s="311"/>
      <c r="W802" s="311"/>
      <c r="X802" s="311"/>
      <c r="Y802" s="94"/>
      <c r="Z802" s="23"/>
      <c r="AA802" s="23"/>
      <c r="AB802" s="23"/>
      <c r="AC802" s="23"/>
      <c r="AD802" s="158"/>
      <c r="AE802" s="158"/>
      <c r="AF802" s="158"/>
      <c r="AG802" s="158"/>
      <c r="AH802" s="158"/>
      <c r="AI802" s="158"/>
      <c r="AJ802" s="158"/>
      <c r="AK802" s="158"/>
      <c r="AL802" s="158"/>
      <c r="AM802" s="158"/>
      <c r="AN802" s="158"/>
      <c r="AO802" s="23"/>
      <c r="AP802" s="23"/>
      <c r="AQ802" s="23"/>
      <c r="AR802" s="23"/>
      <c r="AS802" s="2"/>
      <c r="AT802" s="58"/>
      <c r="AU802" s="112"/>
      <c r="AV802" s="23">
        <v>1</v>
      </c>
      <c r="AW802" s="23"/>
      <c r="AX802" s="23"/>
      <c r="AY802" s="23"/>
      <c r="AZ802" s="23"/>
      <c r="BA802" s="23"/>
      <c r="BB802" s="223"/>
      <c r="BC802" s="223"/>
      <c r="BD802" s="270">
        <v>2016</v>
      </c>
      <c r="BE802" s="270"/>
      <c r="BF802" s="448"/>
    </row>
    <row r="803" spans="1:58" ht="15" hidden="1" customHeight="1">
      <c r="A803" s="160" t="s">
        <v>1</v>
      </c>
      <c r="B803" s="58" t="s">
        <v>320</v>
      </c>
      <c r="C803" s="63" t="s">
        <v>371</v>
      </c>
      <c r="D803" s="33" t="s">
        <v>319</v>
      </c>
      <c r="E803" s="33"/>
      <c r="F803" s="33"/>
      <c r="G803" s="33"/>
      <c r="H803" s="30"/>
      <c r="I803" s="30"/>
      <c r="J803" s="212"/>
      <c r="K803" s="23"/>
      <c r="L803" s="23"/>
      <c r="M803" s="23"/>
      <c r="N803" s="23"/>
      <c r="O803" s="23"/>
      <c r="P803" s="23"/>
      <c r="Q803" s="23"/>
      <c r="R803" s="23"/>
      <c r="S803" s="23"/>
      <c r="T803" s="586"/>
      <c r="U803" s="23"/>
      <c r="V803" s="311"/>
      <c r="W803" s="311"/>
      <c r="X803" s="311"/>
      <c r="Y803" s="94"/>
      <c r="Z803" s="23"/>
      <c r="AA803" s="23"/>
      <c r="AB803" s="23"/>
      <c r="AC803" s="23"/>
      <c r="AD803" s="158"/>
      <c r="AE803" s="158"/>
      <c r="AF803" s="158"/>
      <c r="AG803" s="158"/>
      <c r="AH803" s="158"/>
      <c r="AI803" s="158"/>
      <c r="AJ803" s="158"/>
      <c r="AK803" s="158"/>
      <c r="AL803" s="158"/>
      <c r="AM803" s="158"/>
      <c r="AN803" s="158"/>
      <c r="AO803" s="23"/>
      <c r="AP803" s="23"/>
      <c r="AQ803" s="23"/>
      <c r="AR803" s="23"/>
      <c r="AS803" s="2"/>
      <c r="AT803" s="58"/>
      <c r="AU803" s="112"/>
      <c r="AV803" s="23">
        <v>1</v>
      </c>
      <c r="AW803" s="23"/>
      <c r="AX803" s="23"/>
      <c r="AY803" s="23"/>
      <c r="AZ803" s="23"/>
      <c r="BA803" s="23"/>
      <c r="BB803" s="223"/>
      <c r="BC803" s="223"/>
      <c r="BD803" s="270">
        <v>2016</v>
      </c>
      <c r="BE803" s="270"/>
      <c r="BF803" s="448"/>
    </row>
    <row r="804" spans="1:58" ht="15" hidden="1" customHeight="1">
      <c r="A804" s="160" t="s">
        <v>1</v>
      </c>
      <c r="B804" s="58" t="s">
        <v>320</v>
      </c>
      <c r="C804" s="63" t="s">
        <v>372</v>
      </c>
      <c r="D804" s="33" t="s">
        <v>319</v>
      </c>
      <c r="E804" s="33"/>
      <c r="F804" s="33"/>
      <c r="G804" s="33"/>
      <c r="H804" s="30"/>
      <c r="I804" s="30"/>
      <c r="J804" s="212"/>
      <c r="K804" s="23"/>
      <c r="L804" s="23"/>
      <c r="M804" s="23"/>
      <c r="N804" s="23"/>
      <c r="O804" s="23"/>
      <c r="P804" s="23"/>
      <c r="Q804" s="23"/>
      <c r="R804" s="23"/>
      <c r="S804" s="23"/>
      <c r="T804" s="586"/>
      <c r="U804" s="23"/>
      <c r="V804" s="311"/>
      <c r="W804" s="311"/>
      <c r="X804" s="311"/>
      <c r="Y804" s="94"/>
      <c r="Z804" s="23"/>
      <c r="AA804" s="23"/>
      <c r="AB804" s="23"/>
      <c r="AC804" s="23"/>
      <c r="AD804" s="158"/>
      <c r="AE804" s="158"/>
      <c r="AF804" s="158"/>
      <c r="AG804" s="158"/>
      <c r="AH804" s="158"/>
      <c r="AI804" s="158"/>
      <c r="AJ804" s="158"/>
      <c r="AK804" s="158"/>
      <c r="AL804" s="158"/>
      <c r="AM804" s="158"/>
      <c r="AN804" s="158"/>
      <c r="AO804" s="23"/>
      <c r="AP804" s="23"/>
      <c r="AQ804" s="23"/>
      <c r="AR804" s="23"/>
      <c r="AS804" s="2"/>
      <c r="AT804" s="58"/>
      <c r="AU804" s="112"/>
      <c r="AV804" s="23">
        <v>1</v>
      </c>
      <c r="AW804" s="23"/>
      <c r="AX804" s="23"/>
      <c r="AY804" s="23"/>
      <c r="AZ804" s="23"/>
      <c r="BA804" s="23"/>
      <c r="BB804" s="223"/>
      <c r="BC804" s="223"/>
      <c r="BD804" s="270">
        <v>2016</v>
      </c>
      <c r="BE804" s="270"/>
      <c r="BF804" s="448"/>
    </row>
    <row r="805" spans="1:58" ht="15" hidden="1" customHeight="1">
      <c r="A805" s="160" t="s">
        <v>1</v>
      </c>
      <c r="B805" s="58" t="s">
        <v>320</v>
      </c>
      <c r="C805" s="63" t="s">
        <v>373</v>
      </c>
      <c r="D805" s="33" t="s">
        <v>319</v>
      </c>
      <c r="E805" s="33"/>
      <c r="F805" s="33"/>
      <c r="G805" s="33"/>
      <c r="H805" s="30"/>
      <c r="I805" s="30"/>
      <c r="J805" s="212"/>
      <c r="K805" s="23"/>
      <c r="L805" s="23"/>
      <c r="M805" s="23"/>
      <c r="N805" s="23"/>
      <c r="O805" s="23"/>
      <c r="P805" s="23"/>
      <c r="Q805" s="23"/>
      <c r="R805" s="23"/>
      <c r="S805" s="23"/>
      <c r="T805" s="586"/>
      <c r="U805" s="23"/>
      <c r="V805" s="311"/>
      <c r="W805" s="311"/>
      <c r="X805" s="311"/>
      <c r="Y805" s="94"/>
      <c r="Z805" s="23"/>
      <c r="AA805" s="23"/>
      <c r="AB805" s="23"/>
      <c r="AC805" s="23"/>
      <c r="AD805" s="158"/>
      <c r="AE805" s="158"/>
      <c r="AF805" s="158"/>
      <c r="AG805" s="158"/>
      <c r="AH805" s="158"/>
      <c r="AI805" s="158"/>
      <c r="AJ805" s="158"/>
      <c r="AK805" s="158"/>
      <c r="AL805" s="158"/>
      <c r="AM805" s="158"/>
      <c r="AN805" s="158"/>
      <c r="AO805" s="23"/>
      <c r="AP805" s="23"/>
      <c r="AQ805" s="23"/>
      <c r="AR805" s="23"/>
      <c r="AS805" s="2"/>
      <c r="AT805" s="58"/>
      <c r="AU805" s="112"/>
      <c r="AV805" s="23">
        <v>1</v>
      </c>
      <c r="AW805" s="23"/>
      <c r="AX805" s="23"/>
      <c r="AY805" s="23"/>
      <c r="AZ805" s="23"/>
      <c r="BA805" s="23"/>
      <c r="BB805" s="223"/>
      <c r="BC805" s="223"/>
      <c r="BD805" s="270">
        <v>2016</v>
      </c>
      <c r="BE805" s="270"/>
      <c r="BF805" s="448"/>
    </row>
    <row r="806" spans="1:58" ht="15" hidden="1" customHeight="1">
      <c r="A806" s="160" t="s">
        <v>1</v>
      </c>
      <c r="B806" s="58" t="s">
        <v>320</v>
      </c>
      <c r="C806" s="63" t="s">
        <v>374</v>
      </c>
      <c r="D806" s="33" t="s">
        <v>319</v>
      </c>
      <c r="E806" s="33"/>
      <c r="F806" s="33"/>
      <c r="G806" s="33"/>
      <c r="H806" s="30"/>
      <c r="I806" s="30"/>
      <c r="J806" s="212"/>
      <c r="K806" s="23"/>
      <c r="L806" s="23"/>
      <c r="M806" s="23"/>
      <c r="N806" s="23"/>
      <c r="O806" s="23"/>
      <c r="P806" s="23"/>
      <c r="Q806" s="23"/>
      <c r="R806" s="23"/>
      <c r="S806" s="23"/>
      <c r="T806" s="586"/>
      <c r="U806" s="23"/>
      <c r="V806" s="311"/>
      <c r="W806" s="311"/>
      <c r="X806" s="311"/>
      <c r="Y806" s="94"/>
      <c r="Z806" s="23"/>
      <c r="AA806" s="23"/>
      <c r="AB806" s="23"/>
      <c r="AC806" s="23"/>
      <c r="AD806" s="158"/>
      <c r="AE806" s="158"/>
      <c r="AF806" s="158"/>
      <c r="AG806" s="158"/>
      <c r="AH806" s="158"/>
      <c r="AI806" s="158"/>
      <c r="AJ806" s="158"/>
      <c r="AK806" s="158"/>
      <c r="AL806" s="158"/>
      <c r="AM806" s="158"/>
      <c r="AN806" s="158"/>
      <c r="AO806" s="23"/>
      <c r="AP806" s="23"/>
      <c r="AQ806" s="23"/>
      <c r="AR806" s="23"/>
      <c r="AS806" s="2"/>
      <c r="AT806" s="58"/>
      <c r="AU806" s="112"/>
      <c r="AV806" s="23">
        <v>1</v>
      </c>
      <c r="AW806" s="23"/>
      <c r="AX806" s="23"/>
      <c r="AY806" s="23"/>
      <c r="AZ806" s="23"/>
      <c r="BA806" s="23"/>
      <c r="BB806" s="223"/>
      <c r="BC806" s="223"/>
      <c r="BD806" s="270">
        <v>2016</v>
      </c>
      <c r="BE806" s="270"/>
      <c r="BF806" s="449"/>
    </row>
    <row r="807" spans="1:58" ht="15" hidden="1" customHeight="1">
      <c r="A807" s="160" t="s">
        <v>1</v>
      </c>
      <c r="B807" s="58" t="s">
        <v>320</v>
      </c>
      <c r="C807" s="63" t="s">
        <v>375</v>
      </c>
      <c r="D807" s="33" t="s">
        <v>319</v>
      </c>
      <c r="E807" s="33"/>
      <c r="F807" s="33"/>
      <c r="G807" s="33"/>
      <c r="H807" s="30"/>
      <c r="I807" s="30"/>
      <c r="J807" s="212"/>
      <c r="K807" s="23"/>
      <c r="L807" s="23"/>
      <c r="M807" s="23"/>
      <c r="N807" s="23"/>
      <c r="O807" s="23"/>
      <c r="P807" s="23"/>
      <c r="Q807" s="23"/>
      <c r="R807" s="23"/>
      <c r="S807" s="23"/>
      <c r="T807" s="586"/>
      <c r="U807" s="23"/>
      <c r="V807" s="311"/>
      <c r="W807" s="311"/>
      <c r="X807" s="311"/>
      <c r="Y807" s="94"/>
      <c r="Z807" s="23"/>
      <c r="AA807" s="23"/>
      <c r="AB807" s="23"/>
      <c r="AC807" s="23"/>
      <c r="AD807" s="158"/>
      <c r="AE807" s="158"/>
      <c r="AF807" s="158"/>
      <c r="AG807" s="158"/>
      <c r="AH807" s="158"/>
      <c r="AI807" s="158"/>
      <c r="AJ807" s="158"/>
      <c r="AK807" s="158"/>
      <c r="AL807" s="158"/>
      <c r="AM807" s="158"/>
      <c r="AN807" s="158"/>
      <c r="AO807" s="23"/>
      <c r="AP807" s="23"/>
      <c r="AQ807" s="23"/>
      <c r="AR807" s="23"/>
      <c r="AS807" s="2"/>
      <c r="AT807" s="58"/>
      <c r="AU807" s="112"/>
      <c r="AV807" s="23">
        <v>1</v>
      </c>
      <c r="AW807" s="23"/>
      <c r="AX807" s="23"/>
      <c r="AY807" s="23"/>
      <c r="AZ807" s="23"/>
      <c r="BA807" s="23"/>
      <c r="BB807" s="223"/>
      <c r="BC807" s="223"/>
      <c r="BD807" s="270">
        <v>2016</v>
      </c>
      <c r="BE807" s="270"/>
      <c r="BF807" s="449"/>
    </row>
    <row r="808" spans="1:58" ht="15" hidden="1" customHeight="1">
      <c r="A808" s="160" t="s">
        <v>1</v>
      </c>
      <c r="B808" s="58" t="s">
        <v>320</v>
      </c>
      <c r="C808" s="64" t="s">
        <v>376</v>
      </c>
      <c r="D808" s="33" t="s">
        <v>387</v>
      </c>
      <c r="E808" s="33"/>
      <c r="F808" s="33"/>
      <c r="G808" s="33"/>
      <c r="H808" s="30"/>
      <c r="I808" s="30"/>
      <c r="J808" s="212"/>
      <c r="K808" s="23"/>
      <c r="L808" s="23"/>
      <c r="M808" s="23"/>
      <c r="N808" s="23"/>
      <c r="O808" s="23"/>
      <c r="P808" s="23"/>
      <c r="Q808" s="23"/>
      <c r="R808" s="23"/>
      <c r="S808" s="23"/>
      <c r="T808" s="586"/>
      <c r="U808" s="23"/>
      <c r="V808" s="311"/>
      <c r="W808" s="311"/>
      <c r="X808" s="311"/>
      <c r="Y808" s="94"/>
      <c r="Z808" s="23"/>
      <c r="AA808" s="23"/>
      <c r="AB808" s="23"/>
      <c r="AC808" s="23"/>
      <c r="AD808" s="158"/>
      <c r="AE808" s="158"/>
      <c r="AF808" s="158"/>
      <c r="AG808" s="158"/>
      <c r="AH808" s="158"/>
      <c r="AI808" s="158"/>
      <c r="AJ808" s="158"/>
      <c r="AK808" s="158"/>
      <c r="AL808" s="158"/>
      <c r="AM808" s="158"/>
      <c r="AN808" s="158"/>
      <c r="AO808" s="23"/>
      <c r="AP808" s="23"/>
      <c r="AQ808" s="23"/>
      <c r="AR808" s="23"/>
      <c r="AS808" s="2"/>
      <c r="AT808" s="58"/>
      <c r="AU808" s="112"/>
      <c r="AV808" s="23">
        <v>1</v>
      </c>
      <c r="AW808" s="23"/>
      <c r="AX808" s="23"/>
      <c r="AY808" s="23"/>
      <c r="AZ808" s="23"/>
      <c r="BA808" s="23"/>
      <c r="BB808" s="223"/>
      <c r="BC808" s="223"/>
      <c r="BD808" s="270">
        <v>2016</v>
      </c>
      <c r="BE808" s="270"/>
      <c r="BF808" s="449"/>
    </row>
    <row r="809" spans="1:58" ht="15" hidden="1" customHeight="1">
      <c r="A809" s="160" t="s">
        <v>1</v>
      </c>
      <c r="B809" s="58" t="s">
        <v>320</v>
      </c>
      <c r="C809" s="64" t="s">
        <v>520</v>
      </c>
      <c r="D809" s="33" t="s">
        <v>387</v>
      </c>
      <c r="E809" s="33"/>
      <c r="F809" s="33"/>
      <c r="G809" s="33"/>
      <c r="H809" s="30"/>
      <c r="I809" s="30"/>
      <c r="J809" s="212"/>
      <c r="K809" s="23"/>
      <c r="L809" s="23"/>
      <c r="M809" s="23"/>
      <c r="N809" s="23"/>
      <c r="O809" s="23"/>
      <c r="P809" s="23"/>
      <c r="Q809" s="23"/>
      <c r="R809" s="23"/>
      <c r="S809" s="23"/>
      <c r="T809" s="586"/>
      <c r="U809" s="23"/>
      <c r="V809" s="311"/>
      <c r="W809" s="311"/>
      <c r="X809" s="311"/>
      <c r="Y809" s="94"/>
      <c r="Z809" s="23"/>
      <c r="AA809" s="23"/>
      <c r="AB809" s="23"/>
      <c r="AC809" s="23"/>
      <c r="AD809" s="158"/>
      <c r="AE809" s="158"/>
      <c r="AF809" s="158"/>
      <c r="AG809" s="158"/>
      <c r="AH809" s="158"/>
      <c r="AI809" s="158"/>
      <c r="AJ809" s="158"/>
      <c r="AK809" s="158"/>
      <c r="AL809" s="158"/>
      <c r="AM809" s="158"/>
      <c r="AN809" s="158"/>
      <c r="AO809" s="23"/>
      <c r="AP809" s="23"/>
      <c r="AQ809" s="23"/>
      <c r="AR809" s="23"/>
      <c r="AS809" s="2"/>
      <c r="AT809" s="58"/>
      <c r="AU809" s="112"/>
      <c r="AV809" s="23">
        <v>1</v>
      </c>
      <c r="AW809" s="23"/>
      <c r="AX809" s="23"/>
      <c r="AY809" s="23"/>
      <c r="AZ809" s="23"/>
      <c r="BA809" s="23"/>
      <c r="BB809" s="223"/>
      <c r="BC809" s="223"/>
      <c r="BD809" s="270">
        <v>2016</v>
      </c>
      <c r="BE809" s="270"/>
      <c r="BF809" s="449"/>
    </row>
    <row r="810" spans="1:58" ht="15" hidden="1" customHeight="1">
      <c r="A810" s="160" t="s">
        <v>1</v>
      </c>
      <c r="B810" s="58" t="s">
        <v>320</v>
      </c>
      <c r="C810" s="64" t="s">
        <v>377</v>
      </c>
      <c r="D810" s="33" t="s">
        <v>387</v>
      </c>
      <c r="E810" s="33"/>
      <c r="F810" s="33"/>
      <c r="G810" s="33"/>
      <c r="H810" s="30"/>
      <c r="I810" s="30"/>
      <c r="J810" s="212"/>
      <c r="K810" s="23"/>
      <c r="L810" s="23"/>
      <c r="M810" s="23"/>
      <c r="N810" s="23"/>
      <c r="O810" s="23"/>
      <c r="P810" s="23"/>
      <c r="Q810" s="23"/>
      <c r="R810" s="23"/>
      <c r="S810" s="23"/>
      <c r="T810" s="586"/>
      <c r="U810" s="23"/>
      <c r="V810" s="311"/>
      <c r="W810" s="311"/>
      <c r="X810" s="311"/>
      <c r="Y810" s="94"/>
      <c r="Z810" s="23"/>
      <c r="AA810" s="23"/>
      <c r="AB810" s="23"/>
      <c r="AC810" s="23"/>
      <c r="AD810" s="158"/>
      <c r="AE810" s="158"/>
      <c r="AF810" s="158"/>
      <c r="AG810" s="158"/>
      <c r="AH810" s="158"/>
      <c r="AI810" s="158"/>
      <c r="AJ810" s="158"/>
      <c r="AK810" s="158"/>
      <c r="AL810" s="158"/>
      <c r="AM810" s="158"/>
      <c r="AN810" s="158"/>
      <c r="AO810" s="23"/>
      <c r="AP810" s="23"/>
      <c r="AQ810" s="23"/>
      <c r="AR810" s="23"/>
      <c r="AS810" s="2"/>
      <c r="AT810" s="58"/>
      <c r="AU810" s="112"/>
      <c r="AV810" s="23">
        <v>1</v>
      </c>
      <c r="AW810" s="23"/>
      <c r="AX810" s="23"/>
      <c r="AY810" s="23"/>
      <c r="AZ810" s="23"/>
      <c r="BA810" s="23"/>
      <c r="BB810" s="223"/>
      <c r="BC810" s="223"/>
      <c r="BD810" s="270">
        <v>2016</v>
      </c>
      <c r="BE810" s="270"/>
      <c r="BF810" s="449"/>
    </row>
    <row r="811" spans="1:58" ht="15" hidden="1" customHeight="1">
      <c r="A811" s="160" t="s">
        <v>1</v>
      </c>
      <c r="B811" s="58" t="s">
        <v>320</v>
      </c>
      <c r="C811" s="64" t="s">
        <v>378</v>
      </c>
      <c r="D811" s="33" t="s">
        <v>387</v>
      </c>
      <c r="E811" s="33"/>
      <c r="F811" s="33"/>
      <c r="G811" s="33"/>
      <c r="H811" s="30"/>
      <c r="I811" s="30"/>
      <c r="J811" s="212"/>
      <c r="K811" s="23"/>
      <c r="L811" s="23"/>
      <c r="M811" s="23"/>
      <c r="N811" s="23"/>
      <c r="O811" s="23"/>
      <c r="P811" s="23"/>
      <c r="Q811" s="23"/>
      <c r="R811" s="23"/>
      <c r="S811" s="23"/>
      <c r="T811" s="586"/>
      <c r="U811" s="23"/>
      <c r="V811" s="311"/>
      <c r="W811" s="311"/>
      <c r="X811" s="311"/>
      <c r="Y811" s="94"/>
      <c r="Z811" s="23"/>
      <c r="AA811" s="23"/>
      <c r="AB811" s="23"/>
      <c r="AC811" s="23"/>
      <c r="AD811" s="158"/>
      <c r="AE811" s="158"/>
      <c r="AF811" s="158"/>
      <c r="AG811" s="158"/>
      <c r="AH811" s="158"/>
      <c r="AI811" s="158"/>
      <c r="AJ811" s="158"/>
      <c r="AK811" s="158"/>
      <c r="AL811" s="158"/>
      <c r="AM811" s="158"/>
      <c r="AN811" s="158"/>
      <c r="AO811" s="23"/>
      <c r="AP811" s="23"/>
      <c r="AQ811" s="23"/>
      <c r="AR811" s="23"/>
      <c r="AS811" s="2"/>
      <c r="AT811" s="58"/>
      <c r="AU811" s="112"/>
      <c r="AV811" s="23">
        <v>1</v>
      </c>
      <c r="AW811" s="23"/>
      <c r="AX811" s="23"/>
      <c r="AY811" s="23"/>
      <c r="AZ811" s="23"/>
      <c r="BA811" s="23"/>
      <c r="BB811" s="223"/>
      <c r="BC811" s="223"/>
      <c r="BD811" s="270">
        <v>2016</v>
      </c>
      <c r="BE811" s="270"/>
      <c r="BF811" s="449"/>
    </row>
    <row r="812" spans="1:58" ht="15" hidden="1" customHeight="1">
      <c r="A812" s="160" t="s">
        <v>1</v>
      </c>
      <c r="B812" s="58" t="s">
        <v>320</v>
      </c>
      <c r="C812" s="64" t="s">
        <v>379</v>
      </c>
      <c r="D812" s="33" t="s">
        <v>387</v>
      </c>
      <c r="E812" s="33"/>
      <c r="F812" s="33"/>
      <c r="G812" s="33"/>
      <c r="H812" s="30" t="s">
        <v>659</v>
      </c>
      <c r="I812" s="30"/>
      <c r="J812" s="212"/>
      <c r="K812" s="23"/>
      <c r="L812" s="23"/>
      <c r="M812" s="23"/>
      <c r="N812" s="23"/>
      <c r="O812" s="23"/>
      <c r="P812" s="23">
        <v>49086983</v>
      </c>
      <c r="Q812" s="23"/>
      <c r="R812" s="23"/>
      <c r="S812" s="23"/>
      <c r="T812" s="586"/>
      <c r="U812" s="23"/>
      <c r="V812" s="311"/>
      <c r="W812" s="311"/>
      <c r="X812" s="311"/>
      <c r="Y812" s="94"/>
      <c r="Z812" s="23"/>
      <c r="AA812" s="23"/>
      <c r="AB812" s="23"/>
      <c r="AC812" s="23"/>
      <c r="AD812" s="158"/>
      <c r="AE812" s="158"/>
      <c r="AF812" s="158"/>
      <c r="AG812" s="158"/>
      <c r="AH812" s="158"/>
      <c r="AI812" s="158"/>
      <c r="AJ812" s="158"/>
      <c r="AK812" s="158"/>
      <c r="AL812" s="158"/>
      <c r="AM812" s="158"/>
      <c r="AN812" s="158"/>
      <c r="AO812" s="23"/>
      <c r="AP812" s="23"/>
      <c r="AQ812" s="23"/>
      <c r="AR812" s="23"/>
      <c r="AS812" s="2"/>
      <c r="AT812" s="58"/>
      <c r="AU812" s="326" t="s">
        <v>1849</v>
      </c>
      <c r="AV812" s="23">
        <v>1</v>
      </c>
      <c r="AW812" s="23"/>
      <c r="AX812" s="23"/>
      <c r="AY812" s="23"/>
      <c r="AZ812" s="23"/>
      <c r="BA812" s="23"/>
      <c r="BB812" s="223"/>
      <c r="BC812" s="223"/>
      <c r="BD812" s="270">
        <v>2016</v>
      </c>
      <c r="BE812" s="270"/>
      <c r="BF812" s="449"/>
    </row>
    <row r="813" spans="1:58" ht="15" hidden="1" customHeight="1">
      <c r="A813" s="160" t="s">
        <v>1</v>
      </c>
      <c r="B813" s="58" t="s">
        <v>320</v>
      </c>
      <c r="C813" s="64" t="s">
        <v>380</v>
      </c>
      <c r="D813" s="33" t="s">
        <v>387</v>
      </c>
      <c r="E813" s="33"/>
      <c r="F813" s="33"/>
      <c r="G813" s="33"/>
      <c r="H813" s="30"/>
      <c r="I813" s="30"/>
      <c r="J813" s="212"/>
      <c r="K813" s="23"/>
      <c r="L813" s="23"/>
      <c r="M813" s="23"/>
      <c r="N813" s="23"/>
      <c r="O813" s="23"/>
      <c r="P813" s="23"/>
      <c r="Q813" s="23"/>
      <c r="R813" s="23"/>
      <c r="S813" s="23"/>
      <c r="T813" s="586"/>
      <c r="U813" s="23"/>
      <c r="V813" s="311"/>
      <c r="W813" s="311"/>
      <c r="X813" s="311"/>
      <c r="Y813" s="94"/>
      <c r="Z813" s="23"/>
      <c r="AA813" s="23"/>
      <c r="AB813" s="23"/>
      <c r="AC813" s="23"/>
      <c r="AD813" s="158"/>
      <c r="AE813" s="158"/>
      <c r="AF813" s="158"/>
      <c r="AG813" s="158"/>
      <c r="AH813" s="158"/>
      <c r="AI813" s="158"/>
      <c r="AJ813" s="158"/>
      <c r="AK813" s="158"/>
      <c r="AL813" s="158"/>
      <c r="AM813" s="158"/>
      <c r="AN813" s="158"/>
      <c r="AO813" s="23"/>
      <c r="AP813" s="23"/>
      <c r="AQ813" s="23"/>
      <c r="AR813" s="23"/>
      <c r="AS813" s="2"/>
      <c r="AT813" s="58"/>
      <c r="AU813" s="112"/>
      <c r="AV813" s="23">
        <v>1</v>
      </c>
      <c r="AW813" s="23"/>
      <c r="AX813" s="23"/>
      <c r="AY813" s="23"/>
      <c r="AZ813" s="23"/>
      <c r="BA813" s="23"/>
      <c r="BB813" s="223"/>
      <c r="BC813" s="223"/>
      <c r="BD813" s="270">
        <v>2016</v>
      </c>
      <c r="BE813" s="270"/>
      <c r="BF813" s="449"/>
    </row>
    <row r="814" spans="1:58" ht="15" hidden="1" customHeight="1">
      <c r="A814" s="160" t="s">
        <v>1</v>
      </c>
      <c r="B814" s="58" t="s">
        <v>320</v>
      </c>
      <c r="C814" s="64" t="s">
        <v>381</v>
      </c>
      <c r="D814" s="33" t="s">
        <v>387</v>
      </c>
      <c r="E814" s="33"/>
      <c r="F814" s="33"/>
      <c r="G814" s="33"/>
      <c r="H814" s="30"/>
      <c r="I814" s="30"/>
      <c r="J814" s="212"/>
      <c r="K814" s="23"/>
      <c r="L814" s="23"/>
      <c r="M814" s="23"/>
      <c r="N814" s="23"/>
      <c r="O814" s="23"/>
      <c r="P814" s="23"/>
      <c r="Q814" s="23"/>
      <c r="R814" s="23"/>
      <c r="S814" s="23"/>
      <c r="T814" s="586"/>
      <c r="U814" s="23"/>
      <c r="V814" s="311"/>
      <c r="W814" s="311"/>
      <c r="X814" s="311"/>
      <c r="Y814" s="94"/>
      <c r="Z814" s="23"/>
      <c r="AA814" s="23"/>
      <c r="AB814" s="23"/>
      <c r="AC814" s="23"/>
      <c r="AD814" s="158"/>
      <c r="AE814" s="158"/>
      <c r="AF814" s="158"/>
      <c r="AG814" s="158"/>
      <c r="AH814" s="158"/>
      <c r="AI814" s="158"/>
      <c r="AJ814" s="158"/>
      <c r="AK814" s="158"/>
      <c r="AL814" s="158"/>
      <c r="AM814" s="158"/>
      <c r="AN814" s="158"/>
      <c r="AO814" s="23"/>
      <c r="AP814" s="23"/>
      <c r="AQ814" s="23"/>
      <c r="AR814" s="23"/>
      <c r="AS814" s="2"/>
      <c r="AT814" s="58"/>
      <c r="AU814" s="112"/>
      <c r="AV814" s="23">
        <v>1</v>
      </c>
      <c r="AW814" s="23"/>
      <c r="AX814" s="23"/>
      <c r="AY814" s="23"/>
      <c r="AZ814" s="23"/>
      <c r="BA814" s="23"/>
      <c r="BB814" s="223"/>
      <c r="BC814" s="223"/>
      <c r="BD814" s="270">
        <v>2016</v>
      </c>
      <c r="BE814" s="270"/>
      <c r="BF814" s="448"/>
    </row>
    <row r="815" spans="1:58" ht="15" hidden="1" customHeight="1">
      <c r="A815" s="160" t="s">
        <v>1</v>
      </c>
      <c r="B815" s="58" t="s">
        <v>320</v>
      </c>
      <c r="C815" s="64" t="s">
        <v>382</v>
      </c>
      <c r="D815" s="33" t="s">
        <v>387</v>
      </c>
      <c r="E815" s="33"/>
      <c r="F815" s="33"/>
      <c r="G815" s="33"/>
      <c r="H815" s="30"/>
      <c r="I815" s="30"/>
      <c r="J815" s="212"/>
      <c r="K815" s="23"/>
      <c r="L815" s="23"/>
      <c r="M815" s="23"/>
      <c r="N815" s="23"/>
      <c r="O815" s="23"/>
      <c r="P815" s="23"/>
      <c r="Q815" s="23"/>
      <c r="R815" s="23"/>
      <c r="S815" s="23"/>
      <c r="T815" s="586"/>
      <c r="U815" s="23"/>
      <c r="V815" s="311"/>
      <c r="W815" s="311"/>
      <c r="X815" s="311"/>
      <c r="Y815" s="94"/>
      <c r="Z815" s="23"/>
      <c r="AA815" s="23"/>
      <c r="AB815" s="23"/>
      <c r="AC815" s="23"/>
      <c r="AD815" s="158"/>
      <c r="AE815" s="158"/>
      <c r="AF815" s="158"/>
      <c r="AG815" s="158"/>
      <c r="AH815" s="158"/>
      <c r="AI815" s="158"/>
      <c r="AJ815" s="158"/>
      <c r="AK815" s="158"/>
      <c r="AL815" s="158"/>
      <c r="AM815" s="158"/>
      <c r="AN815" s="158"/>
      <c r="AO815" s="23"/>
      <c r="AP815" s="23"/>
      <c r="AQ815" s="23"/>
      <c r="AR815" s="23"/>
      <c r="AS815" s="2"/>
      <c r="AT815" s="58"/>
      <c r="AU815" s="112"/>
      <c r="AV815" s="23">
        <v>1</v>
      </c>
      <c r="AW815" s="23"/>
      <c r="AX815" s="23"/>
      <c r="AY815" s="23"/>
      <c r="AZ815" s="23"/>
      <c r="BA815" s="23"/>
      <c r="BB815" s="223"/>
      <c r="BC815" s="223"/>
      <c r="BD815" s="270">
        <v>2016</v>
      </c>
      <c r="BE815" s="270"/>
      <c r="BF815" s="449"/>
    </row>
    <row r="816" spans="1:58" ht="15" hidden="1" customHeight="1">
      <c r="A816" s="160" t="s">
        <v>1</v>
      </c>
      <c r="B816" s="58" t="s">
        <v>320</v>
      </c>
      <c r="C816" s="63" t="s">
        <v>383</v>
      </c>
      <c r="D816" s="33" t="s">
        <v>387</v>
      </c>
      <c r="E816" s="33"/>
      <c r="F816" s="33"/>
      <c r="G816" s="33"/>
      <c r="H816" s="30"/>
      <c r="I816" s="30"/>
      <c r="J816" s="212"/>
      <c r="K816" s="23"/>
      <c r="L816" s="23"/>
      <c r="M816" s="23"/>
      <c r="N816" s="23"/>
      <c r="O816" s="23"/>
      <c r="P816" s="23"/>
      <c r="Q816" s="23"/>
      <c r="R816" s="23"/>
      <c r="S816" s="23"/>
      <c r="T816" s="586"/>
      <c r="U816" s="23"/>
      <c r="V816" s="311"/>
      <c r="W816" s="311"/>
      <c r="X816" s="311"/>
      <c r="Y816" s="94"/>
      <c r="Z816" s="23"/>
      <c r="AA816" s="23"/>
      <c r="AB816" s="23"/>
      <c r="AC816" s="23"/>
      <c r="AD816" s="158"/>
      <c r="AE816" s="158"/>
      <c r="AF816" s="158"/>
      <c r="AG816" s="158"/>
      <c r="AH816" s="158"/>
      <c r="AI816" s="158"/>
      <c r="AJ816" s="158"/>
      <c r="AK816" s="158"/>
      <c r="AL816" s="158"/>
      <c r="AM816" s="158"/>
      <c r="AN816" s="158"/>
      <c r="AO816" s="23"/>
      <c r="AP816" s="23"/>
      <c r="AQ816" s="23"/>
      <c r="AR816" s="23"/>
      <c r="AS816" s="2"/>
      <c r="AT816" s="58"/>
      <c r="AU816" s="112"/>
      <c r="AV816" s="23">
        <v>1</v>
      </c>
      <c r="AW816" s="23"/>
      <c r="AX816" s="23"/>
      <c r="AY816" s="23"/>
      <c r="AZ816" s="23"/>
      <c r="BA816" s="23"/>
      <c r="BB816" s="223"/>
      <c r="BC816" s="223"/>
      <c r="BD816" s="270">
        <v>2016</v>
      </c>
      <c r="BE816" s="270"/>
      <c r="BF816" s="449"/>
    </row>
    <row r="817" spans="1:58" ht="15" hidden="1" customHeight="1">
      <c r="A817" s="160" t="s">
        <v>1</v>
      </c>
      <c r="B817" s="58" t="s">
        <v>320</v>
      </c>
      <c r="C817" s="64" t="s">
        <v>384</v>
      </c>
      <c r="D817" s="33" t="s">
        <v>387</v>
      </c>
      <c r="E817" s="33"/>
      <c r="F817" s="33"/>
      <c r="G817" s="33"/>
      <c r="H817" s="30"/>
      <c r="I817" s="30"/>
      <c r="J817" s="212"/>
      <c r="K817" s="23"/>
      <c r="L817" s="23"/>
      <c r="M817" s="23"/>
      <c r="N817" s="23"/>
      <c r="O817" s="23"/>
      <c r="P817" s="23"/>
      <c r="Q817" s="23"/>
      <c r="R817" s="23"/>
      <c r="S817" s="23"/>
      <c r="T817" s="586"/>
      <c r="U817" s="23"/>
      <c r="V817" s="311"/>
      <c r="W817" s="311"/>
      <c r="X817" s="311"/>
      <c r="Y817" s="94"/>
      <c r="Z817" s="23"/>
      <c r="AA817" s="23"/>
      <c r="AB817" s="23"/>
      <c r="AC817" s="23"/>
      <c r="AD817" s="158"/>
      <c r="AE817" s="158"/>
      <c r="AF817" s="158"/>
      <c r="AG817" s="158"/>
      <c r="AH817" s="158"/>
      <c r="AI817" s="158"/>
      <c r="AJ817" s="158"/>
      <c r="AK817" s="158"/>
      <c r="AL817" s="158"/>
      <c r="AM817" s="158"/>
      <c r="AN817" s="158"/>
      <c r="AO817" s="23"/>
      <c r="AP817" s="23"/>
      <c r="AQ817" s="23"/>
      <c r="AR817" s="23"/>
      <c r="AS817" s="2"/>
      <c r="AT817" s="58"/>
      <c r="AU817" s="112"/>
      <c r="AV817" s="23">
        <v>1</v>
      </c>
      <c r="AW817" s="23"/>
      <c r="AX817" s="23"/>
      <c r="AY817" s="23"/>
      <c r="AZ817" s="23"/>
      <c r="BA817" s="23"/>
      <c r="BB817" s="223"/>
      <c r="BC817" s="223"/>
      <c r="BD817" s="270">
        <v>2016</v>
      </c>
      <c r="BE817" s="270"/>
      <c r="BF817" s="418"/>
    </row>
    <row r="818" spans="1:58" ht="15" hidden="1" customHeight="1">
      <c r="A818" s="160" t="s">
        <v>1</v>
      </c>
      <c r="B818" s="58" t="s">
        <v>320</v>
      </c>
      <c r="C818" s="64" t="s">
        <v>385</v>
      </c>
      <c r="D818" s="33" t="s">
        <v>387</v>
      </c>
      <c r="E818" s="33"/>
      <c r="F818" s="33"/>
      <c r="G818" s="33"/>
      <c r="H818" s="30"/>
      <c r="I818" s="30"/>
      <c r="J818" s="212"/>
      <c r="K818" s="23"/>
      <c r="L818" s="23"/>
      <c r="M818" s="23"/>
      <c r="N818" s="23"/>
      <c r="O818" s="23"/>
      <c r="P818" s="23"/>
      <c r="Q818" s="23"/>
      <c r="R818" s="23"/>
      <c r="S818" s="23"/>
      <c r="T818" s="586"/>
      <c r="U818" s="23"/>
      <c r="V818" s="311"/>
      <c r="W818" s="311"/>
      <c r="X818" s="311"/>
      <c r="Y818" s="94"/>
      <c r="Z818" s="23"/>
      <c r="AA818" s="23"/>
      <c r="AB818" s="23"/>
      <c r="AC818" s="23"/>
      <c r="AD818" s="158"/>
      <c r="AE818" s="158"/>
      <c r="AF818" s="158"/>
      <c r="AG818" s="158"/>
      <c r="AH818" s="158"/>
      <c r="AI818" s="158"/>
      <c r="AJ818" s="158"/>
      <c r="AK818" s="158"/>
      <c r="AL818" s="158"/>
      <c r="AM818" s="158"/>
      <c r="AN818" s="158"/>
      <c r="AO818" s="23"/>
      <c r="AP818" s="23"/>
      <c r="AQ818" s="23"/>
      <c r="AR818" s="23"/>
      <c r="AS818" s="2"/>
      <c r="AT818" s="58"/>
      <c r="AU818" s="105"/>
      <c r="AV818" s="23">
        <v>1</v>
      </c>
      <c r="AW818" s="23"/>
      <c r="AX818" s="23"/>
      <c r="AY818" s="23"/>
      <c r="AZ818" s="23"/>
      <c r="BA818" s="23"/>
      <c r="BB818" s="223"/>
      <c r="BC818" s="223"/>
      <c r="BD818" s="270">
        <v>2016</v>
      </c>
      <c r="BE818" s="270"/>
      <c r="BF818" s="418"/>
    </row>
    <row r="819" spans="1:58" s="204" customFormat="1" ht="18" customHeight="1">
      <c r="A819" s="160" t="s">
        <v>1</v>
      </c>
      <c r="B819" s="58" t="s">
        <v>320</v>
      </c>
      <c r="C819" s="65" t="s">
        <v>386</v>
      </c>
      <c r="D819" s="33" t="s">
        <v>319</v>
      </c>
      <c r="E819" s="33"/>
      <c r="F819" s="33"/>
      <c r="G819" s="33"/>
      <c r="H819" s="30" t="s">
        <v>647</v>
      </c>
      <c r="I819" s="30">
        <v>2807</v>
      </c>
      <c r="J819" s="212">
        <v>2015</v>
      </c>
      <c r="K819" s="23"/>
      <c r="L819" s="23"/>
      <c r="M819" s="23">
        <v>1</v>
      </c>
      <c r="N819" s="23"/>
      <c r="O819" s="23">
        <v>1</v>
      </c>
      <c r="P819" s="23">
        <v>52853500</v>
      </c>
      <c r="Q819" s="23"/>
      <c r="R819" s="23"/>
      <c r="S819" s="23"/>
      <c r="T819" s="586"/>
      <c r="U819" s="23"/>
      <c r="V819" s="311"/>
      <c r="W819" s="311"/>
      <c r="X819" s="311"/>
      <c r="Y819" s="94"/>
      <c r="Z819" s="23"/>
      <c r="AA819" s="23"/>
      <c r="AB819" s="23"/>
      <c r="AC819" s="23"/>
      <c r="AD819" s="158"/>
      <c r="AE819" s="158">
        <f>P819-T819-Y819</f>
        <v>52853500</v>
      </c>
      <c r="AF819" s="158"/>
      <c r="AG819" s="94">
        <v>0</v>
      </c>
      <c r="AH819" s="94"/>
      <c r="AI819" s="94"/>
      <c r="AJ819" s="158">
        <f t="shared" ref="AJ819:AJ822" si="148">AE819+AG819</f>
        <v>52853500</v>
      </c>
      <c r="AK819" s="158"/>
      <c r="AL819" s="158"/>
      <c r="AM819" s="158">
        <v>1</v>
      </c>
      <c r="AN819" s="158"/>
      <c r="AO819" s="23"/>
      <c r="AP819" s="23"/>
      <c r="AQ819" s="23"/>
      <c r="AR819" s="23"/>
      <c r="AS819" s="24">
        <v>0</v>
      </c>
      <c r="AT819" s="58" t="s">
        <v>521</v>
      </c>
      <c r="AU819" s="386" t="s">
        <v>634</v>
      </c>
      <c r="AV819" s="23"/>
      <c r="AW819" s="23"/>
      <c r="AX819" s="23"/>
      <c r="AY819" s="23"/>
      <c r="AZ819" s="23"/>
      <c r="BA819" s="23"/>
      <c r="BB819" s="223"/>
      <c r="BC819" s="223"/>
      <c r="BD819" s="271"/>
      <c r="BE819" s="271">
        <v>2019</v>
      </c>
      <c r="BF819" s="271">
        <v>2020</v>
      </c>
    </row>
    <row r="820" spans="1:58" ht="18" hidden="1" customHeight="1">
      <c r="A820" s="230" t="s">
        <v>1</v>
      </c>
      <c r="B820" s="58" t="s">
        <v>320</v>
      </c>
      <c r="C820" s="240" t="s">
        <v>591</v>
      </c>
      <c r="D820" s="33" t="s">
        <v>387</v>
      </c>
      <c r="E820" s="33"/>
      <c r="F820" s="33"/>
      <c r="G820" s="33"/>
      <c r="H820" s="30" t="s">
        <v>635</v>
      </c>
      <c r="I820" s="228" t="s">
        <v>1511</v>
      </c>
      <c r="J820" s="215" t="s">
        <v>1510</v>
      </c>
      <c r="K820" s="23"/>
      <c r="L820" s="23">
        <v>1</v>
      </c>
      <c r="M820" s="23"/>
      <c r="N820" s="23"/>
      <c r="O820" s="23"/>
      <c r="P820" s="23">
        <v>56837554</v>
      </c>
      <c r="Q820" s="23"/>
      <c r="R820" s="23"/>
      <c r="S820" s="23"/>
      <c r="T820" s="586">
        <v>25576899</v>
      </c>
      <c r="U820" s="23"/>
      <c r="V820" s="311"/>
      <c r="W820" s="311"/>
      <c r="X820" s="311"/>
      <c r="Y820" s="94">
        <v>31260655</v>
      </c>
      <c r="Z820" s="23"/>
      <c r="AA820" s="57"/>
      <c r="AB820" s="57"/>
      <c r="AC820" s="57"/>
      <c r="AD820" s="158"/>
      <c r="AE820" s="158">
        <f>P820-T820-Y820</f>
        <v>0</v>
      </c>
      <c r="AF820" s="158"/>
      <c r="AG820" s="94">
        <v>0</v>
      </c>
      <c r="AH820" s="94"/>
      <c r="AI820" s="94"/>
      <c r="AJ820" s="158">
        <f t="shared" si="148"/>
        <v>0</v>
      </c>
      <c r="AK820" s="158"/>
      <c r="AL820" s="158"/>
      <c r="AM820" s="158"/>
      <c r="AN820" s="158"/>
      <c r="AO820" s="23"/>
      <c r="AP820" s="23"/>
      <c r="AQ820" s="23"/>
      <c r="AR820" s="23"/>
      <c r="AS820" s="24">
        <v>1</v>
      </c>
      <c r="AT820" s="58" t="s">
        <v>646</v>
      </c>
      <c r="AU820" s="390" t="s">
        <v>1863</v>
      </c>
      <c r="AV820" s="23"/>
      <c r="AW820" s="23"/>
      <c r="AX820" s="23"/>
      <c r="AY820" s="23">
        <v>1</v>
      </c>
      <c r="AZ820" s="23"/>
      <c r="BA820" s="23"/>
      <c r="BB820" s="223">
        <v>1</v>
      </c>
      <c r="BC820" s="223"/>
      <c r="BD820" s="270">
        <v>2019</v>
      </c>
      <c r="BE820" s="270">
        <v>2019</v>
      </c>
      <c r="BF820" s="271"/>
    </row>
    <row r="821" spans="1:58" s="204" customFormat="1" ht="18" customHeight="1">
      <c r="A821" s="160" t="s">
        <v>1</v>
      </c>
      <c r="B821" s="58" t="s">
        <v>320</v>
      </c>
      <c r="C821" s="566" t="s">
        <v>1204</v>
      </c>
      <c r="D821" s="483" t="s">
        <v>387</v>
      </c>
      <c r="E821" s="483"/>
      <c r="F821" s="483"/>
      <c r="G821" s="483"/>
      <c r="H821" s="30" t="s">
        <v>635</v>
      </c>
      <c r="I821" s="228" t="s">
        <v>1511</v>
      </c>
      <c r="J821" s="215" t="s">
        <v>1510</v>
      </c>
      <c r="K821" s="23"/>
      <c r="L821" s="23"/>
      <c r="M821" s="23">
        <v>1</v>
      </c>
      <c r="N821" s="23">
        <v>1</v>
      </c>
      <c r="O821" s="23"/>
      <c r="P821" s="23">
        <v>56837554</v>
      </c>
      <c r="Q821" s="23"/>
      <c r="R821" s="23"/>
      <c r="S821" s="23"/>
      <c r="T821" s="517">
        <v>25576899</v>
      </c>
      <c r="U821" s="23">
        <v>10</v>
      </c>
      <c r="V821" s="311"/>
      <c r="W821" s="311"/>
      <c r="X821" s="311"/>
      <c r="Y821" s="175">
        <v>31260655</v>
      </c>
      <c r="Z821" s="573">
        <v>20</v>
      </c>
      <c r="AA821" s="484">
        <v>43980</v>
      </c>
      <c r="AB821" s="580"/>
      <c r="AC821" s="223"/>
      <c r="AD821" s="158"/>
      <c r="AE821" s="158">
        <f>P821-T821-Y821</f>
        <v>0</v>
      </c>
      <c r="AF821" s="158"/>
      <c r="AG821" s="94">
        <v>0</v>
      </c>
      <c r="AH821" s="94"/>
      <c r="AI821" s="94"/>
      <c r="AJ821" s="158">
        <f t="shared" si="148"/>
        <v>0</v>
      </c>
      <c r="AK821" s="158">
        <v>877</v>
      </c>
      <c r="AL821" s="158">
        <v>20</v>
      </c>
      <c r="AM821" s="158"/>
      <c r="AN821" s="72">
        <v>1</v>
      </c>
      <c r="AO821" s="229"/>
      <c r="AP821" s="23"/>
      <c r="AQ821" s="23"/>
      <c r="AR821" s="23"/>
      <c r="AS821" s="24">
        <v>0</v>
      </c>
      <c r="AT821" s="485" t="s">
        <v>38</v>
      </c>
      <c r="AU821" s="474" t="s">
        <v>2299</v>
      </c>
      <c r="AV821" s="23"/>
      <c r="AW821" s="23"/>
      <c r="AX821" s="23"/>
      <c r="AY821" s="23"/>
      <c r="AZ821" s="23"/>
      <c r="BA821" s="23"/>
      <c r="BB821" s="223"/>
      <c r="BC821" s="223"/>
      <c r="BD821" s="271"/>
      <c r="BE821" s="271">
        <v>2019</v>
      </c>
      <c r="BF821" s="271">
        <v>2020</v>
      </c>
    </row>
    <row r="822" spans="1:58" s="204" customFormat="1" ht="18" customHeight="1">
      <c r="A822" s="160" t="s">
        <v>1</v>
      </c>
      <c r="B822" s="58" t="s">
        <v>320</v>
      </c>
      <c r="C822" s="65" t="s">
        <v>592</v>
      </c>
      <c r="D822" s="33" t="s">
        <v>387</v>
      </c>
      <c r="E822" s="33"/>
      <c r="F822" s="33"/>
      <c r="G822" s="33"/>
      <c r="H822" s="30" t="s">
        <v>635</v>
      </c>
      <c r="I822" s="78">
        <v>1893</v>
      </c>
      <c r="J822" s="212">
        <v>42614</v>
      </c>
      <c r="K822" s="23"/>
      <c r="L822" s="23"/>
      <c r="M822" s="23">
        <v>1</v>
      </c>
      <c r="N822" s="23">
        <v>1</v>
      </c>
      <c r="O822" s="23"/>
      <c r="P822" s="23">
        <v>55798250</v>
      </c>
      <c r="Q822" s="23"/>
      <c r="R822" s="23"/>
      <c r="S822" s="23"/>
      <c r="T822" s="586"/>
      <c r="U822" s="23"/>
      <c r="V822" s="311"/>
      <c r="W822" s="311"/>
      <c r="X822" s="311"/>
      <c r="Y822" s="94"/>
      <c r="Z822" s="223"/>
      <c r="AA822" s="223"/>
      <c r="AB822" s="223"/>
      <c r="AC822" s="223"/>
      <c r="AD822" s="158"/>
      <c r="AE822" s="158">
        <f>P822-T822-Y822</f>
        <v>55798250</v>
      </c>
      <c r="AF822" s="158"/>
      <c r="AG822" s="94">
        <v>0</v>
      </c>
      <c r="AH822" s="94"/>
      <c r="AI822" s="94"/>
      <c r="AJ822" s="158">
        <f t="shared" si="148"/>
        <v>55798250</v>
      </c>
      <c r="AK822" s="158">
        <v>877</v>
      </c>
      <c r="AL822" s="158">
        <v>10</v>
      </c>
      <c r="AM822" s="158">
        <v>1</v>
      </c>
      <c r="AN822" s="158"/>
      <c r="AO822" s="23"/>
      <c r="AP822" s="23"/>
      <c r="AQ822" s="23"/>
      <c r="AR822" s="23"/>
      <c r="AS822" s="24">
        <v>0</v>
      </c>
      <c r="AT822" s="58" t="s">
        <v>521</v>
      </c>
      <c r="AU822" s="386"/>
      <c r="AV822" s="23"/>
      <c r="AW822" s="23"/>
      <c r="AX822" s="23"/>
      <c r="AY822" s="23"/>
      <c r="AZ822" s="23"/>
      <c r="BA822" s="23"/>
      <c r="BB822" s="223"/>
      <c r="BC822" s="223"/>
      <c r="BD822" s="271"/>
      <c r="BE822" s="271">
        <v>2019</v>
      </c>
      <c r="BF822" s="271">
        <v>2020</v>
      </c>
    </row>
    <row r="823" spans="1:58" ht="15" hidden="1" customHeight="1">
      <c r="A823" s="248" t="s">
        <v>1</v>
      </c>
      <c r="B823" s="58" t="s">
        <v>320</v>
      </c>
      <c r="C823" s="263" t="s">
        <v>1042</v>
      </c>
      <c r="D823" s="33" t="s">
        <v>387</v>
      </c>
      <c r="E823" s="33"/>
      <c r="F823" s="33"/>
      <c r="G823" s="33"/>
      <c r="H823" s="30" t="s">
        <v>635</v>
      </c>
      <c r="I823" s="78">
        <v>1893</v>
      </c>
      <c r="J823" s="212">
        <v>42614</v>
      </c>
      <c r="K823" s="23"/>
      <c r="L823" s="23"/>
      <c r="M823" s="23"/>
      <c r="N823" s="23"/>
      <c r="O823" s="23"/>
      <c r="P823" s="23">
        <v>56837554</v>
      </c>
      <c r="Q823" s="23"/>
      <c r="R823" s="23"/>
      <c r="S823" s="23"/>
      <c r="T823" s="586">
        <v>56837554</v>
      </c>
      <c r="U823" s="23"/>
      <c r="V823" s="311"/>
      <c r="W823" s="311"/>
      <c r="X823" s="311"/>
      <c r="Y823" s="94"/>
      <c r="Z823" s="23"/>
      <c r="AA823" s="265"/>
      <c r="AB823" s="265"/>
      <c r="AC823" s="265"/>
      <c r="AD823" s="158"/>
      <c r="AE823" s="158">
        <f>P823-T823-Y823</f>
        <v>0</v>
      </c>
      <c r="AF823" s="158"/>
      <c r="AG823" s="158"/>
      <c r="AH823" s="158"/>
      <c r="AI823" s="158"/>
      <c r="AJ823" s="158"/>
      <c r="AK823" s="158"/>
      <c r="AL823" s="158"/>
      <c r="AM823" s="158"/>
      <c r="AN823" s="158"/>
      <c r="AO823" s="23"/>
      <c r="AP823" s="23"/>
      <c r="AQ823" s="23"/>
      <c r="AR823" s="23"/>
      <c r="AS823" s="24">
        <v>1</v>
      </c>
      <c r="AT823" s="58" t="s">
        <v>646</v>
      </c>
      <c r="AU823" s="105"/>
      <c r="AV823" s="23"/>
      <c r="AW823" s="23"/>
      <c r="AX823" s="23">
        <v>1</v>
      </c>
      <c r="AY823" s="23"/>
      <c r="AZ823" s="23"/>
      <c r="BA823" s="23">
        <v>1</v>
      </c>
      <c r="BB823" s="223"/>
      <c r="BC823" s="223"/>
      <c r="BD823" s="270">
        <v>2018</v>
      </c>
      <c r="BE823" s="270"/>
      <c r="BF823" s="418"/>
    </row>
    <row r="824" spans="1:58" s="204" customFormat="1" ht="32.25" hidden="1" customHeight="1">
      <c r="A824" s="160" t="s">
        <v>1</v>
      </c>
      <c r="B824" s="58" t="s">
        <v>320</v>
      </c>
      <c r="C824" s="65" t="s">
        <v>593</v>
      </c>
      <c r="D824" s="33" t="s">
        <v>387</v>
      </c>
      <c r="E824" s="33"/>
      <c r="F824" s="33"/>
      <c r="G824" s="33"/>
      <c r="H824" s="30" t="s">
        <v>635</v>
      </c>
      <c r="I824" s="228" t="s">
        <v>1512</v>
      </c>
      <c r="J824" s="215" t="s">
        <v>1513</v>
      </c>
      <c r="K824" s="23"/>
      <c r="L824" s="23">
        <v>1</v>
      </c>
      <c r="M824" s="23"/>
      <c r="N824" s="23"/>
      <c r="O824" s="23"/>
      <c r="P824" s="23">
        <v>56837553</v>
      </c>
      <c r="Q824" s="23"/>
      <c r="R824" s="23"/>
      <c r="S824" s="23"/>
      <c r="T824" s="586">
        <v>25576899</v>
      </c>
      <c r="U824" s="23">
        <v>20</v>
      </c>
      <c r="V824" s="311"/>
      <c r="W824" s="311"/>
      <c r="X824" s="311"/>
      <c r="Y824" s="23">
        <v>31260654</v>
      </c>
      <c r="Z824" s="23">
        <v>10</v>
      </c>
      <c r="AA824" s="23"/>
      <c r="AB824" s="23"/>
      <c r="AC824" s="309"/>
      <c r="AD824" s="158"/>
      <c r="AE824" s="158">
        <f t="shared" ref="AE824:AE829" si="149">P824-T824-Y824</f>
        <v>0</v>
      </c>
      <c r="AF824" s="158"/>
      <c r="AG824" s="94">
        <v>0</v>
      </c>
      <c r="AH824" s="94"/>
      <c r="AI824" s="94"/>
      <c r="AJ824" s="158">
        <f t="shared" ref="AJ824:AJ829" si="150">AE824+AG824</f>
        <v>0</v>
      </c>
      <c r="AK824" s="158"/>
      <c r="AL824" s="158"/>
      <c r="AM824" s="158"/>
      <c r="AN824" s="158"/>
      <c r="AO824" s="23"/>
      <c r="AP824" s="23"/>
      <c r="AQ824" s="23"/>
      <c r="AR824" s="23"/>
      <c r="AS824" s="24">
        <v>1</v>
      </c>
      <c r="AT824" s="58" t="s">
        <v>646</v>
      </c>
      <c r="AU824" s="386" t="s">
        <v>1413</v>
      </c>
      <c r="AV824" s="23"/>
      <c r="AW824" s="23"/>
      <c r="AX824" s="23"/>
      <c r="AY824" s="23">
        <v>1</v>
      </c>
      <c r="AZ824" s="23"/>
      <c r="BA824" s="23"/>
      <c r="BB824" s="223">
        <v>1</v>
      </c>
      <c r="BC824" s="223"/>
      <c r="BD824" s="271">
        <v>2019</v>
      </c>
      <c r="BE824" s="271">
        <v>2019</v>
      </c>
      <c r="BF824" s="271"/>
    </row>
    <row r="825" spans="1:58" s="204" customFormat="1" ht="26.25" customHeight="1">
      <c r="A825" s="160" t="s">
        <v>1</v>
      </c>
      <c r="B825" s="58" t="s">
        <v>320</v>
      </c>
      <c r="C825" s="566" t="s">
        <v>594</v>
      </c>
      <c r="D825" s="483" t="s">
        <v>387</v>
      </c>
      <c r="E825" s="483"/>
      <c r="F825" s="483"/>
      <c r="G825" s="483"/>
      <c r="H825" s="30" t="s">
        <v>635</v>
      </c>
      <c r="I825" s="228" t="s">
        <v>1512</v>
      </c>
      <c r="J825" s="215" t="s">
        <v>1513</v>
      </c>
      <c r="K825" s="23"/>
      <c r="L825" s="23"/>
      <c r="M825" s="23">
        <v>1</v>
      </c>
      <c r="N825" s="23">
        <v>1</v>
      </c>
      <c r="O825" s="23"/>
      <c r="P825" s="23">
        <v>51820528</v>
      </c>
      <c r="Q825" s="23"/>
      <c r="R825" s="23"/>
      <c r="T825" s="586">
        <v>23319238</v>
      </c>
      <c r="U825" s="514">
        <v>10</v>
      </c>
      <c r="V825" s="484">
        <v>43980</v>
      </c>
      <c r="W825" s="484"/>
      <c r="X825" s="484"/>
      <c r="Y825" s="94"/>
      <c r="Z825" s="223"/>
      <c r="AA825" s="223"/>
      <c r="AB825" s="223"/>
      <c r="AC825" s="223"/>
      <c r="AD825" s="158"/>
      <c r="AE825" s="158">
        <f>P825-T825-Y825</f>
        <v>28501290</v>
      </c>
      <c r="AF825" s="158"/>
      <c r="AG825" s="94">
        <v>0</v>
      </c>
      <c r="AH825" s="94"/>
      <c r="AI825" s="94"/>
      <c r="AJ825" s="158">
        <f t="shared" si="150"/>
        <v>28501290</v>
      </c>
      <c r="AK825" s="158">
        <v>877</v>
      </c>
      <c r="AL825" s="158">
        <v>10</v>
      </c>
      <c r="AM825" s="158"/>
      <c r="AN825" s="72">
        <v>1</v>
      </c>
      <c r="AO825" s="23"/>
      <c r="AP825" s="23"/>
      <c r="AQ825" s="23"/>
      <c r="AR825" s="23"/>
      <c r="AS825" s="567">
        <v>0</v>
      </c>
      <c r="AT825" s="485" t="s">
        <v>38</v>
      </c>
      <c r="AU825" s="386" t="s">
        <v>2190</v>
      </c>
      <c r="AV825" s="23"/>
      <c r="AW825" s="23"/>
      <c r="AX825" s="23"/>
      <c r="AY825" s="23"/>
      <c r="AZ825" s="23"/>
      <c r="BA825" s="23"/>
      <c r="BB825" s="223"/>
      <c r="BC825" s="223"/>
      <c r="BD825" s="271"/>
      <c r="BE825" s="271">
        <v>2019</v>
      </c>
      <c r="BF825" s="271">
        <v>2020</v>
      </c>
    </row>
    <row r="826" spans="1:58" s="204" customFormat="1" ht="25.5" customHeight="1">
      <c r="A826" s="160" t="s">
        <v>1</v>
      </c>
      <c r="B826" s="58" t="s">
        <v>320</v>
      </c>
      <c r="C826" s="65" t="s">
        <v>595</v>
      </c>
      <c r="D826" s="33" t="s">
        <v>387</v>
      </c>
      <c r="E826" s="33"/>
      <c r="F826" s="33"/>
      <c r="G826" s="33"/>
      <c r="H826" s="30" t="s">
        <v>635</v>
      </c>
      <c r="I826" s="228" t="s">
        <v>1512</v>
      </c>
      <c r="J826" s="215" t="s">
        <v>1513</v>
      </c>
      <c r="K826" s="23"/>
      <c r="L826" s="23"/>
      <c r="M826" s="23">
        <v>1</v>
      </c>
      <c r="N826" s="23">
        <v>1</v>
      </c>
      <c r="O826" s="23"/>
      <c r="P826" s="23">
        <f>55607384+7994008</f>
        <v>63601392</v>
      </c>
      <c r="Q826" s="23"/>
      <c r="R826" s="23"/>
      <c r="S826" s="23"/>
      <c r="T826" s="586">
        <v>28620626</v>
      </c>
      <c r="U826" s="23">
        <v>10</v>
      </c>
      <c r="V826" s="311">
        <v>43497</v>
      </c>
      <c r="W826" s="311"/>
      <c r="X826" s="311"/>
      <c r="Y826" s="94">
        <v>34980766</v>
      </c>
      <c r="Z826" s="223">
        <v>20</v>
      </c>
      <c r="AA826" s="311">
        <v>43770</v>
      </c>
      <c r="AB826" s="577"/>
      <c r="AC826" s="223"/>
      <c r="AD826" s="158"/>
      <c r="AE826" s="158">
        <f t="shared" si="149"/>
        <v>0</v>
      </c>
      <c r="AF826" s="158"/>
      <c r="AG826" s="94">
        <v>0</v>
      </c>
      <c r="AH826" s="94"/>
      <c r="AI826" s="94"/>
      <c r="AJ826" s="158">
        <f t="shared" si="150"/>
        <v>0</v>
      </c>
      <c r="AK826" s="158">
        <v>877</v>
      </c>
      <c r="AL826" s="158">
        <v>20</v>
      </c>
      <c r="AM826" s="158"/>
      <c r="AN826" s="158">
        <v>1</v>
      </c>
      <c r="AO826" s="23"/>
      <c r="AP826" s="23"/>
      <c r="AQ826" s="23"/>
      <c r="AR826" s="23"/>
      <c r="AS826" s="24">
        <v>0.45</v>
      </c>
      <c r="AT826" s="58" t="s">
        <v>38</v>
      </c>
      <c r="AU826" s="386"/>
      <c r="AV826" s="23"/>
      <c r="AW826" s="23"/>
      <c r="AX826" s="23"/>
      <c r="AY826" s="23"/>
      <c r="AZ826" s="23"/>
      <c r="BA826" s="23"/>
      <c r="BB826" s="223"/>
      <c r="BC826" s="223"/>
      <c r="BD826" s="271"/>
      <c r="BE826" s="271">
        <v>2019</v>
      </c>
      <c r="BF826" s="271">
        <v>2020</v>
      </c>
    </row>
    <row r="827" spans="1:58" s="204" customFormat="1" ht="29.25" hidden="1" customHeight="1">
      <c r="A827" s="243" t="s">
        <v>1</v>
      </c>
      <c r="B827" s="58" t="s">
        <v>320</v>
      </c>
      <c r="C827" s="266" t="s">
        <v>596</v>
      </c>
      <c r="D827" s="33" t="s">
        <v>387</v>
      </c>
      <c r="E827" s="33"/>
      <c r="F827" s="33"/>
      <c r="G827" s="33"/>
      <c r="H827" s="30" t="s">
        <v>635</v>
      </c>
      <c r="I827" s="228" t="s">
        <v>1512</v>
      </c>
      <c r="J827" s="215" t="s">
        <v>1513</v>
      </c>
      <c r="K827" s="23"/>
      <c r="L827" s="23"/>
      <c r="M827" s="23">
        <v>1</v>
      </c>
      <c r="N827" s="23"/>
      <c r="O827" s="23"/>
      <c r="P827" s="23">
        <v>25774340</v>
      </c>
      <c r="Q827" s="23"/>
      <c r="R827" s="23"/>
      <c r="S827" s="23"/>
      <c r="T827" s="586">
        <v>25774340</v>
      </c>
      <c r="U827" s="23"/>
      <c r="V827" s="311"/>
      <c r="W827" s="311"/>
      <c r="X827" s="311"/>
      <c r="Y827" s="23"/>
      <c r="Z827" s="23"/>
      <c r="AA827" s="80"/>
      <c r="AB827" s="80"/>
      <c r="AC827" s="80"/>
      <c r="AD827" s="158"/>
      <c r="AE827" s="158">
        <f t="shared" si="149"/>
        <v>0</v>
      </c>
      <c r="AF827" s="158"/>
      <c r="AG827" s="94">
        <v>0</v>
      </c>
      <c r="AH827" s="94"/>
      <c r="AI827" s="94"/>
      <c r="AJ827" s="158">
        <f t="shared" si="150"/>
        <v>0</v>
      </c>
      <c r="AK827" s="158"/>
      <c r="AL827" s="158"/>
      <c r="AM827" s="158"/>
      <c r="AN827" s="158"/>
      <c r="AO827" s="158"/>
      <c r="AP827" s="23"/>
      <c r="AQ827" s="23"/>
      <c r="AR827" s="23"/>
      <c r="AS827" s="24">
        <v>1</v>
      </c>
      <c r="AT827" s="58" t="s">
        <v>646</v>
      </c>
      <c r="AU827" s="104" t="s">
        <v>1970</v>
      </c>
      <c r="AV827" s="23"/>
      <c r="AW827" s="23"/>
      <c r="AX827" s="23"/>
      <c r="AY827" s="158">
        <v>1</v>
      </c>
      <c r="AZ827" s="158"/>
      <c r="BA827" s="23"/>
      <c r="BB827" s="158">
        <v>1</v>
      </c>
      <c r="BC827" s="223"/>
      <c r="BD827" s="271">
        <v>2019</v>
      </c>
      <c r="BE827" s="271">
        <v>2019</v>
      </c>
      <c r="BF827" s="271"/>
    </row>
    <row r="828" spans="1:58" s="204" customFormat="1" ht="18" customHeight="1">
      <c r="A828" s="160" t="s">
        <v>1</v>
      </c>
      <c r="B828" s="58" t="s">
        <v>320</v>
      </c>
      <c r="C828" s="65" t="s">
        <v>389</v>
      </c>
      <c r="D828" s="33" t="s">
        <v>387</v>
      </c>
      <c r="E828" s="33"/>
      <c r="F828" s="33"/>
      <c r="G828" s="33"/>
      <c r="H828" s="30" t="s">
        <v>636</v>
      </c>
      <c r="I828" s="228" t="s">
        <v>1514</v>
      </c>
      <c r="J828" s="215" t="s">
        <v>1515</v>
      </c>
      <c r="K828" s="23"/>
      <c r="L828" s="23"/>
      <c r="M828" s="23">
        <v>1</v>
      </c>
      <c r="N828" s="23">
        <v>1</v>
      </c>
      <c r="O828" s="23"/>
      <c r="P828" s="23">
        <v>41757702</v>
      </c>
      <c r="Q828" s="23"/>
      <c r="R828" s="23"/>
      <c r="S828" s="23"/>
      <c r="T828" s="586"/>
      <c r="U828" s="23"/>
      <c r="V828" s="311"/>
      <c r="W828" s="311"/>
      <c r="X828" s="311"/>
      <c r="Y828" s="94"/>
      <c r="Z828" s="223"/>
      <c r="AA828" s="223"/>
      <c r="AB828" s="223"/>
      <c r="AC828" s="223"/>
      <c r="AD828" s="158"/>
      <c r="AE828" s="158">
        <f t="shared" si="149"/>
        <v>41757702</v>
      </c>
      <c r="AF828" s="158"/>
      <c r="AG828" s="94">
        <v>0</v>
      </c>
      <c r="AH828" s="94"/>
      <c r="AI828" s="94"/>
      <c r="AJ828" s="158">
        <f t="shared" si="150"/>
        <v>41757702</v>
      </c>
      <c r="AK828" s="158">
        <v>877</v>
      </c>
      <c r="AL828" s="158">
        <v>10</v>
      </c>
      <c r="AM828" s="158">
        <v>1</v>
      </c>
      <c r="AN828" s="158"/>
      <c r="AO828" s="23"/>
      <c r="AP828" s="23"/>
      <c r="AQ828" s="23"/>
      <c r="AR828" s="23"/>
      <c r="AS828" s="24">
        <v>0</v>
      </c>
      <c r="AT828" s="58" t="s">
        <v>521</v>
      </c>
      <c r="AU828" s="386"/>
      <c r="AV828" s="23"/>
      <c r="AW828" s="23"/>
      <c r="AX828" s="23"/>
      <c r="AY828" s="23"/>
      <c r="AZ828" s="23"/>
      <c r="BA828" s="23"/>
      <c r="BB828" s="223"/>
      <c r="BC828" s="223"/>
      <c r="BD828" s="271"/>
      <c r="BE828" s="271">
        <v>2019</v>
      </c>
      <c r="BF828" s="271">
        <v>2020</v>
      </c>
    </row>
    <row r="829" spans="1:58" ht="18" hidden="1" customHeight="1">
      <c r="A829" s="160" t="s">
        <v>1</v>
      </c>
      <c r="B829" s="58" t="s">
        <v>320</v>
      </c>
      <c r="C829" s="65" t="s">
        <v>390</v>
      </c>
      <c r="D829" s="33" t="s">
        <v>387</v>
      </c>
      <c r="E829" s="33"/>
      <c r="F829" s="33"/>
      <c r="G829" s="33"/>
      <c r="H829" s="30" t="s">
        <v>636</v>
      </c>
      <c r="I829" s="228" t="s">
        <v>1514</v>
      </c>
      <c r="J829" s="215" t="s">
        <v>1515</v>
      </c>
      <c r="K829" s="23"/>
      <c r="L829" s="23">
        <v>1</v>
      </c>
      <c r="M829" s="23"/>
      <c r="N829" s="23"/>
      <c r="O829" s="23"/>
      <c r="P829" s="23">
        <v>46666623</v>
      </c>
      <c r="Q829" s="23"/>
      <c r="R829" s="23"/>
      <c r="S829" s="23"/>
      <c r="T829" s="586">
        <v>20999980</v>
      </c>
      <c r="U829" s="23"/>
      <c r="V829" s="311"/>
      <c r="W829" s="311"/>
      <c r="X829" s="311"/>
      <c r="Y829" s="94">
        <v>25666643</v>
      </c>
      <c r="Z829" s="23"/>
      <c r="AA829" s="265"/>
      <c r="AB829" s="265"/>
      <c r="AC829" s="265"/>
      <c r="AD829" s="158"/>
      <c r="AE829" s="158">
        <f t="shared" si="149"/>
        <v>0</v>
      </c>
      <c r="AF829" s="158"/>
      <c r="AG829" s="94">
        <v>0</v>
      </c>
      <c r="AH829" s="94"/>
      <c r="AI829" s="94"/>
      <c r="AJ829" s="158">
        <f t="shared" si="150"/>
        <v>0</v>
      </c>
      <c r="AK829" s="158"/>
      <c r="AL829" s="158"/>
      <c r="AM829" s="158"/>
      <c r="AN829" s="158"/>
      <c r="AO829" s="23"/>
      <c r="AP829" s="23"/>
      <c r="AQ829" s="23"/>
      <c r="AR829" s="23"/>
      <c r="AS829" s="24">
        <v>1</v>
      </c>
      <c r="AT829" s="58" t="s">
        <v>646</v>
      </c>
      <c r="AU829" s="388" t="s">
        <v>1859</v>
      </c>
      <c r="AV829" s="23"/>
      <c r="AW829" s="23"/>
      <c r="AX829" s="23"/>
      <c r="AY829" s="23">
        <v>1</v>
      </c>
      <c r="AZ829" s="23"/>
      <c r="BA829" s="23"/>
      <c r="BB829" s="223">
        <v>1</v>
      </c>
      <c r="BC829" s="223"/>
      <c r="BD829" s="270">
        <v>2019</v>
      </c>
      <c r="BE829" s="270">
        <v>2019</v>
      </c>
      <c r="BF829" s="271"/>
    </row>
    <row r="830" spans="1:58" ht="15" hidden="1" customHeight="1">
      <c r="A830" s="160" t="s">
        <v>1</v>
      </c>
      <c r="B830" s="58" t="s">
        <v>320</v>
      </c>
      <c r="C830" s="65" t="s">
        <v>391</v>
      </c>
      <c r="D830" s="33" t="s">
        <v>387</v>
      </c>
      <c r="E830" s="33"/>
      <c r="F830" s="33"/>
      <c r="G830" s="33"/>
      <c r="H830" s="30" t="s">
        <v>636</v>
      </c>
      <c r="I830" s="30"/>
      <c r="J830" s="212"/>
      <c r="K830" s="23"/>
      <c r="L830" s="23"/>
      <c r="M830" s="23"/>
      <c r="N830" s="23"/>
      <c r="O830" s="23"/>
      <c r="P830" s="23"/>
      <c r="Q830" s="23"/>
      <c r="R830" s="23"/>
      <c r="S830" s="23"/>
      <c r="T830" s="586"/>
      <c r="U830" s="23"/>
      <c r="V830" s="311"/>
      <c r="W830" s="311"/>
      <c r="X830" s="311"/>
      <c r="Y830" s="94"/>
      <c r="Z830" s="23"/>
      <c r="AA830" s="23"/>
      <c r="AB830" s="23"/>
      <c r="AC830" s="23"/>
      <c r="AD830" s="158"/>
      <c r="AE830" s="158"/>
      <c r="AF830" s="158"/>
      <c r="AG830" s="158"/>
      <c r="AH830" s="158"/>
      <c r="AI830" s="158"/>
      <c r="AJ830" s="158"/>
      <c r="AK830" s="158"/>
      <c r="AL830" s="158"/>
      <c r="AM830" s="158"/>
      <c r="AN830" s="158"/>
      <c r="AO830" s="23"/>
      <c r="AP830" s="23"/>
      <c r="AQ830" s="23"/>
      <c r="AR830" s="23"/>
      <c r="AS830" s="24">
        <v>1</v>
      </c>
      <c r="AT830" s="58" t="s">
        <v>646</v>
      </c>
      <c r="AU830" s="105"/>
      <c r="AV830" s="23"/>
      <c r="AW830" s="23"/>
      <c r="AX830" s="23">
        <v>1</v>
      </c>
      <c r="AY830" s="23"/>
      <c r="AZ830" s="23"/>
      <c r="BA830" s="23">
        <v>1</v>
      </c>
      <c r="BB830" s="223"/>
      <c r="BC830" s="223"/>
      <c r="BD830" s="270">
        <v>2018</v>
      </c>
      <c r="BE830" s="270"/>
      <c r="BF830" s="418"/>
    </row>
    <row r="831" spans="1:58" ht="18" hidden="1" customHeight="1">
      <c r="A831" s="230" t="s">
        <v>1</v>
      </c>
      <c r="B831" s="58" t="s">
        <v>320</v>
      </c>
      <c r="C831" s="240" t="s">
        <v>392</v>
      </c>
      <c r="D831" s="33" t="s">
        <v>387</v>
      </c>
      <c r="E831" s="33"/>
      <c r="F831" s="33"/>
      <c r="G831" s="33"/>
      <c r="H831" s="30" t="s">
        <v>636</v>
      </c>
      <c r="I831" s="228" t="s">
        <v>1514</v>
      </c>
      <c r="J831" s="215" t="s">
        <v>1515</v>
      </c>
      <c r="K831" s="23"/>
      <c r="L831" s="23"/>
      <c r="M831" s="23">
        <v>1</v>
      </c>
      <c r="N831" s="23"/>
      <c r="O831" s="23"/>
      <c r="P831" s="23">
        <v>52095011</v>
      </c>
      <c r="Q831" s="23"/>
      <c r="R831" s="23"/>
      <c r="S831" s="23"/>
      <c r="T831" s="586">
        <v>23436823</v>
      </c>
      <c r="U831" s="23"/>
      <c r="V831" s="311"/>
      <c r="W831" s="311"/>
      <c r="X831" s="311"/>
      <c r="Y831" s="94">
        <v>28658188</v>
      </c>
      <c r="Z831" s="23"/>
      <c r="AA831" s="57"/>
      <c r="AB831" s="57"/>
      <c r="AC831" s="57"/>
      <c r="AD831" s="158"/>
      <c r="AE831" s="158">
        <f>P831-T831-Y831</f>
        <v>0</v>
      </c>
      <c r="AF831" s="158"/>
      <c r="AG831" s="94">
        <v>0</v>
      </c>
      <c r="AH831" s="94"/>
      <c r="AI831" s="94"/>
      <c r="AJ831" s="158">
        <f t="shared" ref="AJ831:AJ832" si="151">AE831+AG831</f>
        <v>0</v>
      </c>
      <c r="AK831" s="158"/>
      <c r="AL831" s="158"/>
      <c r="AM831" s="158"/>
      <c r="AN831" s="158"/>
      <c r="AO831" s="23"/>
      <c r="AP831" s="23"/>
      <c r="AQ831" s="23"/>
      <c r="AR831" s="23"/>
      <c r="AS831" s="24">
        <v>1</v>
      </c>
      <c r="AT831" s="58" t="s">
        <v>646</v>
      </c>
      <c r="AU831" s="388" t="s">
        <v>1860</v>
      </c>
      <c r="AV831" s="23"/>
      <c r="AW831" s="23"/>
      <c r="AX831" s="23"/>
      <c r="AY831" s="23">
        <v>1</v>
      </c>
      <c r="AZ831" s="23"/>
      <c r="BA831" s="23"/>
      <c r="BB831" s="223">
        <v>1</v>
      </c>
      <c r="BC831" s="223"/>
      <c r="BD831" s="270">
        <v>2019</v>
      </c>
      <c r="BE831" s="270">
        <v>2019</v>
      </c>
      <c r="BF831" s="271"/>
    </row>
    <row r="832" spans="1:58" s="204" customFormat="1" ht="18" customHeight="1">
      <c r="A832" s="160" t="s">
        <v>1</v>
      </c>
      <c r="B832" s="58" t="s">
        <v>320</v>
      </c>
      <c r="C832" s="65" t="s">
        <v>393</v>
      </c>
      <c r="D832" s="33" t="s">
        <v>387</v>
      </c>
      <c r="E832" s="33"/>
      <c r="F832" s="33"/>
      <c r="G832" s="33"/>
      <c r="H832" s="30" t="s">
        <v>636</v>
      </c>
      <c r="I832" s="228" t="s">
        <v>1770</v>
      </c>
      <c r="J832" s="215" t="s">
        <v>1771</v>
      </c>
      <c r="K832" s="23"/>
      <c r="L832" s="23"/>
      <c r="M832" s="23">
        <v>1</v>
      </c>
      <c r="N832" s="23">
        <v>1</v>
      </c>
      <c r="O832" s="23"/>
      <c r="P832" s="23">
        <f>55860000+7741392</f>
        <v>63601392</v>
      </c>
      <c r="Q832" s="1"/>
      <c r="R832" s="23"/>
      <c r="S832" s="23"/>
      <c r="T832" s="586">
        <v>28620626</v>
      </c>
      <c r="U832" s="23">
        <v>10</v>
      </c>
      <c r="V832" s="311">
        <v>43497</v>
      </c>
      <c r="W832" s="311"/>
      <c r="X832" s="311"/>
      <c r="Y832" s="94">
        <f>27239374+7741392</f>
        <v>34980766</v>
      </c>
      <c r="Z832" s="223">
        <v>20</v>
      </c>
      <c r="AA832" s="311">
        <v>43770</v>
      </c>
      <c r="AB832" s="577"/>
      <c r="AC832" s="223"/>
      <c r="AD832" s="158"/>
      <c r="AE832" s="158">
        <f>P832-T832-Y832</f>
        <v>0</v>
      </c>
      <c r="AF832" s="158"/>
      <c r="AG832" s="94">
        <v>0</v>
      </c>
      <c r="AH832" s="94"/>
      <c r="AI832" s="94"/>
      <c r="AJ832" s="158">
        <f t="shared" si="151"/>
        <v>0</v>
      </c>
      <c r="AK832" s="158">
        <v>877</v>
      </c>
      <c r="AL832" s="158">
        <v>20</v>
      </c>
      <c r="AM832" s="158"/>
      <c r="AN832" s="158">
        <v>1</v>
      </c>
      <c r="AO832" s="23"/>
      <c r="AP832" s="23"/>
      <c r="AQ832" s="23"/>
      <c r="AR832" s="23"/>
      <c r="AS832" s="24">
        <v>0</v>
      </c>
      <c r="AT832" s="58" t="s">
        <v>38</v>
      </c>
      <c r="AU832" s="386" t="s">
        <v>1872</v>
      </c>
      <c r="AV832" s="23"/>
      <c r="AW832" s="23"/>
      <c r="AX832" s="23"/>
      <c r="AY832" s="23"/>
      <c r="AZ832" s="23"/>
      <c r="BA832" s="23"/>
      <c r="BB832" s="223"/>
      <c r="BC832" s="223"/>
      <c r="BD832" s="271"/>
      <c r="BE832" s="271">
        <v>2019</v>
      </c>
      <c r="BF832" s="271">
        <v>2020</v>
      </c>
    </row>
    <row r="833" spans="1:58" ht="19.5" hidden="1" customHeight="1">
      <c r="A833" s="248" t="s">
        <v>1</v>
      </c>
      <c r="B833" s="58" t="s">
        <v>320</v>
      </c>
      <c r="C833" s="334" t="s">
        <v>394</v>
      </c>
      <c r="D833" s="33" t="s">
        <v>438</v>
      </c>
      <c r="E833" s="33"/>
      <c r="F833" s="33"/>
      <c r="G833" s="33"/>
      <c r="H833" s="30" t="s">
        <v>636</v>
      </c>
      <c r="I833" s="30"/>
      <c r="J833" s="212"/>
      <c r="K833" s="23"/>
      <c r="L833" s="23"/>
      <c r="M833" s="23"/>
      <c r="N833" s="23"/>
      <c r="O833" s="23"/>
      <c r="P833" s="23"/>
      <c r="Q833" s="23"/>
      <c r="R833" s="23"/>
      <c r="S833" s="23"/>
      <c r="T833" s="586"/>
      <c r="U833" s="23"/>
      <c r="V833" s="311"/>
      <c r="W833" s="311"/>
      <c r="X833" s="311"/>
      <c r="Y833" s="94"/>
      <c r="Z833" s="23"/>
      <c r="AA833" s="265"/>
      <c r="AB833" s="265"/>
      <c r="AC833" s="265"/>
      <c r="AD833" s="158"/>
      <c r="AE833" s="158"/>
      <c r="AF833" s="158"/>
      <c r="AG833" s="158"/>
      <c r="AH833" s="158"/>
      <c r="AI833" s="158"/>
      <c r="AJ833" s="158"/>
      <c r="AK833" s="158"/>
      <c r="AL833" s="158"/>
      <c r="AM833" s="158"/>
      <c r="AN833" s="158"/>
      <c r="AO833" s="23"/>
      <c r="AP833" s="23"/>
      <c r="AQ833" s="23"/>
      <c r="AR833" s="23"/>
      <c r="AS833" s="24">
        <v>1</v>
      </c>
      <c r="AT833" s="58" t="s">
        <v>646</v>
      </c>
      <c r="AU833" s="105"/>
      <c r="AV833" s="23"/>
      <c r="AW833" s="23"/>
      <c r="AX833" s="23">
        <v>1</v>
      </c>
      <c r="AY833" s="23"/>
      <c r="AZ833" s="23"/>
      <c r="BA833" s="23">
        <v>1</v>
      </c>
      <c r="BB833" s="223"/>
      <c r="BC833" s="223"/>
      <c r="BD833" s="270">
        <v>2018</v>
      </c>
      <c r="BE833" s="270"/>
      <c r="BF833" s="418"/>
    </row>
    <row r="834" spans="1:58" ht="18" hidden="1" customHeight="1">
      <c r="A834" s="160" t="s">
        <v>1</v>
      </c>
      <c r="B834" s="58" t="s">
        <v>320</v>
      </c>
      <c r="C834" s="65" t="s">
        <v>395</v>
      </c>
      <c r="D834" s="33" t="s">
        <v>438</v>
      </c>
      <c r="E834" s="33"/>
      <c r="F834" s="33"/>
      <c r="G834" s="33"/>
      <c r="H834" s="30" t="s">
        <v>636</v>
      </c>
      <c r="I834" s="228" t="s">
        <v>1695</v>
      </c>
      <c r="J834" s="215" t="s">
        <v>1658</v>
      </c>
      <c r="K834" s="23"/>
      <c r="L834" s="23">
        <v>1</v>
      </c>
      <c r="M834" s="23"/>
      <c r="N834" s="23"/>
      <c r="O834" s="23"/>
      <c r="P834" s="23">
        <f>61288248+7292852</f>
        <v>68581100</v>
      </c>
      <c r="Q834" s="23"/>
      <c r="R834" s="23"/>
      <c r="S834" s="23"/>
      <c r="T834" s="586">
        <f>61288248+7292852</f>
        <v>68581100</v>
      </c>
      <c r="U834" s="158" t="s">
        <v>1657</v>
      </c>
      <c r="V834" s="311">
        <v>43586</v>
      </c>
      <c r="W834" s="311"/>
      <c r="X834" s="311"/>
      <c r="Y834" s="94"/>
      <c r="Z834" s="23"/>
      <c r="AA834" s="23"/>
      <c r="AB834" s="23"/>
      <c r="AC834" s="23"/>
      <c r="AD834" s="158"/>
      <c r="AE834" s="158">
        <f>P834-T834-Y834</f>
        <v>0</v>
      </c>
      <c r="AF834" s="158"/>
      <c r="AG834" s="94">
        <v>0</v>
      </c>
      <c r="AH834" s="94"/>
      <c r="AI834" s="94"/>
      <c r="AJ834" s="158">
        <f t="shared" ref="AJ834:AJ837" si="152">AE834+AG834</f>
        <v>0</v>
      </c>
      <c r="AK834" s="158">
        <v>877</v>
      </c>
      <c r="AL834" s="158">
        <v>10</v>
      </c>
      <c r="AM834" s="158"/>
      <c r="AN834" s="158"/>
      <c r="AO834" s="23"/>
      <c r="AP834" s="23"/>
      <c r="AQ834" s="23"/>
      <c r="AR834" s="23"/>
      <c r="AS834" s="24">
        <v>1</v>
      </c>
      <c r="AT834" s="58" t="s">
        <v>646</v>
      </c>
      <c r="AU834" s="386" t="s">
        <v>1404</v>
      </c>
      <c r="AV834" s="23"/>
      <c r="AW834" s="23"/>
      <c r="AX834" s="23"/>
      <c r="AY834" s="23">
        <v>1</v>
      </c>
      <c r="AZ834" s="23"/>
      <c r="BA834" s="23"/>
      <c r="BB834" s="223">
        <v>1</v>
      </c>
      <c r="BC834" s="223"/>
      <c r="BD834" s="270">
        <v>2019</v>
      </c>
      <c r="BE834" s="270">
        <v>2019</v>
      </c>
      <c r="BF834" s="271"/>
    </row>
    <row r="835" spans="1:58" s="204" customFormat="1" ht="18" customHeight="1">
      <c r="A835" s="160" t="s">
        <v>1</v>
      </c>
      <c r="B835" s="58" t="s">
        <v>320</v>
      </c>
      <c r="C835" s="65" t="s">
        <v>396</v>
      </c>
      <c r="D835" s="33" t="s">
        <v>438</v>
      </c>
      <c r="E835" s="33"/>
      <c r="F835" s="33"/>
      <c r="G835" s="33"/>
      <c r="H835" s="30" t="s">
        <v>636</v>
      </c>
      <c r="I835" s="228" t="s">
        <v>1517</v>
      </c>
      <c r="J835" s="215" t="s">
        <v>1516</v>
      </c>
      <c r="K835" s="23"/>
      <c r="L835" s="23"/>
      <c r="M835" s="23">
        <v>1</v>
      </c>
      <c r="N835" s="23">
        <v>1</v>
      </c>
      <c r="O835" s="23"/>
      <c r="P835" s="23">
        <v>61288248</v>
      </c>
      <c r="Q835" s="23"/>
      <c r="R835" s="23"/>
      <c r="S835" s="23"/>
      <c r="T835" s="586"/>
      <c r="U835" s="23"/>
      <c r="V835" s="311"/>
      <c r="W835" s="311"/>
      <c r="X835" s="311"/>
      <c r="Y835" s="94"/>
      <c r="Z835" s="223"/>
      <c r="AA835" s="223"/>
      <c r="AB835" s="223"/>
      <c r="AC835" s="223"/>
      <c r="AD835" s="158"/>
      <c r="AE835" s="158">
        <f>P835-T835-Y835</f>
        <v>61288248</v>
      </c>
      <c r="AF835" s="158"/>
      <c r="AG835" s="94">
        <v>0</v>
      </c>
      <c r="AH835" s="94"/>
      <c r="AI835" s="94"/>
      <c r="AJ835" s="158">
        <f t="shared" si="152"/>
        <v>61288248</v>
      </c>
      <c r="AK835" s="158">
        <v>877</v>
      </c>
      <c r="AL835" s="158">
        <v>10</v>
      </c>
      <c r="AM835" s="158">
        <v>1</v>
      </c>
      <c r="AN835" s="158"/>
      <c r="AO835" s="23"/>
      <c r="AP835" s="23"/>
      <c r="AQ835" s="23"/>
      <c r="AR835" s="23"/>
      <c r="AS835" s="24">
        <v>0</v>
      </c>
      <c r="AT835" s="58" t="s">
        <v>521</v>
      </c>
      <c r="AU835" s="386"/>
      <c r="AV835" s="23"/>
      <c r="AW835" s="23"/>
      <c r="AX835" s="23"/>
      <c r="AY835" s="23"/>
      <c r="AZ835" s="23"/>
      <c r="BA835" s="23"/>
      <c r="BB835" s="223"/>
      <c r="BC835" s="223"/>
      <c r="BD835" s="271"/>
      <c r="BE835" s="271">
        <v>2019</v>
      </c>
      <c r="BF835" s="271">
        <v>2020</v>
      </c>
    </row>
    <row r="836" spans="1:58" s="204" customFormat="1" ht="18" customHeight="1">
      <c r="A836" s="160" t="s">
        <v>1</v>
      </c>
      <c r="B836" s="58" t="s">
        <v>320</v>
      </c>
      <c r="C836" s="65" t="s">
        <v>397</v>
      </c>
      <c r="D836" s="33" t="s">
        <v>438</v>
      </c>
      <c r="E836" s="33"/>
      <c r="F836" s="33"/>
      <c r="G836" s="33"/>
      <c r="H836" s="30" t="s">
        <v>636</v>
      </c>
      <c r="I836" s="228" t="s">
        <v>1517</v>
      </c>
      <c r="J836" s="215" t="s">
        <v>1516</v>
      </c>
      <c r="K836" s="23"/>
      <c r="L836" s="23"/>
      <c r="M836" s="23">
        <v>1</v>
      </c>
      <c r="N836" s="23">
        <v>1</v>
      </c>
      <c r="O836" s="23"/>
      <c r="P836" s="23">
        <v>61288248</v>
      </c>
      <c r="Q836" s="23"/>
      <c r="R836" s="23"/>
      <c r="S836" s="23"/>
      <c r="T836" s="586"/>
      <c r="U836" s="23"/>
      <c r="V836" s="311"/>
      <c r="W836" s="311"/>
      <c r="X836" s="311"/>
      <c r="Y836" s="94"/>
      <c r="Z836" s="223"/>
      <c r="AA836" s="223"/>
      <c r="AB836" s="223"/>
      <c r="AC836" s="223"/>
      <c r="AD836" s="158"/>
      <c r="AE836" s="158">
        <f>P836-T836-Y836</f>
        <v>61288248</v>
      </c>
      <c r="AF836" s="158"/>
      <c r="AG836" s="94">
        <v>0</v>
      </c>
      <c r="AH836" s="94"/>
      <c r="AI836" s="94"/>
      <c r="AJ836" s="158">
        <f t="shared" si="152"/>
        <v>61288248</v>
      </c>
      <c r="AK836" s="158">
        <v>877</v>
      </c>
      <c r="AL836" s="158">
        <v>10</v>
      </c>
      <c r="AM836" s="158">
        <v>1</v>
      </c>
      <c r="AN836" s="158"/>
      <c r="AO836" s="23"/>
      <c r="AP836" s="23"/>
      <c r="AQ836" s="23"/>
      <c r="AR836" s="23"/>
      <c r="AS836" s="24">
        <v>0</v>
      </c>
      <c r="AT836" s="58" t="s">
        <v>521</v>
      </c>
      <c r="AU836" s="386"/>
      <c r="AV836" s="23"/>
      <c r="AW836" s="23"/>
      <c r="AX836" s="23"/>
      <c r="AY836" s="23"/>
      <c r="AZ836" s="23"/>
      <c r="BA836" s="23"/>
      <c r="BB836" s="223"/>
      <c r="BC836" s="223"/>
      <c r="BD836" s="271"/>
      <c r="BE836" s="271">
        <v>2019</v>
      </c>
      <c r="BF836" s="271">
        <v>2020</v>
      </c>
    </row>
    <row r="837" spans="1:58" s="204" customFormat="1" ht="18" customHeight="1">
      <c r="A837" s="160" t="s">
        <v>1</v>
      </c>
      <c r="B837" s="58" t="s">
        <v>320</v>
      </c>
      <c r="C837" s="65" t="s">
        <v>398</v>
      </c>
      <c r="D837" s="33" t="s">
        <v>438</v>
      </c>
      <c r="E837" s="33"/>
      <c r="F837" s="33"/>
      <c r="G837" s="33"/>
      <c r="H837" s="30" t="s">
        <v>636</v>
      </c>
      <c r="I837" s="228" t="s">
        <v>1517</v>
      </c>
      <c r="J837" s="215" t="s">
        <v>1516</v>
      </c>
      <c r="K837" s="23"/>
      <c r="L837" s="23"/>
      <c r="M837" s="23">
        <v>1</v>
      </c>
      <c r="N837" s="23"/>
      <c r="O837" s="23">
        <v>1</v>
      </c>
      <c r="P837" s="23">
        <v>61288248</v>
      </c>
      <c r="Q837" s="23"/>
      <c r="R837" s="23"/>
      <c r="S837" s="23"/>
      <c r="T837" s="586"/>
      <c r="U837" s="23"/>
      <c r="V837" s="311"/>
      <c r="W837" s="311"/>
      <c r="X837" s="311"/>
      <c r="Y837" s="94"/>
      <c r="Z837" s="223"/>
      <c r="AA837" s="223"/>
      <c r="AB837" s="223"/>
      <c r="AC837" s="223"/>
      <c r="AD837" s="158"/>
      <c r="AE837" s="158">
        <f>P837-T837-Y837</f>
        <v>61288248</v>
      </c>
      <c r="AF837" s="158"/>
      <c r="AG837" s="94">
        <v>0</v>
      </c>
      <c r="AH837" s="94"/>
      <c r="AI837" s="94"/>
      <c r="AJ837" s="158">
        <f t="shared" si="152"/>
        <v>61288248</v>
      </c>
      <c r="AK837" s="158">
        <v>877</v>
      </c>
      <c r="AL837" s="158">
        <v>10</v>
      </c>
      <c r="AM837" s="158">
        <v>1</v>
      </c>
      <c r="AN837" s="158"/>
      <c r="AO837" s="23"/>
      <c r="AP837" s="23"/>
      <c r="AQ837" s="23"/>
      <c r="AR837" s="23"/>
      <c r="AS837" s="24">
        <v>0</v>
      </c>
      <c r="AT837" s="58" t="s">
        <v>521</v>
      </c>
      <c r="AU837" s="386"/>
      <c r="AV837" s="23"/>
      <c r="AW837" s="23"/>
      <c r="AX837" s="23"/>
      <c r="AY837" s="23"/>
      <c r="AZ837" s="23"/>
      <c r="BA837" s="23"/>
      <c r="BB837" s="223"/>
      <c r="BC837" s="223"/>
      <c r="BD837" s="271"/>
      <c r="BE837" s="271">
        <v>2019</v>
      </c>
      <c r="BF837" s="271">
        <v>2020</v>
      </c>
    </row>
    <row r="838" spans="1:58" ht="15" hidden="1" customHeight="1">
      <c r="A838" s="248" t="s">
        <v>1</v>
      </c>
      <c r="B838" s="58" t="s">
        <v>320</v>
      </c>
      <c r="C838" s="263" t="s">
        <v>399</v>
      </c>
      <c r="D838" s="33" t="s">
        <v>438</v>
      </c>
      <c r="E838" s="33"/>
      <c r="F838" s="33"/>
      <c r="G838" s="33"/>
      <c r="H838" s="30" t="s">
        <v>636</v>
      </c>
      <c r="I838" s="30"/>
      <c r="J838" s="212"/>
      <c r="K838" s="23"/>
      <c r="L838" s="23"/>
      <c r="M838" s="23"/>
      <c r="N838" s="23"/>
      <c r="O838" s="23"/>
      <c r="P838" s="23"/>
      <c r="Q838" s="23"/>
      <c r="R838" s="23"/>
      <c r="S838" s="23"/>
      <c r="T838" s="586"/>
      <c r="U838" s="23"/>
      <c r="V838" s="311"/>
      <c r="W838" s="311"/>
      <c r="X838" s="311"/>
      <c r="Y838" s="94"/>
      <c r="Z838" s="23"/>
      <c r="AA838" s="265"/>
      <c r="AB838" s="265"/>
      <c r="AC838" s="265"/>
      <c r="AD838" s="158"/>
      <c r="AE838" s="158"/>
      <c r="AF838" s="158"/>
      <c r="AG838" s="158"/>
      <c r="AH838" s="158"/>
      <c r="AI838" s="158"/>
      <c r="AJ838" s="158"/>
      <c r="AK838" s="158"/>
      <c r="AL838" s="158"/>
      <c r="AM838" s="158"/>
      <c r="AN838" s="158"/>
      <c r="AO838" s="23"/>
      <c r="AP838" s="23"/>
      <c r="AQ838" s="23"/>
      <c r="AR838" s="23"/>
      <c r="AS838" s="24">
        <v>1</v>
      </c>
      <c r="AT838" s="58" t="s">
        <v>646</v>
      </c>
      <c r="AU838" s="105"/>
      <c r="AV838" s="23"/>
      <c r="AW838" s="23"/>
      <c r="AX838" s="23">
        <v>1</v>
      </c>
      <c r="AY838" s="23"/>
      <c r="AZ838" s="23"/>
      <c r="BA838" s="23">
        <v>1</v>
      </c>
      <c r="BB838" s="223"/>
      <c r="BC838" s="223"/>
      <c r="BD838" s="270">
        <v>2018</v>
      </c>
      <c r="BE838" s="270"/>
      <c r="BF838" s="418"/>
    </row>
    <row r="839" spans="1:58" ht="18" hidden="1" customHeight="1">
      <c r="A839" s="230" t="s">
        <v>1</v>
      </c>
      <c r="B839" s="58" t="s">
        <v>320</v>
      </c>
      <c r="C839" s="240" t="s">
        <v>400</v>
      </c>
      <c r="D839" s="33" t="s">
        <v>438</v>
      </c>
      <c r="E839" s="33"/>
      <c r="F839" s="33"/>
      <c r="G839" s="33"/>
      <c r="H839" s="30" t="s">
        <v>636</v>
      </c>
      <c r="I839" s="228" t="s">
        <v>1479</v>
      </c>
      <c r="J839" s="215" t="s">
        <v>1478</v>
      </c>
      <c r="K839" s="23"/>
      <c r="L839" s="23">
        <v>1</v>
      </c>
      <c r="M839" s="23"/>
      <c r="N839" s="23"/>
      <c r="O839" s="23"/>
      <c r="P839" s="23">
        <f>69314090+10963266</f>
        <v>80277356</v>
      </c>
      <c r="Q839" s="274"/>
      <c r="R839" s="23"/>
      <c r="S839" s="23"/>
      <c r="T839" s="586">
        <f>69314090+10963266</f>
        <v>80277356</v>
      </c>
      <c r="U839" s="23" t="s">
        <v>1657</v>
      </c>
      <c r="V839" s="311">
        <v>43617</v>
      </c>
      <c r="W839" s="311"/>
      <c r="X839" s="311"/>
      <c r="Y839" s="94"/>
      <c r="Z839" s="23"/>
      <c r="AA839" s="57"/>
      <c r="AB839" s="57"/>
      <c r="AC839" s="57"/>
      <c r="AD839" s="158"/>
      <c r="AE839" s="158">
        <f>P839-T839-Y839</f>
        <v>0</v>
      </c>
      <c r="AF839" s="158"/>
      <c r="AG839" s="94">
        <v>0</v>
      </c>
      <c r="AH839" s="94"/>
      <c r="AI839" s="94"/>
      <c r="AJ839" s="158">
        <f t="shared" ref="AJ839:AJ840" si="153">AE839+AG839</f>
        <v>0</v>
      </c>
      <c r="AK839" s="158">
        <v>877</v>
      </c>
      <c r="AL839" s="158" t="s">
        <v>1657</v>
      </c>
      <c r="AM839" s="158"/>
      <c r="AN839" s="158"/>
      <c r="AO839" s="23"/>
      <c r="AP839" s="23"/>
      <c r="AQ839" s="23"/>
      <c r="AR839" s="23"/>
      <c r="AS839" s="24">
        <v>1</v>
      </c>
      <c r="AT839" s="58" t="s">
        <v>646</v>
      </c>
      <c r="AU839" s="388" t="s">
        <v>1711</v>
      </c>
      <c r="AV839" s="23"/>
      <c r="AW839" s="23"/>
      <c r="AX839" s="23"/>
      <c r="AY839" s="23">
        <v>1</v>
      </c>
      <c r="AZ839" s="23"/>
      <c r="BA839" s="23"/>
      <c r="BB839" s="23">
        <v>1</v>
      </c>
      <c r="BC839" s="23"/>
      <c r="BD839" s="270">
        <v>2019</v>
      </c>
      <c r="BE839" s="270">
        <v>2019</v>
      </c>
      <c r="BF839" s="271"/>
    </row>
    <row r="840" spans="1:58" ht="18" hidden="1" customHeight="1">
      <c r="A840" s="160" t="s">
        <v>1</v>
      </c>
      <c r="B840" s="58" t="s">
        <v>320</v>
      </c>
      <c r="C840" s="65" t="s">
        <v>401</v>
      </c>
      <c r="D840" s="33" t="s">
        <v>438</v>
      </c>
      <c r="E840" s="33"/>
      <c r="F840" s="33"/>
      <c r="G840" s="33"/>
      <c r="H840" s="30" t="s">
        <v>636</v>
      </c>
      <c r="I840" s="228" t="s">
        <v>1517</v>
      </c>
      <c r="J840" s="215" t="s">
        <v>1516</v>
      </c>
      <c r="K840" s="23"/>
      <c r="L840" s="23">
        <v>1</v>
      </c>
      <c r="M840" s="23"/>
      <c r="N840" s="23"/>
      <c r="O840" s="23"/>
      <c r="P840" s="23">
        <f>69314090+8248584</f>
        <v>77562674</v>
      </c>
      <c r="Q840" s="23"/>
      <c r="R840" s="23"/>
      <c r="S840" s="23"/>
      <c r="T840" s="586">
        <f>69314090+8248584</f>
        <v>77562674</v>
      </c>
      <c r="U840" s="23">
        <v>20</v>
      </c>
      <c r="V840" s="311">
        <v>43709</v>
      </c>
      <c r="W840" s="311"/>
      <c r="X840" s="311"/>
      <c r="Y840" s="94"/>
      <c r="Z840" s="223"/>
      <c r="AA840" s="223"/>
      <c r="AB840" s="223"/>
      <c r="AC840" s="223"/>
      <c r="AD840" s="158"/>
      <c r="AE840" s="158">
        <f>P840-T840-Y840</f>
        <v>0</v>
      </c>
      <c r="AF840" s="158"/>
      <c r="AG840" s="94">
        <v>0</v>
      </c>
      <c r="AH840" s="94"/>
      <c r="AI840" s="94"/>
      <c r="AJ840" s="158">
        <f t="shared" si="153"/>
        <v>0</v>
      </c>
      <c r="AK840" s="158">
        <v>877</v>
      </c>
      <c r="AL840" s="158">
        <v>20</v>
      </c>
      <c r="AM840" s="158"/>
      <c r="AN840" s="158"/>
      <c r="AO840" s="23"/>
      <c r="AP840" s="23"/>
      <c r="AQ840" s="23"/>
      <c r="AR840" s="23"/>
      <c r="AS840" s="24">
        <v>1</v>
      </c>
      <c r="AT840" s="58" t="s">
        <v>646</v>
      </c>
      <c r="AU840" s="386" t="s">
        <v>1799</v>
      </c>
      <c r="AV840" s="23"/>
      <c r="AW840" s="23"/>
      <c r="AX840" s="23"/>
      <c r="AY840" s="23">
        <v>1</v>
      </c>
      <c r="AZ840" s="23"/>
      <c r="BA840" s="23"/>
      <c r="BB840" s="223">
        <v>1</v>
      </c>
      <c r="BC840" s="223"/>
      <c r="BD840" s="270">
        <v>2019</v>
      </c>
      <c r="BE840" s="270">
        <v>2019</v>
      </c>
      <c r="BF840" s="271"/>
    </row>
    <row r="841" spans="1:58" ht="15" hidden="1" customHeight="1">
      <c r="A841" s="243" t="s">
        <v>1</v>
      </c>
      <c r="B841" s="58" t="s">
        <v>320</v>
      </c>
      <c r="C841" s="266" t="s">
        <v>402</v>
      </c>
      <c r="D841" s="33" t="s">
        <v>438</v>
      </c>
      <c r="E841" s="33"/>
      <c r="F841" s="33"/>
      <c r="G841" s="33"/>
      <c r="H841" s="30" t="s">
        <v>636</v>
      </c>
      <c r="I841" s="30"/>
      <c r="J841" s="212"/>
      <c r="K841" s="23"/>
      <c r="L841" s="23"/>
      <c r="M841" s="23"/>
      <c r="N841" s="23"/>
      <c r="O841" s="23"/>
      <c r="P841" s="23"/>
      <c r="Q841" s="23"/>
      <c r="R841" s="23"/>
      <c r="S841" s="23"/>
      <c r="T841" s="586"/>
      <c r="U841" s="23"/>
      <c r="V841" s="311"/>
      <c r="W841" s="311"/>
      <c r="X841" s="311"/>
      <c r="Y841" s="94"/>
      <c r="Z841" s="23"/>
      <c r="AA841" s="80"/>
      <c r="AB841" s="80"/>
      <c r="AC841" s="80"/>
      <c r="AD841" s="158"/>
      <c r="AE841" s="158"/>
      <c r="AF841" s="158"/>
      <c r="AG841" s="158"/>
      <c r="AH841" s="158"/>
      <c r="AI841" s="158"/>
      <c r="AJ841" s="158"/>
      <c r="AK841" s="158"/>
      <c r="AL841" s="158"/>
      <c r="AM841" s="158"/>
      <c r="AN841" s="158"/>
      <c r="AO841" s="23"/>
      <c r="AP841" s="23"/>
      <c r="AQ841" s="23"/>
      <c r="AR841" s="23"/>
      <c r="AS841" s="24">
        <v>1</v>
      </c>
      <c r="AT841" s="58" t="s">
        <v>646</v>
      </c>
      <c r="AU841" s="105"/>
      <c r="AV841" s="23"/>
      <c r="AW841" s="23"/>
      <c r="AX841" s="23">
        <v>1</v>
      </c>
      <c r="AY841" s="23"/>
      <c r="AZ841" s="23"/>
      <c r="BA841" s="23">
        <v>1</v>
      </c>
      <c r="BB841" s="223"/>
      <c r="BC841" s="223"/>
      <c r="BD841" s="270">
        <v>2018</v>
      </c>
      <c r="BE841" s="270"/>
      <c r="BF841" s="418"/>
    </row>
    <row r="842" spans="1:58" s="204" customFormat="1" ht="18" customHeight="1">
      <c r="A842" s="160" t="s">
        <v>1</v>
      </c>
      <c r="B842" s="58" t="s">
        <v>320</v>
      </c>
      <c r="C842" s="65" t="s">
        <v>403</v>
      </c>
      <c r="D842" s="33" t="s">
        <v>438</v>
      </c>
      <c r="E842" s="33"/>
      <c r="F842" s="33"/>
      <c r="G842" s="33"/>
      <c r="H842" s="30" t="s">
        <v>636</v>
      </c>
      <c r="I842" s="228" t="s">
        <v>1517</v>
      </c>
      <c r="J842" s="215" t="s">
        <v>1516</v>
      </c>
      <c r="K842" s="23"/>
      <c r="L842" s="23"/>
      <c r="M842" s="23">
        <v>1</v>
      </c>
      <c r="N842" s="23"/>
      <c r="O842" s="23">
        <v>1</v>
      </c>
      <c r="P842" s="23">
        <v>69314090</v>
      </c>
      <c r="Q842" s="23"/>
      <c r="R842" s="23"/>
      <c r="S842" s="23"/>
      <c r="T842" s="586"/>
      <c r="U842" s="23"/>
      <c r="V842" s="311"/>
      <c r="W842" s="311"/>
      <c r="X842" s="311"/>
      <c r="Y842" s="94"/>
      <c r="Z842" s="223"/>
      <c r="AA842" s="223"/>
      <c r="AB842" s="223"/>
      <c r="AC842" s="223"/>
      <c r="AD842" s="158"/>
      <c r="AE842" s="158">
        <f>P842-T842-Y842</f>
        <v>69314090</v>
      </c>
      <c r="AF842" s="158"/>
      <c r="AG842" s="94">
        <v>0</v>
      </c>
      <c r="AH842" s="94"/>
      <c r="AI842" s="94"/>
      <c r="AJ842" s="158">
        <f t="shared" ref="AJ842:AJ844" si="154">AE842+AG842</f>
        <v>69314090</v>
      </c>
      <c r="AK842" s="158">
        <v>877</v>
      </c>
      <c r="AL842" s="158">
        <v>10</v>
      </c>
      <c r="AM842" s="158">
        <v>1</v>
      </c>
      <c r="AN842" s="158"/>
      <c r="AO842" s="23"/>
      <c r="AP842" s="23"/>
      <c r="AQ842" s="23"/>
      <c r="AR842" s="23"/>
      <c r="AS842" s="24">
        <v>0</v>
      </c>
      <c r="AT842" s="58" t="s">
        <v>521</v>
      </c>
      <c r="AU842" s="386"/>
      <c r="AV842" s="23"/>
      <c r="AW842" s="23"/>
      <c r="AX842" s="23"/>
      <c r="AY842" s="23"/>
      <c r="AZ842" s="23"/>
      <c r="BA842" s="23"/>
      <c r="BB842" s="223"/>
      <c r="BC842" s="223"/>
      <c r="BD842" s="271"/>
      <c r="BE842" s="271">
        <v>2019</v>
      </c>
      <c r="BF842" s="271">
        <v>2020</v>
      </c>
    </row>
    <row r="843" spans="1:58" s="204" customFormat="1" ht="18" customHeight="1">
      <c r="A843" s="160" t="s">
        <v>1</v>
      </c>
      <c r="B843" s="58" t="s">
        <v>320</v>
      </c>
      <c r="C843" s="65" t="s">
        <v>404</v>
      </c>
      <c r="D843" s="33" t="s">
        <v>438</v>
      </c>
      <c r="E843" s="33"/>
      <c r="F843" s="33"/>
      <c r="G843" s="33"/>
      <c r="H843" s="30" t="s">
        <v>636</v>
      </c>
      <c r="I843" s="228" t="s">
        <v>1517</v>
      </c>
      <c r="J843" s="215" t="s">
        <v>1516</v>
      </c>
      <c r="K843" s="23"/>
      <c r="L843" s="23"/>
      <c r="M843" s="23">
        <v>1</v>
      </c>
      <c r="N843" s="23"/>
      <c r="O843" s="23">
        <v>1</v>
      </c>
      <c r="P843" s="23">
        <v>69314090</v>
      </c>
      <c r="Q843" s="23"/>
      <c r="R843" s="23"/>
      <c r="S843" s="23"/>
      <c r="T843" s="586"/>
      <c r="U843" s="23"/>
      <c r="V843" s="311"/>
      <c r="W843" s="311"/>
      <c r="X843" s="311"/>
      <c r="Y843" s="94"/>
      <c r="Z843" s="223"/>
      <c r="AA843" s="223"/>
      <c r="AB843" s="223"/>
      <c r="AC843" s="223"/>
      <c r="AD843" s="158"/>
      <c r="AE843" s="158">
        <f>P843-T843-Y843</f>
        <v>69314090</v>
      </c>
      <c r="AF843" s="158"/>
      <c r="AG843" s="94">
        <v>0</v>
      </c>
      <c r="AH843" s="94"/>
      <c r="AI843" s="94"/>
      <c r="AJ843" s="158">
        <f t="shared" si="154"/>
        <v>69314090</v>
      </c>
      <c r="AK843" s="158">
        <v>877</v>
      </c>
      <c r="AL843" s="158">
        <v>10</v>
      </c>
      <c r="AM843" s="158">
        <v>1</v>
      </c>
      <c r="AN843" s="158"/>
      <c r="AO843" s="23"/>
      <c r="AP843" s="23"/>
      <c r="AQ843" s="23"/>
      <c r="AR843" s="23"/>
      <c r="AS843" s="24">
        <v>0</v>
      </c>
      <c r="AT843" s="58" t="s">
        <v>521</v>
      </c>
      <c r="AU843" s="386"/>
      <c r="AV843" s="23"/>
      <c r="AW843" s="23"/>
      <c r="AX843" s="23"/>
      <c r="AY843" s="23"/>
      <c r="AZ843" s="23"/>
      <c r="BA843" s="23"/>
      <c r="BB843" s="223"/>
      <c r="BC843" s="223"/>
      <c r="BD843" s="271"/>
      <c r="BE843" s="271">
        <v>2019</v>
      </c>
      <c r="BF843" s="271">
        <v>2020</v>
      </c>
    </row>
    <row r="844" spans="1:58" s="204" customFormat="1" ht="18" customHeight="1">
      <c r="A844" s="160" t="s">
        <v>1</v>
      </c>
      <c r="B844" s="58" t="s">
        <v>320</v>
      </c>
      <c r="C844" s="66" t="s">
        <v>405</v>
      </c>
      <c r="D844" s="33" t="s">
        <v>438</v>
      </c>
      <c r="E844" s="33"/>
      <c r="F844" s="33"/>
      <c r="G844" s="33"/>
      <c r="H844" s="30" t="s">
        <v>686</v>
      </c>
      <c r="I844" s="228">
        <v>2182</v>
      </c>
      <c r="J844" s="212">
        <v>42366</v>
      </c>
      <c r="K844" s="23"/>
      <c r="L844" s="23"/>
      <c r="M844" s="23">
        <f>17-1-1-1-1-1</f>
        <v>12</v>
      </c>
      <c r="N844" s="23"/>
      <c r="O844" s="23">
        <v>12</v>
      </c>
      <c r="P844" s="23">
        <v>805565678</v>
      </c>
      <c r="Q844" s="23"/>
      <c r="R844" s="23"/>
      <c r="S844" s="23"/>
      <c r="T844" s="586"/>
      <c r="U844" s="23"/>
      <c r="V844" s="311"/>
      <c r="W844" s="311"/>
      <c r="X844" s="311"/>
      <c r="Y844" s="94"/>
      <c r="Z844" s="223"/>
      <c r="AA844" s="223"/>
      <c r="AB844" s="223"/>
      <c r="AC844" s="223"/>
      <c r="AD844" s="158"/>
      <c r="AE844" s="158">
        <f>P844-T844-Y844</f>
        <v>805565678</v>
      </c>
      <c r="AF844" s="158"/>
      <c r="AG844" s="94">
        <v>0</v>
      </c>
      <c r="AH844" s="94"/>
      <c r="AI844" s="94"/>
      <c r="AJ844" s="158">
        <f t="shared" si="154"/>
        <v>805565678</v>
      </c>
      <c r="AK844" s="158">
        <v>877</v>
      </c>
      <c r="AL844" s="158">
        <v>10</v>
      </c>
      <c r="AM844" s="158">
        <v>12</v>
      </c>
      <c r="AN844" s="158"/>
      <c r="AO844" s="23"/>
      <c r="AP844" s="23"/>
      <c r="AQ844" s="23"/>
      <c r="AR844" s="23"/>
      <c r="AS844" s="24">
        <v>0</v>
      </c>
      <c r="AT844" s="58" t="s">
        <v>521</v>
      </c>
      <c r="AU844" s="386"/>
      <c r="AV844" s="23"/>
      <c r="AW844" s="23"/>
      <c r="AX844" s="23"/>
      <c r="AY844" s="23"/>
      <c r="AZ844" s="23"/>
      <c r="BA844" s="23"/>
      <c r="BB844" s="223"/>
      <c r="BC844" s="223"/>
      <c r="BD844" s="271"/>
      <c r="BE844" s="271">
        <v>2019</v>
      </c>
      <c r="BF844" s="271">
        <v>2020</v>
      </c>
    </row>
    <row r="845" spans="1:58" ht="15" hidden="1" customHeight="1">
      <c r="A845" s="248" t="s">
        <v>1</v>
      </c>
      <c r="B845" s="58" t="s">
        <v>320</v>
      </c>
      <c r="C845" s="264" t="s">
        <v>996</v>
      </c>
      <c r="D845" s="33" t="s">
        <v>438</v>
      </c>
      <c r="E845" s="33"/>
      <c r="F845" s="33"/>
      <c r="G845" s="33"/>
      <c r="H845" s="30" t="s">
        <v>686</v>
      </c>
      <c r="I845" s="30"/>
      <c r="J845" s="212"/>
      <c r="K845" s="23"/>
      <c r="L845" s="23"/>
      <c r="M845" s="23"/>
      <c r="N845" s="23"/>
      <c r="O845" s="23"/>
      <c r="P845" s="23"/>
      <c r="Q845" s="23"/>
      <c r="R845" s="23"/>
      <c r="S845" s="23"/>
      <c r="T845" s="586"/>
      <c r="U845" s="23"/>
      <c r="V845" s="311"/>
      <c r="W845" s="311"/>
      <c r="X845" s="311"/>
      <c r="Y845" s="94"/>
      <c r="Z845" s="23"/>
      <c r="AA845" s="265"/>
      <c r="AB845" s="265"/>
      <c r="AC845" s="265"/>
      <c r="AD845" s="158"/>
      <c r="AE845" s="158"/>
      <c r="AF845" s="158"/>
      <c r="AG845" s="158"/>
      <c r="AH845" s="158"/>
      <c r="AI845" s="158"/>
      <c r="AJ845" s="158"/>
      <c r="AK845" s="158"/>
      <c r="AL845" s="158"/>
      <c r="AM845" s="158"/>
      <c r="AN845" s="158"/>
      <c r="AO845" s="23"/>
      <c r="AP845" s="23"/>
      <c r="AQ845" s="23"/>
      <c r="AR845" s="23"/>
      <c r="AS845" s="24">
        <v>1</v>
      </c>
      <c r="AT845" s="58" t="s">
        <v>646</v>
      </c>
      <c r="AU845" s="105"/>
      <c r="AV845" s="23"/>
      <c r="AW845" s="23"/>
      <c r="AX845" s="23">
        <v>1</v>
      </c>
      <c r="AY845" s="23"/>
      <c r="AZ845" s="23"/>
      <c r="BA845" s="23">
        <v>1</v>
      </c>
      <c r="BB845" s="223"/>
      <c r="BC845" s="223"/>
      <c r="BD845" s="270">
        <v>2018</v>
      </c>
      <c r="BE845" s="270"/>
      <c r="BF845" s="418"/>
    </row>
    <row r="846" spans="1:58" ht="15" hidden="1" customHeight="1">
      <c r="A846" s="160" t="s">
        <v>1</v>
      </c>
      <c r="B846" s="58" t="s">
        <v>320</v>
      </c>
      <c r="C846" s="66" t="s">
        <v>819</v>
      </c>
      <c r="D846" s="33" t="s">
        <v>438</v>
      </c>
      <c r="E846" s="33"/>
      <c r="F846" s="33"/>
      <c r="G846" s="33"/>
      <c r="H846" s="30" t="s">
        <v>686</v>
      </c>
      <c r="I846" s="30"/>
      <c r="J846" s="212"/>
      <c r="K846" s="23"/>
      <c r="L846" s="23"/>
      <c r="M846" s="23"/>
      <c r="N846" s="23"/>
      <c r="O846" s="23"/>
      <c r="P846" s="23"/>
      <c r="Q846" s="23"/>
      <c r="R846" s="23"/>
      <c r="S846" s="23"/>
      <c r="T846" s="586"/>
      <c r="U846" s="23"/>
      <c r="V846" s="311"/>
      <c r="W846" s="311"/>
      <c r="X846" s="311"/>
      <c r="Y846" s="94"/>
      <c r="Z846" s="23"/>
      <c r="AA846" s="23"/>
      <c r="AB846" s="23"/>
      <c r="AC846" s="23"/>
      <c r="AD846" s="158"/>
      <c r="AE846" s="158"/>
      <c r="AF846" s="158"/>
      <c r="AG846" s="158"/>
      <c r="AH846" s="158"/>
      <c r="AI846" s="158"/>
      <c r="AJ846" s="158"/>
      <c r="AK846" s="158"/>
      <c r="AL846" s="158"/>
      <c r="AM846" s="158"/>
      <c r="AN846" s="158"/>
      <c r="AO846" s="23"/>
      <c r="AP846" s="23"/>
      <c r="AQ846" s="23"/>
      <c r="AR846" s="23"/>
      <c r="AS846" s="24">
        <v>1</v>
      </c>
      <c r="AT846" s="58" t="s">
        <v>646</v>
      </c>
      <c r="AU846" s="105"/>
      <c r="AV846" s="23"/>
      <c r="AW846" s="23"/>
      <c r="AX846" s="23">
        <v>1</v>
      </c>
      <c r="AY846" s="23"/>
      <c r="AZ846" s="23"/>
      <c r="BA846" s="23">
        <v>1</v>
      </c>
      <c r="BB846" s="223"/>
      <c r="BC846" s="223"/>
      <c r="BD846" s="270">
        <v>2018</v>
      </c>
      <c r="BE846" s="270"/>
      <c r="BF846" s="418"/>
    </row>
    <row r="847" spans="1:58" ht="18" hidden="1" customHeight="1">
      <c r="A847" s="160" t="s">
        <v>1</v>
      </c>
      <c r="B847" s="58" t="s">
        <v>320</v>
      </c>
      <c r="C847" s="66" t="s">
        <v>1384</v>
      </c>
      <c r="D847" s="33" t="s">
        <v>438</v>
      </c>
      <c r="E847" s="33"/>
      <c r="F847" s="33"/>
      <c r="G847" s="33"/>
      <c r="H847" s="30" t="s">
        <v>686</v>
      </c>
      <c r="I847" s="228" t="s">
        <v>1483</v>
      </c>
      <c r="J847" s="215" t="s">
        <v>1482</v>
      </c>
      <c r="K847" s="23"/>
      <c r="L847" s="23">
        <v>1</v>
      </c>
      <c r="M847" s="23"/>
      <c r="N847" s="23"/>
      <c r="O847" s="23"/>
      <c r="P847" s="23">
        <v>69314090</v>
      </c>
      <c r="Q847" s="23"/>
      <c r="R847" s="23"/>
      <c r="S847" s="23"/>
      <c r="T847" s="586">
        <v>69314090</v>
      </c>
      <c r="U847" s="23">
        <v>10</v>
      </c>
      <c r="V847" s="311">
        <v>43617</v>
      </c>
      <c r="W847" s="311"/>
      <c r="X847" s="311"/>
      <c r="Y847" s="94"/>
      <c r="Z847" s="23"/>
      <c r="AA847" s="23"/>
      <c r="AB847" s="23"/>
      <c r="AC847" s="23"/>
      <c r="AD847" s="158"/>
      <c r="AE847" s="158">
        <f>P847-T847-Y847</f>
        <v>0</v>
      </c>
      <c r="AF847" s="158"/>
      <c r="AG847" s="94">
        <v>0</v>
      </c>
      <c r="AH847" s="94"/>
      <c r="AI847" s="94"/>
      <c r="AJ847" s="158">
        <f t="shared" ref="AJ847:AJ849" si="155">AE847+AG847</f>
        <v>0</v>
      </c>
      <c r="AK847" s="158">
        <v>877</v>
      </c>
      <c r="AL847" s="158">
        <v>10</v>
      </c>
      <c r="AM847" s="158"/>
      <c r="AN847" s="158"/>
      <c r="AO847" s="23"/>
      <c r="AP847" s="23"/>
      <c r="AQ847" s="23"/>
      <c r="AR847" s="23"/>
      <c r="AS847" s="24">
        <v>1</v>
      </c>
      <c r="AT847" s="58" t="s">
        <v>646</v>
      </c>
      <c r="AU847" s="388" t="s">
        <v>1712</v>
      </c>
      <c r="AV847" s="23"/>
      <c r="AW847" s="23"/>
      <c r="AX847" s="23"/>
      <c r="AY847" s="23">
        <v>1</v>
      </c>
      <c r="AZ847" s="23"/>
      <c r="BA847" s="23"/>
      <c r="BB847" s="23">
        <v>1</v>
      </c>
      <c r="BC847" s="23"/>
      <c r="BD847" s="270">
        <v>2019</v>
      </c>
      <c r="BE847" s="270">
        <v>2019</v>
      </c>
      <c r="BF847" s="271"/>
    </row>
    <row r="848" spans="1:58" ht="18" hidden="1" customHeight="1">
      <c r="A848" s="160" t="s">
        <v>1</v>
      </c>
      <c r="B848" s="58" t="s">
        <v>320</v>
      </c>
      <c r="C848" s="66" t="s">
        <v>1385</v>
      </c>
      <c r="D848" s="33" t="s">
        <v>438</v>
      </c>
      <c r="E848" s="33"/>
      <c r="F848" s="33"/>
      <c r="G848" s="33"/>
      <c r="H848" s="30" t="s">
        <v>686</v>
      </c>
      <c r="I848" s="228" t="s">
        <v>1481</v>
      </c>
      <c r="J848" s="215" t="s">
        <v>1480</v>
      </c>
      <c r="K848" s="23"/>
      <c r="L848" s="23">
        <v>1</v>
      </c>
      <c r="M848" s="23"/>
      <c r="N848" s="23"/>
      <c r="O848" s="23"/>
      <c r="P848" s="23">
        <v>80277356</v>
      </c>
      <c r="Q848" s="23"/>
      <c r="R848" s="23"/>
      <c r="S848" s="23"/>
      <c r="T848" s="586">
        <v>80277356</v>
      </c>
      <c r="U848" s="23">
        <v>10</v>
      </c>
      <c r="V848" s="311">
        <v>43617</v>
      </c>
      <c r="W848" s="311"/>
      <c r="X848" s="311"/>
      <c r="Y848" s="94"/>
      <c r="Z848" s="23"/>
      <c r="AA848" s="23"/>
      <c r="AB848" s="23"/>
      <c r="AC848" s="23"/>
      <c r="AD848" s="158"/>
      <c r="AE848" s="158">
        <f>P848-T848-Y848</f>
        <v>0</v>
      </c>
      <c r="AF848" s="158"/>
      <c r="AG848" s="94">
        <v>0</v>
      </c>
      <c r="AH848" s="94"/>
      <c r="AI848" s="94"/>
      <c r="AJ848" s="158">
        <f t="shared" si="155"/>
        <v>0</v>
      </c>
      <c r="AK848" s="158">
        <v>877</v>
      </c>
      <c r="AL848" s="158">
        <v>10</v>
      </c>
      <c r="AM848" s="158"/>
      <c r="AN848" s="158"/>
      <c r="AO848" s="23"/>
      <c r="AP848" s="23"/>
      <c r="AQ848" s="23"/>
      <c r="AR848" s="23"/>
      <c r="AS848" s="24">
        <v>1</v>
      </c>
      <c r="AT848" s="58" t="s">
        <v>646</v>
      </c>
      <c r="AU848" s="388" t="s">
        <v>1713</v>
      </c>
      <c r="AV848" s="23"/>
      <c r="AW848" s="23"/>
      <c r="AX848" s="23"/>
      <c r="AY848" s="23">
        <v>1</v>
      </c>
      <c r="AZ848" s="23"/>
      <c r="BA848" s="23"/>
      <c r="BB848" s="23">
        <v>1</v>
      </c>
      <c r="BC848" s="23"/>
      <c r="BD848" s="270">
        <v>2019</v>
      </c>
      <c r="BE848" s="270">
        <v>2019</v>
      </c>
      <c r="BF848" s="271"/>
    </row>
    <row r="849" spans="1:58" ht="18" hidden="1" customHeight="1">
      <c r="A849" s="160" t="s">
        <v>1</v>
      </c>
      <c r="B849" s="58" t="s">
        <v>320</v>
      </c>
      <c r="C849" s="66" t="s">
        <v>1400</v>
      </c>
      <c r="D849" s="33" t="s">
        <v>438</v>
      </c>
      <c r="E849" s="33"/>
      <c r="F849" s="33"/>
      <c r="G849" s="33"/>
      <c r="H849" s="30" t="s">
        <v>686</v>
      </c>
      <c r="I849" s="30">
        <v>2182</v>
      </c>
      <c r="J849" s="212">
        <v>42290</v>
      </c>
      <c r="K849" s="23"/>
      <c r="L849" s="23">
        <v>1</v>
      </c>
      <c r="M849" s="23"/>
      <c r="N849" s="23"/>
      <c r="O849" s="23"/>
      <c r="P849" s="23">
        <v>76950000</v>
      </c>
      <c r="Q849" s="23"/>
      <c r="R849" s="23"/>
      <c r="S849" s="23"/>
      <c r="T849" s="586">
        <v>76950000</v>
      </c>
      <c r="U849" s="23">
        <v>10</v>
      </c>
      <c r="V849" s="311">
        <v>43497</v>
      </c>
      <c r="W849" s="311"/>
      <c r="X849" s="311"/>
      <c r="Y849" s="94"/>
      <c r="Z849" s="23"/>
      <c r="AA849" s="23"/>
      <c r="AB849" s="23"/>
      <c r="AC849" s="23"/>
      <c r="AD849" s="158"/>
      <c r="AE849" s="158">
        <f>P849-T849-Y849</f>
        <v>0</v>
      </c>
      <c r="AF849" s="158"/>
      <c r="AG849" s="94">
        <v>0</v>
      </c>
      <c r="AH849" s="94"/>
      <c r="AI849" s="94"/>
      <c r="AJ849" s="158">
        <f t="shared" si="155"/>
        <v>0</v>
      </c>
      <c r="AK849" s="158">
        <v>877</v>
      </c>
      <c r="AL849" s="158">
        <v>10</v>
      </c>
      <c r="AM849" s="158"/>
      <c r="AN849" s="158"/>
      <c r="AO849" s="23"/>
      <c r="AP849" s="23"/>
      <c r="AQ849" s="23"/>
      <c r="AR849" s="23"/>
      <c r="AS849" s="24">
        <v>1</v>
      </c>
      <c r="AT849" s="58" t="s">
        <v>646</v>
      </c>
      <c r="AU849" s="386" t="s">
        <v>1399</v>
      </c>
      <c r="AV849" s="23"/>
      <c r="AW849" s="23"/>
      <c r="AX849" s="23"/>
      <c r="AY849" s="23">
        <v>1</v>
      </c>
      <c r="AZ849" s="23"/>
      <c r="BA849" s="23"/>
      <c r="BB849" s="223">
        <v>1</v>
      </c>
      <c r="BC849" s="223"/>
      <c r="BD849" s="270">
        <v>2019</v>
      </c>
      <c r="BE849" s="270">
        <v>2019</v>
      </c>
      <c r="BF849" s="271"/>
    </row>
    <row r="850" spans="1:58" ht="15" hidden="1" customHeight="1">
      <c r="A850" s="160" t="s">
        <v>1</v>
      </c>
      <c r="B850" s="58" t="s">
        <v>320</v>
      </c>
      <c r="C850" s="66" t="s">
        <v>406</v>
      </c>
      <c r="D850" s="33" t="s">
        <v>319</v>
      </c>
      <c r="E850" s="33"/>
      <c r="F850" s="33"/>
      <c r="G850" s="33"/>
      <c r="H850" s="30"/>
      <c r="I850" s="30"/>
      <c r="J850" s="212"/>
      <c r="K850" s="23"/>
      <c r="L850" s="23"/>
      <c r="M850" s="23"/>
      <c r="N850" s="23"/>
      <c r="O850" s="23"/>
      <c r="P850" s="23"/>
      <c r="Q850" s="23"/>
      <c r="R850" s="23"/>
      <c r="S850" s="23"/>
      <c r="T850" s="586"/>
      <c r="U850" s="23"/>
      <c r="V850" s="311"/>
      <c r="W850" s="311"/>
      <c r="X850" s="311"/>
      <c r="Y850" s="94"/>
      <c r="Z850" s="23"/>
      <c r="AA850" s="23"/>
      <c r="AB850" s="23"/>
      <c r="AC850" s="23"/>
      <c r="AD850" s="158"/>
      <c r="AE850" s="158"/>
      <c r="AF850" s="158"/>
      <c r="AG850" s="158"/>
      <c r="AH850" s="158"/>
      <c r="AI850" s="158"/>
      <c r="AJ850" s="158"/>
      <c r="AK850" s="158"/>
      <c r="AL850" s="158"/>
      <c r="AM850" s="158"/>
      <c r="AN850" s="158"/>
      <c r="AO850" s="23"/>
      <c r="AP850" s="23"/>
      <c r="AQ850" s="23"/>
      <c r="AR850" s="23"/>
      <c r="AS850" s="2"/>
      <c r="AT850" s="58"/>
      <c r="AU850" s="105"/>
      <c r="AV850" s="23">
        <v>1</v>
      </c>
      <c r="AW850" s="23"/>
      <c r="AX850" s="23"/>
      <c r="AY850" s="23"/>
      <c r="AZ850" s="23"/>
      <c r="BA850" s="23"/>
      <c r="BB850" s="223"/>
      <c r="BC850" s="223"/>
      <c r="BD850" s="270">
        <v>2016</v>
      </c>
      <c r="BE850" s="270"/>
      <c r="BF850" s="418"/>
    </row>
    <row r="851" spans="1:58" ht="15" hidden="1" customHeight="1">
      <c r="A851" s="160" t="s">
        <v>1</v>
      </c>
      <c r="B851" s="58" t="s">
        <v>320</v>
      </c>
      <c r="C851" s="66" t="s">
        <v>407</v>
      </c>
      <c r="D851" s="33" t="s">
        <v>319</v>
      </c>
      <c r="E851" s="33"/>
      <c r="F851" s="33"/>
      <c r="G851" s="33"/>
      <c r="H851" s="30"/>
      <c r="I851" s="30"/>
      <c r="J851" s="212"/>
      <c r="K851" s="23"/>
      <c r="L851" s="23"/>
      <c r="M851" s="23"/>
      <c r="N851" s="23"/>
      <c r="O851" s="23"/>
      <c r="P851" s="23"/>
      <c r="Q851" s="23"/>
      <c r="R851" s="23"/>
      <c r="S851" s="23"/>
      <c r="T851" s="586"/>
      <c r="U851" s="23"/>
      <c r="V851" s="311"/>
      <c r="W851" s="311"/>
      <c r="X851" s="311"/>
      <c r="Y851" s="94"/>
      <c r="Z851" s="23"/>
      <c r="AA851" s="23"/>
      <c r="AB851" s="23"/>
      <c r="AC851" s="23"/>
      <c r="AD851" s="158"/>
      <c r="AE851" s="158"/>
      <c r="AF851" s="158"/>
      <c r="AG851" s="158"/>
      <c r="AH851" s="158"/>
      <c r="AI851" s="158"/>
      <c r="AJ851" s="158"/>
      <c r="AK851" s="158"/>
      <c r="AL851" s="158"/>
      <c r="AM851" s="158"/>
      <c r="AN851" s="158"/>
      <c r="AO851" s="23"/>
      <c r="AP851" s="23"/>
      <c r="AQ851" s="23"/>
      <c r="AR851" s="23"/>
      <c r="AS851" s="2"/>
      <c r="AT851" s="58"/>
      <c r="AU851" s="105"/>
      <c r="AV851" s="23">
        <v>1</v>
      </c>
      <c r="AW851" s="23"/>
      <c r="AX851" s="23"/>
      <c r="AY851" s="23"/>
      <c r="AZ851" s="23"/>
      <c r="BA851" s="23"/>
      <c r="BB851" s="223"/>
      <c r="BC851" s="223"/>
      <c r="BD851" s="270">
        <v>2016</v>
      </c>
      <c r="BE851" s="270"/>
      <c r="BF851" s="419"/>
    </row>
    <row r="852" spans="1:58" ht="15" hidden="1" customHeight="1">
      <c r="A852" s="160" t="s">
        <v>1</v>
      </c>
      <c r="B852" s="58" t="s">
        <v>320</v>
      </c>
      <c r="C852" s="66" t="s">
        <v>408</v>
      </c>
      <c r="D852" s="33" t="s">
        <v>319</v>
      </c>
      <c r="E852" s="33"/>
      <c r="F852" s="33"/>
      <c r="G852" s="33"/>
      <c r="H852" s="30"/>
      <c r="I852" s="30"/>
      <c r="J852" s="212"/>
      <c r="K852" s="23"/>
      <c r="L852" s="23"/>
      <c r="M852" s="23"/>
      <c r="N852" s="23"/>
      <c r="O852" s="23"/>
      <c r="P852" s="23"/>
      <c r="Q852" s="23"/>
      <c r="R852" s="23"/>
      <c r="S852" s="23"/>
      <c r="T852" s="586"/>
      <c r="U852" s="23"/>
      <c r="V852" s="311"/>
      <c r="W852" s="311"/>
      <c r="X852" s="311"/>
      <c r="Y852" s="94"/>
      <c r="Z852" s="23"/>
      <c r="AA852" s="23"/>
      <c r="AB852" s="23"/>
      <c r="AC852" s="23"/>
      <c r="AD852" s="158"/>
      <c r="AE852" s="158"/>
      <c r="AF852" s="158"/>
      <c r="AG852" s="158"/>
      <c r="AH852" s="158"/>
      <c r="AI852" s="158"/>
      <c r="AJ852" s="158"/>
      <c r="AK852" s="158"/>
      <c r="AL852" s="158"/>
      <c r="AM852" s="158"/>
      <c r="AN852" s="158"/>
      <c r="AO852" s="23"/>
      <c r="AP852" s="23"/>
      <c r="AQ852" s="23"/>
      <c r="AR852" s="23"/>
      <c r="AS852" s="2"/>
      <c r="AT852" s="58"/>
      <c r="AU852" s="105"/>
      <c r="AV852" s="23">
        <v>1</v>
      </c>
      <c r="AW852" s="23"/>
      <c r="AX852" s="23"/>
      <c r="AY852" s="23"/>
      <c r="AZ852" s="23"/>
      <c r="BA852" s="23"/>
      <c r="BB852" s="223"/>
      <c r="BC852" s="223"/>
      <c r="BD852" s="270">
        <v>2016</v>
      </c>
      <c r="BE852" s="270"/>
      <c r="BF852" s="418"/>
    </row>
    <row r="853" spans="1:58" ht="15" hidden="1" customHeight="1">
      <c r="A853" s="160" t="s">
        <v>1</v>
      </c>
      <c r="B853" s="58" t="s">
        <v>320</v>
      </c>
      <c r="C853" s="66" t="s">
        <v>409</v>
      </c>
      <c r="D853" s="33" t="s">
        <v>319</v>
      </c>
      <c r="E853" s="33"/>
      <c r="F853" s="33"/>
      <c r="G853" s="33"/>
      <c r="H853" s="30"/>
      <c r="I853" s="30"/>
      <c r="J853" s="212"/>
      <c r="K853" s="23"/>
      <c r="L853" s="23"/>
      <c r="M853" s="23"/>
      <c r="N853" s="23"/>
      <c r="O853" s="23"/>
      <c r="P853" s="23"/>
      <c r="Q853" s="23"/>
      <c r="R853" s="23"/>
      <c r="S853" s="23"/>
      <c r="T853" s="586"/>
      <c r="U853" s="23"/>
      <c r="V853" s="311"/>
      <c r="W853" s="311"/>
      <c r="X853" s="311"/>
      <c r="Y853" s="94"/>
      <c r="Z853" s="23"/>
      <c r="AA853" s="23"/>
      <c r="AB853" s="23"/>
      <c r="AC853" s="23"/>
      <c r="AD853" s="158"/>
      <c r="AE853" s="158"/>
      <c r="AF853" s="158"/>
      <c r="AG853" s="158"/>
      <c r="AH853" s="158"/>
      <c r="AI853" s="158"/>
      <c r="AJ853" s="158"/>
      <c r="AK853" s="158"/>
      <c r="AL853" s="158"/>
      <c r="AM853" s="158"/>
      <c r="AN853" s="158"/>
      <c r="AO853" s="23"/>
      <c r="AP853" s="23"/>
      <c r="AQ853" s="23"/>
      <c r="AR853" s="23"/>
      <c r="AS853" s="2"/>
      <c r="AT853" s="58"/>
      <c r="AU853" s="105"/>
      <c r="AV853" s="23">
        <v>1</v>
      </c>
      <c r="AW853" s="23"/>
      <c r="AX853" s="23"/>
      <c r="AY853" s="23"/>
      <c r="AZ853" s="23"/>
      <c r="BA853" s="23"/>
      <c r="BB853" s="223"/>
      <c r="BC853" s="223"/>
      <c r="BD853" s="270">
        <v>2016</v>
      </c>
      <c r="BE853" s="270"/>
      <c r="BF853" s="418"/>
    </row>
    <row r="854" spans="1:58" ht="15" hidden="1" customHeight="1">
      <c r="A854" s="160" t="s">
        <v>1</v>
      </c>
      <c r="B854" s="58" t="s">
        <v>320</v>
      </c>
      <c r="C854" s="66" t="s">
        <v>410</v>
      </c>
      <c r="D854" s="33" t="s">
        <v>319</v>
      </c>
      <c r="E854" s="33"/>
      <c r="F854" s="33"/>
      <c r="G854" s="33"/>
      <c r="H854" s="30"/>
      <c r="I854" s="30"/>
      <c r="J854" s="212"/>
      <c r="K854" s="23"/>
      <c r="L854" s="23"/>
      <c r="M854" s="23"/>
      <c r="N854" s="23"/>
      <c r="O854" s="23"/>
      <c r="P854" s="23"/>
      <c r="Q854" s="23"/>
      <c r="R854" s="23"/>
      <c r="S854" s="23"/>
      <c r="T854" s="586"/>
      <c r="U854" s="23"/>
      <c r="V854" s="311"/>
      <c r="W854" s="311"/>
      <c r="X854" s="311"/>
      <c r="Y854" s="94"/>
      <c r="Z854" s="23"/>
      <c r="AA854" s="23"/>
      <c r="AB854" s="23"/>
      <c r="AC854" s="23"/>
      <c r="AD854" s="158"/>
      <c r="AE854" s="158"/>
      <c r="AF854" s="158"/>
      <c r="AG854" s="158"/>
      <c r="AH854" s="158"/>
      <c r="AI854" s="158"/>
      <c r="AJ854" s="158"/>
      <c r="AK854" s="158"/>
      <c r="AL854" s="158"/>
      <c r="AM854" s="158"/>
      <c r="AN854" s="158"/>
      <c r="AO854" s="23"/>
      <c r="AP854" s="23"/>
      <c r="AQ854" s="23"/>
      <c r="AR854" s="23"/>
      <c r="AS854" s="2"/>
      <c r="AT854" s="58"/>
      <c r="AU854" s="105"/>
      <c r="AV854" s="23">
        <v>1</v>
      </c>
      <c r="AW854" s="23"/>
      <c r="AX854" s="23"/>
      <c r="AY854" s="23"/>
      <c r="AZ854" s="23"/>
      <c r="BA854" s="23"/>
      <c r="BB854" s="223"/>
      <c r="BC854" s="223"/>
      <c r="BD854" s="270">
        <v>2016</v>
      </c>
      <c r="BE854" s="270"/>
      <c r="BF854" s="420"/>
    </row>
    <row r="855" spans="1:58" ht="15" hidden="1" customHeight="1">
      <c r="A855" s="160" t="s">
        <v>1</v>
      </c>
      <c r="B855" s="58" t="s">
        <v>320</v>
      </c>
      <c r="C855" s="66" t="s">
        <v>411</v>
      </c>
      <c r="D855" s="33" t="s">
        <v>319</v>
      </c>
      <c r="E855" s="33"/>
      <c r="F855" s="33"/>
      <c r="G855" s="33"/>
      <c r="H855" s="30"/>
      <c r="I855" s="30"/>
      <c r="J855" s="212"/>
      <c r="K855" s="23"/>
      <c r="L855" s="23"/>
      <c r="M855" s="23"/>
      <c r="N855" s="23"/>
      <c r="O855" s="23"/>
      <c r="P855" s="23"/>
      <c r="Q855" s="23"/>
      <c r="R855" s="23"/>
      <c r="S855" s="23"/>
      <c r="T855" s="586"/>
      <c r="U855" s="23"/>
      <c r="V855" s="311"/>
      <c r="W855" s="311"/>
      <c r="X855" s="311"/>
      <c r="Y855" s="94"/>
      <c r="Z855" s="23"/>
      <c r="AA855" s="23"/>
      <c r="AB855" s="23"/>
      <c r="AC855" s="23"/>
      <c r="AD855" s="158"/>
      <c r="AE855" s="158"/>
      <c r="AF855" s="158"/>
      <c r="AG855" s="158"/>
      <c r="AH855" s="158"/>
      <c r="AI855" s="158"/>
      <c r="AJ855" s="158"/>
      <c r="AK855" s="158"/>
      <c r="AL855" s="158"/>
      <c r="AM855" s="158"/>
      <c r="AN855" s="158"/>
      <c r="AO855" s="23"/>
      <c r="AP855" s="23"/>
      <c r="AQ855" s="23"/>
      <c r="AR855" s="23"/>
      <c r="AS855" s="2"/>
      <c r="AT855" s="58"/>
      <c r="AU855" s="105"/>
      <c r="AV855" s="23">
        <v>1</v>
      </c>
      <c r="AW855" s="23"/>
      <c r="AX855" s="23"/>
      <c r="AY855" s="23"/>
      <c r="AZ855" s="23"/>
      <c r="BA855" s="23"/>
      <c r="BB855" s="223"/>
      <c r="BC855" s="223"/>
      <c r="BD855" s="270">
        <v>2016</v>
      </c>
      <c r="BE855" s="270"/>
      <c r="BF855" s="420"/>
    </row>
    <row r="856" spans="1:58" ht="15" hidden="1" customHeight="1">
      <c r="A856" s="160" t="s">
        <v>1</v>
      </c>
      <c r="B856" s="58" t="s">
        <v>320</v>
      </c>
      <c r="C856" s="66" t="s">
        <v>412</v>
      </c>
      <c r="D856" s="33" t="s">
        <v>319</v>
      </c>
      <c r="E856" s="33"/>
      <c r="F856" s="33"/>
      <c r="G856" s="33"/>
      <c r="H856" s="30"/>
      <c r="I856" s="30"/>
      <c r="J856" s="212"/>
      <c r="K856" s="23"/>
      <c r="L856" s="23"/>
      <c r="M856" s="23"/>
      <c r="N856" s="23"/>
      <c r="O856" s="23"/>
      <c r="P856" s="23"/>
      <c r="Q856" s="23"/>
      <c r="R856" s="23"/>
      <c r="S856" s="23"/>
      <c r="T856" s="586"/>
      <c r="U856" s="23"/>
      <c r="V856" s="311"/>
      <c r="W856" s="311"/>
      <c r="X856" s="311"/>
      <c r="Y856" s="94"/>
      <c r="Z856" s="23"/>
      <c r="AA856" s="23"/>
      <c r="AB856" s="23"/>
      <c r="AC856" s="23"/>
      <c r="AD856" s="158"/>
      <c r="AE856" s="158"/>
      <c r="AF856" s="158"/>
      <c r="AG856" s="158"/>
      <c r="AH856" s="158"/>
      <c r="AI856" s="158"/>
      <c r="AJ856" s="158"/>
      <c r="AK856" s="158"/>
      <c r="AL856" s="158"/>
      <c r="AM856" s="158"/>
      <c r="AN856" s="158"/>
      <c r="AO856" s="23"/>
      <c r="AP856" s="23"/>
      <c r="AQ856" s="23"/>
      <c r="AR856" s="23"/>
      <c r="AS856" s="2"/>
      <c r="AT856" s="58"/>
      <c r="AU856" s="105"/>
      <c r="AV856" s="23">
        <v>1</v>
      </c>
      <c r="AW856" s="23"/>
      <c r="AX856" s="23"/>
      <c r="AY856" s="23"/>
      <c r="AZ856" s="23"/>
      <c r="BA856" s="23"/>
      <c r="BB856" s="223"/>
      <c r="BC856" s="223"/>
      <c r="BD856" s="270">
        <v>2016</v>
      </c>
      <c r="BE856" s="270"/>
      <c r="BF856" s="420"/>
    </row>
    <row r="857" spans="1:58" ht="15" hidden="1" customHeight="1">
      <c r="A857" s="160" t="s">
        <v>1</v>
      </c>
      <c r="B857" s="58" t="s">
        <v>320</v>
      </c>
      <c r="C857" s="66" t="s">
        <v>413</v>
      </c>
      <c r="D857" s="33" t="s">
        <v>319</v>
      </c>
      <c r="E857" s="33"/>
      <c r="F857" s="33"/>
      <c r="G857" s="33"/>
      <c r="H857" s="30"/>
      <c r="I857" s="30"/>
      <c r="J857" s="212"/>
      <c r="K857" s="23"/>
      <c r="L857" s="23"/>
      <c r="M857" s="23"/>
      <c r="N857" s="23"/>
      <c r="O857" s="23"/>
      <c r="P857" s="23"/>
      <c r="Q857" s="23"/>
      <c r="R857" s="23"/>
      <c r="S857" s="23"/>
      <c r="T857" s="586"/>
      <c r="U857" s="23"/>
      <c r="V857" s="311"/>
      <c r="W857" s="311"/>
      <c r="X857" s="311"/>
      <c r="Y857" s="94"/>
      <c r="Z857" s="23"/>
      <c r="AA857" s="23"/>
      <c r="AB857" s="23"/>
      <c r="AC857" s="23"/>
      <c r="AD857" s="158"/>
      <c r="AE857" s="158"/>
      <c r="AF857" s="158"/>
      <c r="AG857" s="158"/>
      <c r="AH857" s="158"/>
      <c r="AI857" s="158"/>
      <c r="AJ857" s="158"/>
      <c r="AK857" s="158"/>
      <c r="AL857" s="158"/>
      <c r="AM857" s="158"/>
      <c r="AN857" s="158"/>
      <c r="AO857" s="23"/>
      <c r="AP857" s="23"/>
      <c r="AQ857" s="23"/>
      <c r="AR857" s="23"/>
      <c r="AS857" s="2"/>
      <c r="AT857" s="58"/>
      <c r="AU857" s="105"/>
      <c r="AV857" s="23">
        <v>1</v>
      </c>
      <c r="AW857" s="23"/>
      <c r="AX857" s="23"/>
      <c r="AY857" s="23"/>
      <c r="AZ857" s="23"/>
      <c r="BA857" s="23"/>
      <c r="BB857" s="223"/>
      <c r="BC857" s="223"/>
      <c r="BD857" s="270">
        <v>2016</v>
      </c>
      <c r="BE857" s="270"/>
      <c r="BF857" s="420"/>
    </row>
    <row r="858" spans="1:58" ht="15" hidden="1" customHeight="1">
      <c r="A858" s="160" t="s">
        <v>1</v>
      </c>
      <c r="B858" s="58" t="s">
        <v>320</v>
      </c>
      <c r="C858" s="66" t="s">
        <v>414</v>
      </c>
      <c r="D858" s="33" t="s">
        <v>319</v>
      </c>
      <c r="E858" s="33"/>
      <c r="F858" s="33"/>
      <c r="G858" s="33"/>
      <c r="H858" s="30"/>
      <c r="I858" s="30"/>
      <c r="J858" s="212"/>
      <c r="K858" s="23"/>
      <c r="L858" s="23"/>
      <c r="M858" s="23"/>
      <c r="N858" s="23"/>
      <c r="O858" s="23"/>
      <c r="P858" s="23"/>
      <c r="Q858" s="23"/>
      <c r="R858" s="23"/>
      <c r="S858" s="23"/>
      <c r="T858" s="586"/>
      <c r="U858" s="23"/>
      <c r="V858" s="311"/>
      <c r="W858" s="311"/>
      <c r="X858" s="311"/>
      <c r="Y858" s="94"/>
      <c r="Z858" s="23"/>
      <c r="AA858" s="23"/>
      <c r="AB858" s="23"/>
      <c r="AC858" s="23"/>
      <c r="AD858" s="158"/>
      <c r="AE858" s="158"/>
      <c r="AF858" s="158"/>
      <c r="AG858" s="158"/>
      <c r="AH858" s="158"/>
      <c r="AI858" s="158"/>
      <c r="AJ858" s="158"/>
      <c r="AK858" s="158"/>
      <c r="AL858" s="158"/>
      <c r="AM858" s="158"/>
      <c r="AN858" s="158"/>
      <c r="AO858" s="23"/>
      <c r="AP858" s="23"/>
      <c r="AQ858" s="23"/>
      <c r="AR858" s="23"/>
      <c r="AS858" s="2"/>
      <c r="AT858" s="58"/>
      <c r="AU858" s="105"/>
      <c r="AV858" s="23">
        <v>1</v>
      </c>
      <c r="AW858" s="23"/>
      <c r="AX858" s="23"/>
      <c r="AY858" s="23"/>
      <c r="AZ858" s="23"/>
      <c r="BA858" s="23"/>
      <c r="BB858" s="223"/>
      <c r="BC858" s="223"/>
      <c r="BD858" s="270">
        <v>2016</v>
      </c>
      <c r="BE858" s="270"/>
      <c r="BF858" s="420"/>
    </row>
    <row r="859" spans="1:58" ht="15" hidden="1" customHeight="1">
      <c r="A859" s="160" t="s">
        <v>1</v>
      </c>
      <c r="B859" s="58" t="s">
        <v>320</v>
      </c>
      <c r="C859" s="66" t="s">
        <v>415</v>
      </c>
      <c r="D859" s="33" t="s">
        <v>319</v>
      </c>
      <c r="E859" s="33"/>
      <c r="F859" s="33"/>
      <c r="G859" s="33"/>
      <c r="H859" s="30"/>
      <c r="I859" s="30"/>
      <c r="J859" s="212"/>
      <c r="K859" s="23"/>
      <c r="L859" s="23"/>
      <c r="M859" s="23"/>
      <c r="N859" s="23"/>
      <c r="O859" s="23"/>
      <c r="P859" s="23"/>
      <c r="Q859" s="23"/>
      <c r="R859" s="23"/>
      <c r="S859" s="23"/>
      <c r="T859" s="586"/>
      <c r="U859" s="23"/>
      <c r="V859" s="311"/>
      <c r="W859" s="311"/>
      <c r="X859" s="311"/>
      <c r="Y859" s="94"/>
      <c r="Z859" s="23"/>
      <c r="AA859" s="23"/>
      <c r="AB859" s="23"/>
      <c r="AC859" s="23"/>
      <c r="AD859" s="158"/>
      <c r="AE859" s="158"/>
      <c r="AF859" s="158"/>
      <c r="AG859" s="158"/>
      <c r="AH859" s="158"/>
      <c r="AI859" s="158"/>
      <c r="AJ859" s="158"/>
      <c r="AK859" s="158"/>
      <c r="AL859" s="158"/>
      <c r="AM859" s="158"/>
      <c r="AN859" s="158"/>
      <c r="AO859" s="23"/>
      <c r="AP859" s="23"/>
      <c r="AQ859" s="23"/>
      <c r="AR859" s="23"/>
      <c r="AS859" s="2"/>
      <c r="AT859" s="58"/>
      <c r="AU859" s="105"/>
      <c r="AV859" s="23">
        <v>1</v>
      </c>
      <c r="AW859" s="23"/>
      <c r="AX859" s="23"/>
      <c r="AY859" s="23"/>
      <c r="AZ859" s="23"/>
      <c r="BA859" s="23"/>
      <c r="BB859" s="223"/>
      <c r="BC859" s="223"/>
      <c r="BD859" s="270">
        <v>2016</v>
      </c>
      <c r="BE859" s="270"/>
      <c r="BF859" s="420"/>
    </row>
    <row r="860" spans="1:58" ht="15" hidden="1" customHeight="1">
      <c r="A860" s="160" t="s">
        <v>1</v>
      </c>
      <c r="B860" s="58" t="s">
        <v>320</v>
      </c>
      <c r="C860" s="66" t="s">
        <v>516</v>
      </c>
      <c r="D860" s="33" t="s">
        <v>319</v>
      </c>
      <c r="E860" s="33"/>
      <c r="F860" s="33"/>
      <c r="G860" s="33"/>
      <c r="H860" s="30"/>
      <c r="I860" s="30"/>
      <c r="J860" s="212"/>
      <c r="K860" s="23"/>
      <c r="L860" s="23"/>
      <c r="M860" s="23"/>
      <c r="N860" s="23"/>
      <c r="O860" s="23"/>
      <c r="P860" s="23"/>
      <c r="Q860" s="23"/>
      <c r="R860" s="23"/>
      <c r="S860" s="23"/>
      <c r="T860" s="586"/>
      <c r="U860" s="23"/>
      <c r="V860" s="311"/>
      <c r="W860" s="311"/>
      <c r="X860" s="311"/>
      <c r="Y860" s="94"/>
      <c r="Z860" s="23"/>
      <c r="AA860" s="23"/>
      <c r="AB860" s="23"/>
      <c r="AC860" s="23"/>
      <c r="AD860" s="158"/>
      <c r="AE860" s="158"/>
      <c r="AF860" s="158"/>
      <c r="AG860" s="158"/>
      <c r="AH860" s="158"/>
      <c r="AI860" s="158"/>
      <c r="AJ860" s="158"/>
      <c r="AK860" s="158"/>
      <c r="AL860" s="158"/>
      <c r="AM860" s="158"/>
      <c r="AN860" s="158"/>
      <c r="AO860" s="23"/>
      <c r="AP860" s="23"/>
      <c r="AQ860" s="23"/>
      <c r="AR860" s="23"/>
      <c r="AS860" s="2"/>
      <c r="AT860" s="58"/>
      <c r="AU860" s="105"/>
      <c r="AV860" s="23">
        <v>1</v>
      </c>
      <c r="AW860" s="23"/>
      <c r="AX860" s="23"/>
      <c r="AY860" s="23"/>
      <c r="AZ860" s="23"/>
      <c r="BA860" s="23"/>
      <c r="BB860" s="223"/>
      <c r="BC860" s="223"/>
      <c r="BD860" s="270">
        <v>2016</v>
      </c>
      <c r="BE860" s="270"/>
      <c r="BF860" s="420"/>
    </row>
    <row r="861" spans="1:58" ht="15" hidden="1" customHeight="1">
      <c r="A861" s="160" t="s">
        <v>1</v>
      </c>
      <c r="B861" s="58" t="s">
        <v>320</v>
      </c>
      <c r="C861" s="66" t="s">
        <v>416</v>
      </c>
      <c r="D861" s="33" t="s">
        <v>319</v>
      </c>
      <c r="E861" s="33"/>
      <c r="F861" s="33"/>
      <c r="G861" s="33"/>
      <c r="H861" s="30"/>
      <c r="I861" s="30"/>
      <c r="J861" s="212"/>
      <c r="K861" s="23"/>
      <c r="L861" s="23"/>
      <c r="M861" s="23"/>
      <c r="N861" s="23"/>
      <c r="O861" s="23"/>
      <c r="P861" s="23"/>
      <c r="Q861" s="23"/>
      <c r="R861" s="23"/>
      <c r="S861" s="23"/>
      <c r="T861" s="586"/>
      <c r="U861" s="23"/>
      <c r="V861" s="311"/>
      <c r="W861" s="311"/>
      <c r="X861" s="311"/>
      <c r="Y861" s="94"/>
      <c r="Z861" s="23"/>
      <c r="AA861" s="23"/>
      <c r="AB861" s="23"/>
      <c r="AC861" s="23"/>
      <c r="AD861" s="158"/>
      <c r="AE861" s="158"/>
      <c r="AF861" s="158"/>
      <c r="AG861" s="158"/>
      <c r="AH861" s="158"/>
      <c r="AI861" s="158"/>
      <c r="AJ861" s="158"/>
      <c r="AK861" s="158"/>
      <c r="AL861" s="158"/>
      <c r="AM861" s="158"/>
      <c r="AN861" s="158"/>
      <c r="AO861" s="23"/>
      <c r="AP861" s="23"/>
      <c r="AQ861" s="23"/>
      <c r="AR861" s="23"/>
      <c r="AS861" s="2"/>
      <c r="AT861" s="58"/>
      <c r="AU861" s="105"/>
      <c r="AV861" s="23">
        <v>1</v>
      </c>
      <c r="AW861" s="23"/>
      <c r="AX861" s="23"/>
      <c r="AY861" s="23"/>
      <c r="AZ861" s="23"/>
      <c r="BA861" s="23"/>
      <c r="BB861" s="223"/>
      <c r="BC861" s="223"/>
      <c r="BD861" s="270">
        <v>2016</v>
      </c>
      <c r="BE861" s="270"/>
      <c r="BF861" s="420"/>
    </row>
    <row r="862" spans="1:58" ht="15" hidden="1" customHeight="1">
      <c r="A862" s="160" t="s">
        <v>1</v>
      </c>
      <c r="B862" s="58" t="s">
        <v>320</v>
      </c>
      <c r="C862" s="66" t="s">
        <v>417</v>
      </c>
      <c r="D862" s="33" t="s">
        <v>319</v>
      </c>
      <c r="E862" s="33"/>
      <c r="F862" s="33"/>
      <c r="G862" s="33"/>
      <c r="H862" s="30"/>
      <c r="I862" s="30"/>
      <c r="J862" s="212"/>
      <c r="K862" s="23"/>
      <c r="L862" s="23"/>
      <c r="M862" s="23"/>
      <c r="N862" s="23"/>
      <c r="O862" s="23"/>
      <c r="P862" s="23"/>
      <c r="Q862" s="23"/>
      <c r="R862" s="23"/>
      <c r="S862" s="23"/>
      <c r="T862" s="586"/>
      <c r="U862" s="23"/>
      <c r="V862" s="311"/>
      <c r="W862" s="311"/>
      <c r="X862" s="311"/>
      <c r="Y862" s="94"/>
      <c r="Z862" s="23"/>
      <c r="AA862" s="23"/>
      <c r="AB862" s="23"/>
      <c r="AC862" s="23"/>
      <c r="AD862" s="158"/>
      <c r="AE862" s="158"/>
      <c r="AF862" s="158"/>
      <c r="AG862" s="158"/>
      <c r="AH862" s="158"/>
      <c r="AI862" s="158"/>
      <c r="AJ862" s="158"/>
      <c r="AK862" s="158"/>
      <c r="AL862" s="158"/>
      <c r="AM862" s="158"/>
      <c r="AN862" s="158"/>
      <c r="AO862" s="23"/>
      <c r="AP862" s="23"/>
      <c r="AQ862" s="23"/>
      <c r="AR862" s="23"/>
      <c r="AS862" s="2"/>
      <c r="AT862" s="58"/>
      <c r="AU862" s="105"/>
      <c r="AV862" s="23">
        <v>1</v>
      </c>
      <c r="AW862" s="23"/>
      <c r="AX862" s="23"/>
      <c r="AY862" s="23"/>
      <c r="AZ862" s="23"/>
      <c r="BA862" s="23"/>
      <c r="BB862" s="223"/>
      <c r="BC862" s="223"/>
      <c r="BD862" s="270">
        <v>2016</v>
      </c>
      <c r="BE862" s="270"/>
      <c r="BF862" s="420"/>
    </row>
    <row r="863" spans="1:58" ht="15" hidden="1" customHeight="1">
      <c r="A863" s="160" t="s">
        <v>1</v>
      </c>
      <c r="B863" s="58" t="s">
        <v>320</v>
      </c>
      <c r="C863" s="66" t="s">
        <v>418</v>
      </c>
      <c r="D863" s="33" t="s">
        <v>387</v>
      </c>
      <c r="E863" s="33"/>
      <c r="F863" s="33"/>
      <c r="G863" s="33"/>
      <c r="H863" s="30"/>
      <c r="I863" s="30"/>
      <c r="J863" s="212"/>
      <c r="K863" s="23"/>
      <c r="L863" s="23"/>
      <c r="M863" s="23"/>
      <c r="N863" s="23"/>
      <c r="O863" s="23"/>
      <c r="P863" s="23"/>
      <c r="Q863" s="23"/>
      <c r="R863" s="23"/>
      <c r="S863" s="23"/>
      <c r="T863" s="586"/>
      <c r="U863" s="23"/>
      <c r="V863" s="311"/>
      <c r="W863" s="311"/>
      <c r="X863" s="311"/>
      <c r="Y863" s="94"/>
      <c r="Z863" s="23"/>
      <c r="AA863" s="23"/>
      <c r="AB863" s="23"/>
      <c r="AC863" s="23"/>
      <c r="AD863" s="158"/>
      <c r="AE863" s="158"/>
      <c r="AF863" s="158"/>
      <c r="AG863" s="158"/>
      <c r="AH863" s="158"/>
      <c r="AI863" s="158"/>
      <c r="AJ863" s="158"/>
      <c r="AK863" s="158"/>
      <c r="AL863" s="158"/>
      <c r="AM863" s="158"/>
      <c r="AN863" s="158"/>
      <c r="AO863" s="23"/>
      <c r="AP863" s="23"/>
      <c r="AQ863" s="23"/>
      <c r="AR863" s="23"/>
      <c r="AS863" s="2"/>
      <c r="AT863" s="58"/>
      <c r="AU863" s="105"/>
      <c r="AV863" s="23">
        <v>1</v>
      </c>
      <c r="AW863" s="23"/>
      <c r="AX863" s="23"/>
      <c r="AY863" s="23"/>
      <c r="AZ863" s="23"/>
      <c r="BA863" s="23"/>
      <c r="BB863" s="223"/>
      <c r="BC863" s="223"/>
      <c r="BD863" s="270">
        <v>2016</v>
      </c>
      <c r="BE863" s="270"/>
      <c r="BF863" s="420"/>
    </row>
    <row r="864" spans="1:58" ht="15" hidden="1" customHeight="1">
      <c r="A864" s="160" t="s">
        <v>1</v>
      </c>
      <c r="B864" s="58" t="s">
        <v>320</v>
      </c>
      <c r="C864" s="66" t="s">
        <v>419</v>
      </c>
      <c r="D864" s="33" t="s">
        <v>319</v>
      </c>
      <c r="E864" s="33"/>
      <c r="F864" s="33"/>
      <c r="G864" s="33"/>
      <c r="H864" s="30"/>
      <c r="I864" s="30"/>
      <c r="J864" s="212"/>
      <c r="K864" s="23"/>
      <c r="L864" s="23"/>
      <c r="M864" s="23"/>
      <c r="N864" s="23"/>
      <c r="O864" s="23"/>
      <c r="P864" s="23"/>
      <c r="Q864" s="23"/>
      <c r="R864" s="23"/>
      <c r="S864" s="23"/>
      <c r="T864" s="586"/>
      <c r="U864" s="23"/>
      <c r="V864" s="311"/>
      <c r="W864" s="311"/>
      <c r="X864" s="311"/>
      <c r="Y864" s="94"/>
      <c r="Z864" s="23"/>
      <c r="AA864" s="23"/>
      <c r="AB864" s="23"/>
      <c r="AC864" s="23"/>
      <c r="AD864" s="158"/>
      <c r="AE864" s="158"/>
      <c r="AF864" s="158"/>
      <c r="AG864" s="158"/>
      <c r="AH864" s="158"/>
      <c r="AI864" s="158"/>
      <c r="AJ864" s="158"/>
      <c r="AK864" s="158"/>
      <c r="AL864" s="158"/>
      <c r="AM864" s="158"/>
      <c r="AN864" s="158"/>
      <c r="AO864" s="23"/>
      <c r="AP864" s="23"/>
      <c r="AQ864" s="23"/>
      <c r="AR864" s="23"/>
      <c r="AS864" s="2"/>
      <c r="AT864" s="58"/>
      <c r="AU864" s="105"/>
      <c r="AV864" s="23">
        <v>1</v>
      </c>
      <c r="AW864" s="23"/>
      <c r="AX864" s="23"/>
      <c r="AY864" s="23"/>
      <c r="AZ864" s="23"/>
      <c r="BA864" s="23"/>
      <c r="BB864" s="223"/>
      <c r="BC864" s="223"/>
      <c r="BD864" s="270">
        <v>2016</v>
      </c>
      <c r="BE864" s="270"/>
      <c r="BF864" s="420"/>
    </row>
    <row r="865" spans="1:58" ht="15" hidden="1" customHeight="1">
      <c r="A865" s="160" t="s">
        <v>1</v>
      </c>
      <c r="B865" s="58" t="s">
        <v>320</v>
      </c>
      <c r="C865" s="66" t="s">
        <v>420</v>
      </c>
      <c r="D865" s="33" t="s">
        <v>319</v>
      </c>
      <c r="E865" s="33"/>
      <c r="F865" s="33"/>
      <c r="G865" s="33"/>
      <c r="H865" s="30"/>
      <c r="I865" s="30"/>
      <c r="J865" s="212"/>
      <c r="K865" s="23"/>
      <c r="L865" s="23"/>
      <c r="M865" s="23"/>
      <c r="N865" s="23"/>
      <c r="O865" s="23"/>
      <c r="P865" s="23"/>
      <c r="Q865" s="23"/>
      <c r="R865" s="23"/>
      <c r="S865" s="23"/>
      <c r="T865" s="586"/>
      <c r="U865" s="23"/>
      <c r="V865" s="311"/>
      <c r="W865" s="311"/>
      <c r="X865" s="311"/>
      <c r="Y865" s="94"/>
      <c r="Z865" s="23"/>
      <c r="AA865" s="23"/>
      <c r="AB865" s="23"/>
      <c r="AC865" s="23"/>
      <c r="AD865" s="158"/>
      <c r="AE865" s="158"/>
      <c r="AF865" s="158"/>
      <c r="AG865" s="158"/>
      <c r="AH865" s="158"/>
      <c r="AI865" s="158"/>
      <c r="AJ865" s="158"/>
      <c r="AK865" s="158"/>
      <c r="AL865" s="158"/>
      <c r="AM865" s="158"/>
      <c r="AN865" s="158"/>
      <c r="AO865" s="23"/>
      <c r="AP865" s="23"/>
      <c r="AQ865" s="23"/>
      <c r="AR865" s="23"/>
      <c r="AS865" s="2"/>
      <c r="AT865" s="58"/>
      <c r="AU865" s="105"/>
      <c r="AV865" s="23">
        <v>1</v>
      </c>
      <c r="AW865" s="23"/>
      <c r="AX865" s="23"/>
      <c r="AY865" s="23"/>
      <c r="AZ865" s="23"/>
      <c r="BA865" s="23"/>
      <c r="BB865" s="223"/>
      <c r="BC865" s="223"/>
      <c r="BD865" s="270">
        <v>2016</v>
      </c>
      <c r="BE865" s="270"/>
      <c r="BF865" s="420"/>
    </row>
    <row r="866" spans="1:58" ht="15" hidden="1" customHeight="1">
      <c r="A866" s="160" t="s">
        <v>1</v>
      </c>
      <c r="B866" s="58" t="s">
        <v>320</v>
      </c>
      <c r="C866" s="66" t="s">
        <v>421</v>
      </c>
      <c r="D866" s="33" t="s">
        <v>319</v>
      </c>
      <c r="E866" s="33"/>
      <c r="F866" s="33"/>
      <c r="G866" s="33"/>
      <c r="H866" s="30"/>
      <c r="I866" s="30"/>
      <c r="J866" s="212"/>
      <c r="K866" s="23"/>
      <c r="L866" s="23"/>
      <c r="M866" s="23"/>
      <c r="N866" s="23"/>
      <c r="O866" s="23"/>
      <c r="P866" s="23"/>
      <c r="Q866" s="23"/>
      <c r="R866" s="23"/>
      <c r="S866" s="23"/>
      <c r="T866" s="586"/>
      <c r="U866" s="23"/>
      <c r="V866" s="311"/>
      <c r="W866" s="311"/>
      <c r="X866" s="311"/>
      <c r="Y866" s="94"/>
      <c r="Z866" s="23"/>
      <c r="AA866" s="23"/>
      <c r="AB866" s="23"/>
      <c r="AC866" s="23"/>
      <c r="AD866" s="158"/>
      <c r="AE866" s="158"/>
      <c r="AF866" s="158"/>
      <c r="AG866" s="158"/>
      <c r="AH866" s="158"/>
      <c r="AI866" s="158"/>
      <c r="AJ866" s="158"/>
      <c r="AK866" s="158"/>
      <c r="AL866" s="158"/>
      <c r="AM866" s="158"/>
      <c r="AN866" s="158"/>
      <c r="AO866" s="23"/>
      <c r="AP866" s="23"/>
      <c r="AQ866" s="23"/>
      <c r="AR866" s="23"/>
      <c r="AS866" s="2"/>
      <c r="AT866" s="58"/>
      <c r="AU866" s="105"/>
      <c r="AV866" s="23">
        <v>1</v>
      </c>
      <c r="AW866" s="23"/>
      <c r="AX866" s="23"/>
      <c r="AY866" s="23"/>
      <c r="AZ866" s="23"/>
      <c r="BA866" s="23"/>
      <c r="BB866" s="223"/>
      <c r="BC866" s="223"/>
      <c r="BD866" s="270">
        <v>2016</v>
      </c>
      <c r="BE866" s="270"/>
      <c r="BF866" s="420"/>
    </row>
    <row r="867" spans="1:58" ht="15" hidden="1" customHeight="1">
      <c r="A867" s="160" t="s">
        <v>1</v>
      </c>
      <c r="B867" s="58" t="s">
        <v>320</v>
      </c>
      <c r="C867" s="66" t="s">
        <v>422</v>
      </c>
      <c r="D867" s="33" t="s">
        <v>319</v>
      </c>
      <c r="E867" s="33"/>
      <c r="F867" s="33"/>
      <c r="G867" s="33"/>
      <c r="H867" s="30"/>
      <c r="I867" s="30"/>
      <c r="J867" s="212"/>
      <c r="K867" s="23"/>
      <c r="L867" s="23"/>
      <c r="M867" s="23"/>
      <c r="N867" s="23"/>
      <c r="O867" s="23"/>
      <c r="P867" s="23"/>
      <c r="Q867" s="23"/>
      <c r="R867" s="23"/>
      <c r="S867" s="23"/>
      <c r="T867" s="586"/>
      <c r="U867" s="23"/>
      <c r="V867" s="311"/>
      <c r="W867" s="311"/>
      <c r="X867" s="311"/>
      <c r="Y867" s="94"/>
      <c r="Z867" s="23"/>
      <c r="AA867" s="23"/>
      <c r="AB867" s="23"/>
      <c r="AC867" s="23"/>
      <c r="AD867" s="158"/>
      <c r="AE867" s="158"/>
      <c r="AF867" s="158"/>
      <c r="AG867" s="158"/>
      <c r="AH867" s="158"/>
      <c r="AI867" s="158"/>
      <c r="AJ867" s="158"/>
      <c r="AK867" s="158"/>
      <c r="AL867" s="158"/>
      <c r="AM867" s="158"/>
      <c r="AN867" s="158"/>
      <c r="AO867" s="23"/>
      <c r="AP867" s="23"/>
      <c r="AQ867" s="23"/>
      <c r="AR867" s="23"/>
      <c r="AS867" s="2"/>
      <c r="AT867" s="58"/>
      <c r="AU867" s="105"/>
      <c r="AV867" s="23">
        <v>1</v>
      </c>
      <c r="AW867" s="23"/>
      <c r="AX867" s="23"/>
      <c r="AY867" s="23"/>
      <c r="AZ867" s="23"/>
      <c r="BA867" s="23"/>
      <c r="BB867" s="223"/>
      <c r="BC867" s="223"/>
      <c r="BD867" s="270">
        <v>2016</v>
      </c>
      <c r="BE867" s="270"/>
      <c r="BF867" s="420"/>
    </row>
    <row r="868" spans="1:58" ht="15" hidden="1" customHeight="1">
      <c r="A868" s="160" t="s">
        <v>1</v>
      </c>
      <c r="B868" s="58" t="s">
        <v>320</v>
      </c>
      <c r="C868" s="66" t="s">
        <v>423</v>
      </c>
      <c r="D868" s="33" t="s">
        <v>319</v>
      </c>
      <c r="E868" s="33"/>
      <c r="F868" s="33"/>
      <c r="G868" s="33"/>
      <c r="H868" s="30"/>
      <c r="I868" s="30"/>
      <c r="J868" s="212"/>
      <c r="K868" s="23"/>
      <c r="L868" s="23"/>
      <c r="M868" s="23"/>
      <c r="N868" s="23"/>
      <c r="O868" s="23"/>
      <c r="P868" s="23"/>
      <c r="Q868" s="23"/>
      <c r="R868" s="23"/>
      <c r="S868" s="23"/>
      <c r="T868" s="586"/>
      <c r="U868" s="23"/>
      <c r="V868" s="311"/>
      <c r="W868" s="311"/>
      <c r="X868" s="311"/>
      <c r="Y868" s="94"/>
      <c r="Z868" s="23"/>
      <c r="AA868" s="23"/>
      <c r="AB868" s="23"/>
      <c r="AC868" s="23"/>
      <c r="AD868" s="158"/>
      <c r="AE868" s="158"/>
      <c r="AF868" s="158"/>
      <c r="AG868" s="158"/>
      <c r="AH868" s="158"/>
      <c r="AI868" s="158"/>
      <c r="AJ868" s="158"/>
      <c r="AK868" s="158"/>
      <c r="AL868" s="158"/>
      <c r="AM868" s="158"/>
      <c r="AN868" s="158"/>
      <c r="AO868" s="23"/>
      <c r="AP868" s="23"/>
      <c r="AQ868" s="23"/>
      <c r="AR868" s="23"/>
      <c r="AS868" s="2"/>
      <c r="AT868" s="58"/>
      <c r="AU868" s="105"/>
      <c r="AV868" s="23">
        <v>1</v>
      </c>
      <c r="AW868" s="23"/>
      <c r="AX868" s="23"/>
      <c r="AY868" s="23"/>
      <c r="AZ868" s="23"/>
      <c r="BA868" s="23"/>
      <c r="BB868" s="223"/>
      <c r="BC868" s="223"/>
      <c r="BD868" s="270">
        <v>2016</v>
      </c>
      <c r="BE868" s="270"/>
      <c r="BF868" s="420"/>
    </row>
    <row r="869" spans="1:58" ht="15" hidden="1" customHeight="1">
      <c r="A869" s="160" t="s">
        <v>1</v>
      </c>
      <c r="B869" s="58" t="s">
        <v>320</v>
      </c>
      <c r="C869" s="66" t="s">
        <v>424</v>
      </c>
      <c r="D869" s="33" t="s">
        <v>319</v>
      </c>
      <c r="E869" s="33"/>
      <c r="F869" s="33"/>
      <c r="G869" s="33"/>
      <c r="H869" s="30"/>
      <c r="I869" s="30"/>
      <c r="J869" s="212"/>
      <c r="K869" s="23"/>
      <c r="L869" s="23"/>
      <c r="M869" s="23"/>
      <c r="N869" s="23"/>
      <c r="O869" s="23"/>
      <c r="P869" s="23"/>
      <c r="Q869" s="23"/>
      <c r="R869" s="23"/>
      <c r="S869" s="23"/>
      <c r="T869" s="586"/>
      <c r="U869" s="23"/>
      <c r="V869" s="311"/>
      <c r="W869" s="311"/>
      <c r="X869" s="311"/>
      <c r="Y869" s="94"/>
      <c r="Z869" s="23"/>
      <c r="AA869" s="23"/>
      <c r="AB869" s="23"/>
      <c r="AC869" s="23"/>
      <c r="AD869" s="158"/>
      <c r="AE869" s="158"/>
      <c r="AF869" s="158"/>
      <c r="AG869" s="158"/>
      <c r="AH869" s="158"/>
      <c r="AI869" s="158"/>
      <c r="AJ869" s="158"/>
      <c r="AK869" s="158"/>
      <c r="AL869" s="158"/>
      <c r="AM869" s="158"/>
      <c r="AN869" s="158"/>
      <c r="AO869" s="23"/>
      <c r="AP869" s="23"/>
      <c r="AQ869" s="23"/>
      <c r="AR869" s="23"/>
      <c r="AS869" s="2"/>
      <c r="AT869" s="58"/>
      <c r="AU869" s="105"/>
      <c r="AV869" s="23">
        <v>1</v>
      </c>
      <c r="AW869" s="23"/>
      <c r="AX869" s="23"/>
      <c r="AY869" s="23"/>
      <c r="AZ869" s="23"/>
      <c r="BA869" s="23"/>
      <c r="BB869" s="223"/>
      <c r="BC869" s="223"/>
      <c r="BD869" s="270">
        <v>2016</v>
      </c>
      <c r="BE869" s="270"/>
      <c r="BF869" s="421"/>
    </row>
    <row r="870" spans="1:58" ht="15" hidden="1" customHeight="1">
      <c r="A870" s="160" t="s">
        <v>1</v>
      </c>
      <c r="B870" s="58" t="s">
        <v>320</v>
      </c>
      <c r="C870" s="66" t="s">
        <v>425</v>
      </c>
      <c r="D870" s="33" t="s">
        <v>319</v>
      </c>
      <c r="E870" s="33"/>
      <c r="F870" s="33"/>
      <c r="G870" s="33"/>
      <c r="H870" s="30"/>
      <c r="I870" s="30"/>
      <c r="J870" s="212"/>
      <c r="K870" s="23"/>
      <c r="L870" s="23"/>
      <c r="M870" s="23"/>
      <c r="N870" s="23"/>
      <c r="O870" s="23"/>
      <c r="P870" s="23"/>
      <c r="Q870" s="23"/>
      <c r="R870" s="23"/>
      <c r="S870" s="23"/>
      <c r="T870" s="586"/>
      <c r="U870" s="23"/>
      <c r="V870" s="311"/>
      <c r="W870" s="311"/>
      <c r="X870" s="311"/>
      <c r="Y870" s="94"/>
      <c r="Z870" s="23"/>
      <c r="AA870" s="23"/>
      <c r="AB870" s="23"/>
      <c r="AC870" s="23"/>
      <c r="AD870" s="158"/>
      <c r="AE870" s="158"/>
      <c r="AF870" s="158"/>
      <c r="AG870" s="158"/>
      <c r="AH870" s="158"/>
      <c r="AI870" s="158"/>
      <c r="AJ870" s="158"/>
      <c r="AK870" s="158"/>
      <c r="AL870" s="158"/>
      <c r="AM870" s="158"/>
      <c r="AN870" s="158"/>
      <c r="AO870" s="23"/>
      <c r="AP870" s="23"/>
      <c r="AQ870" s="23"/>
      <c r="AR870" s="23"/>
      <c r="AS870" s="2"/>
      <c r="AT870" s="58"/>
      <c r="AU870" s="105"/>
      <c r="AV870" s="23">
        <v>1</v>
      </c>
      <c r="AW870" s="23"/>
      <c r="AX870" s="23"/>
      <c r="AY870" s="23"/>
      <c r="AZ870" s="23"/>
      <c r="BA870" s="23"/>
      <c r="BB870" s="223"/>
      <c r="BC870" s="223"/>
      <c r="BD870" s="270">
        <v>2016</v>
      </c>
      <c r="BE870" s="270"/>
      <c r="BF870" s="420"/>
    </row>
    <row r="871" spans="1:58" ht="15" hidden="1" customHeight="1">
      <c r="A871" s="160" t="s">
        <v>1</v>
      </c>
      <c r="B871" s="58" t="s">
        <v>320</v>
      </c>
      <c r="C871" s="66" t="s">
        <v>426</v>
      </c>
      <c r="D871" s="33" t="s">
        <v>319</v>
      </c>
      <c r="E871" s="33"/>
      <c r="F871" s="33"/>
      <c r="G871" s="33"/>
      <c r="H871" s="30"/>
      <c r="I871" s="30"/>
      <c r="J871" s="212"/>
      <c r="K871" s="23"/>
      <c r="L871" s="23"/>
      <c r="M871" s="23"/>
      <c r="N871" s="23"/>
      <c r="O871" s="23"/>
      <c r="P871" s="23"/>
      <c r="Q871" s="23"/>
      <c r="R871" s="23"/>
      <c r="S871" s="23"/>
      <c r="T871" s="586"/>
      <c r="U871" s="23"/>
      <c r="V871" s="311"/>
      <c r="W871" s="311"/>
      <c r="X871" s="311"/>
      <c r="Y871" s="94"/>
      <c r="Z871" s="23"/>
      <c r="AA871" s="23"/>
      <c r="AB871" s="23"/>
      <c r="AC871" s="23"/>
      <c r="AD871" s="158"/>
      <c r="AE871" s="158"/>
      <c r="AF871" s="158"/>
      <c r="AG871" s="158"/>
      <c r="AH871" s="158"/>
      <c r="AI871" s="158"/>
      <c r="AJ871" s="158"/>
      <c r="AK871" s="158"/>
      <c r="AL871" s="158"/>
      <c r="AM871" s="158"/>
      <c r="AN871" s="158"/>
      <c r="AO871" s="23"/>
      <c r="AP871" s="23"/>
      <c r="AQ871" s="23"/>
      <c r="AR871" s="23"/>
      <c r="AS871" s="2"/>
      <c r="AT871" s="58"/>
      <c r="AU871" s="105"/>
      <c r="AV871" s="23">
        <v>1</v>
      </c>
      <c r="AW871" s="23"/>
      <c r="AX871" s="23"/>
      <c r="AY871" s="23"/>
      <c r="AZ871" s="23"/>
      <c r="BA871" s="23"/>
      <c r="BB871" s="223"/>
      <c r="BC871" s="223"/>
      <c r="BD871" s="270">
        <v>2016</v>
      </c>
      <c r="BE871" s="270"/>
      <c r="BF871" s="420"/>
    </row>
    <row r="872" spans="1:58" ht="15" hidden="1" customHeight="1">
      <c r="A872" s="160" t="s">
        <v>1</v>
      </c>
      <c r="B872" s="58" t="s">
        <v>320</v>
      </c>
      <c r="C872" s="66" t="s">
        <v>427</v>
      </c>
      <c r="D872" s="33" t="s">
        <v>319</v>
      </c>
      <c r="E872" s="33"/>
      <c r="F872" s="33"/>
      <c r="G872" s="33"/>
      <c r="H872" s="30"/>
      <c r="I872" s="30"/>
      <c r="J872" s="212"/>
      <c r="K872" s="23"/>
      <c r="L872" s="23"/>
      <c r="M872" s="23"/>
      <c r="N872" s="23"/>
      <c r="O872" s="23"/>
      <c r="P872" s="23"/>
      <c r="Q872" s="23"/>
      <c r="R872" s="23"/>
      <c r="S872" s="23"/>
      <c r="T872" s="586"/>
      <c r="U872" s="23"/>
      <c r="V872" s="311"/>
      <c r="W872" s="311"/>
      <c r="X872" s="311"/>
      <c r="Y872" s="94"/>
      <c r="Z872" s="23"/>
      <c r="AA872" s="23"/>
      <c r="AB872" s="23"/>
      <c r="AC872" s="23"/>
      <c r="AD872" s="158"/>
      <c r="AE872" s="158"/>
      <c r="AF872" s="158"/>
      <c r="AG872" s="158"/>
      <c r="AH872" s="158"/>
      <c r="AI872" s="158"/>
      <c r="AJ872" s="158"/>
      <c r="AK872" s="158"/>
      <c r="AL872" s="158"/>
      <c r="AM872" s="158"/>
      <c r="AN872" s="158"/>
      <c r="AO872" s="23"/>
      <c r="AP872" s="23"/>
      <c r="AQ872" s="23"/>
      <c r="AR872" s="23"/>
      <c r="AS872" s="2"/>
      <c r="AT872" s="58"/>
      <c r="AU872" s="105"/>
      <c r="AV872" s="23">
        <v>1</v>
      </c>
      <c r="AW872" s="23"/>
      <c r="AX872" s="23"/>
      <c r="AY872" s="23"/>
      <c r="AZ872" s="23"/>
      <c r="BA872" s="23"/>
      <c r="BB872" s="223"/>
      <c r="BC872" s="223"/>
      <c r="BD872" s="270">
        <v>2016</v>
      </c>
      <c r="BE872" s="270"/>
      <c r="BF872" s="420"/>
    </row>
    <row r="873" spans="1:58" ht="15" hidden="1" customHeight="1">
      <c r="A873" s="160" t="s">
        <v>1</v>
      </c>
      <c r="B873" s="58" t="s">
        <v>320</v>
      </c>
      <c r="C873" s="66" t="s">
        <v>428</v>
      </c>
      <c r="D873" s="33" t="s">
        <v>319</v>
      </c>
      <c r="E873" s="33"/>
      <c r="F873" s="33"/>
      <c r="G873" s="33"/>
      <c r="H873" s="30"/>
      <c r="I873" s="30"/>
      <c r="J873" s="212"/>
      <c r="K873" s="23"/>
      <c r="L873" s="23"/>
      <c r="M873" s="23"/>
      <c r="N873" s="23"/>
      <c r="O873" s="23"/>
      <c r="P873" s="23"/>
      <c r="Q873" s="23"/>
      <c r="R873" s="23"/>
      <c r="S873" s="23"/>
      <c r="T873" s="586"/>
      <c r="U873" s="23"/>
      <c r="V873" s="311"/>
      <c r="W873" s="311"/>
      <c r="X873" s="311"/>
      <c r="Y873" s="94"/>
      <c r="Z873" s="23"/>
      <c r="AA873" s="23"/>
      <c r="AB873" s="23"/>
      <c r="AC873" s="23"/>
      <c r="AD873" s="158"/>
      <c r="AE873" s="158"/>
      <c r="AF873" s="158"/>
      <c r="AG873" s="158"/>
      <c r="AH873" s="158"/>
      <c r="AI873" s="158"/>
      <c r="AJ873" s="158"/>
      <c r="AK873" s="158"/>
      <c r="AL873" s="158"/>
      <c r="AM873" s="158"/>
      <c r="AN873" s="158"/>
      <c r="AO873" s="23"/>
      <c r="AP873" s="23"/>
      <c r="AQ873" s="23"/>
      <c r="AR873" s="23"/>
      <c r="AS873" s="2"/>
      <c r="AT873" s="58"/>
      <c r="AU873" s="105"/>
      <c r="AV873" s="23">
        <v>1</v>
      </c>
      <c r="AW873" s="23"/>
      <c r="AX873" s="23"/>
      <c r="AY873" s="23"/>
      <c r="AZ873" s="23"/>
      <c r="BA873" s="23"/>
      <c r="BB873" s="223"/>
      <c r="BC873" s="223"/>
      <c r="BD873" s="270">
        <v>2016</v>
      </c>
      <c r="BE873" s="270"/>
      <c r="BF873" s="420"/>
    </row>
    <row r="874" spans="1:58" ht="15" hidden="1" customHeight="1">
      <c r="A874" s="160" t="s">
        <v>1</v>
      </c>
      <c r="B874" s="58" t="s">
        <v>320</v>
      </c>
      <c r="C874" s="66" t="s">
        <v>429</v>
      </c>
      <c r="D874" s="33" t="s">
        <v>319</v>
      </c>
      <c r="E874" s="33"/>
      <c r="F874" s="33"/>
      <c r="G874" s="33"/>
      <c r="H874" s="30"/>
      <c r="I874" s="30"/>
      <c r="J874" s="212"/>
      <c r="K874" s="23"/>
      <c r="L874" s="23"/>
      <c r="M874" s="23"/>
      <c r="N874" s="23"/>
      <c r="O874" s="23"/>
      <c r="P874" s="23"/>
      <c r="Q874" s="23"/>
      <c r="R874" s="23"/>
      <c r="S874" s="23"/>
      <c r="T874" s="586"/>
      <c r="U874" s="23"/>
      <c r="V874" s="311"/>
      <c r="W874" s="311"/>
      <c r="X874" s="311"/>
      <c r="Y874" s="94"/>
      <c r="Z874" s="23"/>
      <c r="AA874" s="23"/>
      <c r="AB874" s="23"/>
      <c r="AC874" s="23"/>
      <c r="AD874" s="158"/>
      <c r="AE874" s="158"/>
      <c r="AF874" s="158"/>
      <c r="AG874" s="158"/>
      <c r="AH874" s="158"/>
      <c r="AI874" s="158"/>
      <c r="AJ874" s="158"/>
      <c r="AK874" s="158"/>
      <c r="AL874" s="158"/>
      <c r="AM874" s="158"/>
      <c r="AN874" s="158"/>
      <c r="AO874" s="23"/>
      <c r="AP874" s="23"/>
      <c r="AQ874" s="23"/>
      <c r="AR874" s="23"/>
      <c r="AS874" s="2"/>
      <c r="AT874" s="58"/>
      <c r="AU874" s="105"/>
      <c r="AV874" s="23">
        <v>1</v>
      </c>
      <c r="AW874" s="23"/>
      <c r="AX874" s="23"/>
      <c r="AY874" s="23"/>
      <c r="AZ874" s="23"/>
      <c r="BA874" s="23"/>
      <c r="BB874" s="223"/>
      <c r="BC874" s="223"/>
      <c r="BD874" s="270">
        <v>2016</v>
      </c>
      <c r="BE874" s="270"/>
      <c r="BF874" s="420"/>
    </row>
    <row r="875" spans="1:58" ht="15" hidden="1" customHeight="1">
      <c r="A875" s="160" t="s">
        <v>1</v>
      </c>
      <c r="B875" s="58" t="s">
        <v>320</v>
      </c>
      <c r="C875" s="66" t="s">
        <v>430</v>
      </c>
      <c r="D875" s="33" t="s">
        <v>319</v>
      </c>
      <c r="E875" s="33"/>
      <c r="F875" s="33"/>
      <c r="G875" s="33"/>
      <c r="H875" s="30"/>
      <c r="I875" s="30"/>
      <c r="J875" s="212"/>
      <c r="K875" s="23"/>
      <c r="L875" s="23"/>
      <c r="M875" s="23"/>
      <c r="N875" s="23"/>
      <c r="O875" s="23"/>
      <c r="P875" s="23"/>
      <c r="Q875" s="23"/>
      <c r="R875" s="23"/>
      <c r="S875" s="23"/>
      <c r="T875" s="586"/>
      <c r="U875" s="23"/>
      <c r="V875" s="311"/>
      <c r="W875" s="311"/>
      <c r="X875" s="311"/>
      <c r="Y875" s="94"/>
      <c r="Z875" s="23"/>
      <c r="AA875" s="23"/>
      <c r="AB875" s="23"/>
      <c r="AC875" s="23"/>
      <c r="AD875" s="158"/>
      <c r="AE875" s="158"/>
      <c r="AF875" s="158"/>
      <c r="AG875" s="158"/>
      <c r="AH875" s="158"/>
      <c r="AI875" s="158"/>
      <c r="AJ875" s="158"/>
      <c r="AK875" s="158"/>
      <c r="AL875" s="158"/>
      <c r="AM875" s="158"/>
      <c r="AN875" s="158"/>
      <c r="AO875" s="23"/>
      <c r="AP875" s="23"/>
      <c r="AQ875" s="23"/>
      <c r="AR875" s="23"/>
      <c r="AS875" s="2"/>
      <c r="AT875" s="58"/>
      <c r="AU875" s="105"/>
      <c r="AV875" s="23">
        <v>1</v>
      </c>
      <c r="AW875" s="23"/>
      <c r="AX875" s="23"/>
      <c r="AY875" s="23"/>
      <c r="AZ875" s="23"/>
      <c r="BA875" s="23"/>
      <c r="BB875" s="223"/>
      <c r="BC875" s="223"/>
      <c r="BD875" s="270">
        <v>2016</v>
      </c>
      <c r="BE875" s="270"/>
      <c r="BF875" s="420"/>
    </row>
    <row r="876" spans="1:58" ht="15" hidden="1" customHeight="1">
      <c r="A876" s="160" t="s">
        <v>1</v>
      </c>
      <c r="B876" s="58" t="s">
        <v>320</v>
      </c>
      <c r="C876" s="66" t="s">
        <v>431</v>
      </c>
      <c r="D876" s="33" t="s">
        <v>319</v>
      </c>
      <c r="E876" s="33"/>
      <c r="F876" s="33"/>
      <c r="G876" s="33"/>
      <c r="H876" s="30"/>
      <c r="I876" s="30"/>
      <c r="J876" s="212"/>
      <c r="K876" s="23"/>
      <c r="L876" s="23"/>
      <c r="M876" s="23"/>
      <c r="N876" s="23"/>
      <c r="O876" s="23"/>
      <c r="P876" s="23"/>
      <c r="Q876" s="23"/>
      <c r="R876" s="23"/>
      <c r="S876" s="23"/>
      <c r="T876" s="586"/>
      <c r="U876" s="23"/>
      <c r="V876" s="311"/>
      <c r="W876" s="311"/>
      <c r="X876" s="311"/>
      <c r="Y876" s="94"/>
      <c r="Z876" s="23"/>
      <c r="AA876" s="23"/>
      <c r="AB876" s="23"/>
      <c r="AC876" s="23"/>
      <c r="AD876" s="158"/>
      <c r="AE876" s="158"/>
      <c r="AF876" s="158"/>
      <c r="AG876" s="158"/>
      <c r="AH876" s="158"/>
      <c r="AI876" s="158"/>
      <c r="AJ876" s="158"/>
      <c r="AK876" s="158"/>
      <c r="AL876" s="158"/>
      <c r="AM876" s="158"/>
      <c r="AN876" s="158"/>
      <c r="AO876" s="23"/>
      <c r="AP876" s="23"/>
      <c r="AQ876" s="23"/>
      <c r="AR876" s="23"/>
      <c r="AS876" s="2"/>
      <c r="AT876" s="58"/>
      <c r="AU876" s="105"/>
      <c r="AV876" s="23">
        <v>1</v>
      </c>
      <c r="AW876" s="23"/>
      <c r="AX876" s="23"/>
      <c r="AY876" s="23"/>
      <c r="AZ876" s="23"/>
      <c r="BA876" s="23"/>
      <c r="BB876" s="223"/>
      <c r="BC876" s="223"/>
      <c r="BD876" s="270">
        <v>2016</v>
      </c>
      <c r="BE876" s="270"/>
      <c r="BF876" s="420"/>
    </row>
    <row r="877" spans="1:58" ht="15" hidden="1" customHeight="1">
      <c r="A877" s="160" t="s">
        <v>1</v>
      </c>
      <c r="B877" s="58" t="s">
        <v>320</v>
      </c>
      <c r="C877" s="66" t="s">
        <v>432</v>
      </c>
      <c r="D877" s="33" t="s">
        <v>319</v>
      </c>
      <c r="E877" s="33"/>
      <c r="F877" s="33"/>
      <c r="G877" s="33"/>
      <c r="H877" s="30"/>
      <c r="I877" s="30"/>
      <c r="J877" s="212"/>
      <c r="K877" s="23"/>
      <c r="L877" s="23"/>
      <c r="M877" s="23"/>
      <c r="N877" s="23"/>
      <c r="O877" s="23"/>
      <c r="P877" s="23"/>
      <c r="Q877" s="23"/>
      <c r="R877" s="23"/>
      <c r="S877" s="23"/>
      <c r="T877" s="586"/>
      <c r="U877" s="23"/>
      <c r="V877" s="311"/>
      <c r="W877" s="311"/>
      <c r="X877" s="311"/>
      <c r="Y877" s="94"/>
      <c r="Z877" s="23"/>
      <c r="AA877" s="23"/>
      <c r="AB877" s="23"/>
      <c r="AC877" s="23"/>
      <c r="AD877" s="158"/>
      <c r="AE877" s="158"/>
      <c r="AF877" s="158"/>
      <c r="AG877" s="158"/>
      <c r="AH877" s="158"/>
      <c r="AI877" s="158"/>
      <c r="AJ877" s="158"/>
      <c r="AK877" s="158"/>
      <c r="AL877" s="158"/>
      <c r="AM877" s="158"/>
      <c r="AN877" s="158"/>
      <c r="AO877" s="23"/>
      <c r="AP877" s="23"/>
      <c r="AQ877" s="23"/>
      <c r="AR877" s="23"/>
      <c r="AS877" s="2"/>
      <c r="AT877" s="58"/>
      <c r="AU877" s="105"/>
      <c r="AV877" s="23">
        <v>1</v>
      </c>
      <c r="AW877" s="23"/>
      <c r="AX877" s="23"/>
      <c r="AY877" s="23"/>
      <c r="AZ877" s="23"/>
      <c r="BA877" s="23"/>
      <c r="BB877" s="223"/>
      <c r="BC877" s="223"/>
      <c r="BD877" s="270">
        <v>2016</v>
      </c>
      <c r="BE877" s="270"/>
      <c r="BF877" s="420"/>
    </row>
    <row r="878" spans="1:58" ht="15" hidden="1" customHeight="1">
      <c r="A878" s="160" t="s">
        <v>1</v>
      </c>
      <c r="B878" s="58" t="s">
        <v>320</v>
      </c>
      <c r="C878" s="66" t="s">
        <v>433</v>
      </c>
      <c r="D878" s="33" t="s">
        <v>319</v>
      </c>
      <c r="E878" s="33"/>
      <c r="F878" s="33"/>
      <c r="G878" s="33"/>
      <c r="H878" s="30"/>
      <c r="I878" s="30"/>
      <c r="J878" s="212"/>
      <c r="K878" s="23"/>
      <c r="L878" s="23"/>
      <c r="M878" s="23"/>
      <c r="N878" s="23"/>
      <c r="O878" s="23"/>
      <c r="P878" s="23"/>
      <c r="Q878" s="23"/>
      <c r="R878" s="23"/>
      <c r="S878" s="23"/>
      <c r="T878" s="586"/>
      <c r="U878" s="23"/>
      <c r="V878" s="311"/>
      <c r="W878" s="311"/>
      <c r="X878" s="311"/>
      <c r="Y878" s="94"/>
      <c r="Z878" s="23"/>
      <c r="AA878" s="23"/>
      <c r="AB878" s="23"/>
      <c r="AC878" s="23"/>
      <c r="AD878" s="158"/>
      <c r="AE878" s="158"/>
      <c r="AF878" s="158"/>
      <c r="AG878" s="158"/>
      <c r="AH878" s="158"/>
      <c r="AI878" s="158"/>
      <c r="AJ878" s="158"/>
      <c r="AK878" s="158"/>
      <c r="AL878" s="158"/>
      <c r="AM878" s="158"/>
      <c r="AN878" s="158"/>
      <c r="AO878" s="23"/>
      <c r="AP878" s="23"/>
      <c r="AQ878" s="23"/>
      <c r="AR878" s="23"/>
      <c r="AS878" s="2"/>
      <c r="AT878" s="58"/>
      <c r="AU878" s="105"/>
      <c r="AV878" s="23">
        <v>1</v>
      </c>
      <c r="AW878" s="23"/>
      <c r="AX878" s="23"/>
      <c r="AY878" s="23"/>
      <c r="AZ878" s="23"/>
      <c r="BA878" s="23"/>
      <c r="BB878" s="223"/>
      <c r="BC878" s="223"/>
      <c r="BD878" s="270">
        <v>2016</v>
      </c>
      <c r="BE878" s="270"/>
      <c r="BF878" s="420"/>
    </row>
    <row r="879" spans="1:58" ht="15" hidden="1" customHeight="1">
      <c r="A879" s="160" t="s">
        <v>1</v>
      </c>
      <c r="B879" s="58" t="s">
        <v>320</v>
      </c>
      <c r="C879" s="66" t="s">
        <v>434</v>
      </c>
      <c r="D879" s="33" t="s">
        <v>319</v>
      </c>
      <c r="E879" s="33"/>
      <c r="F879" s="33"/>
      <c r="G879" s="33"/>
      <c r="H879" s="30"/>
      <c r="I879" s="30"/>
      <c r="J879" s="212"/>
      <c r="K879" s="23"/>
      <c r="L879" s="23"/>
      <c r="M879" s="23"/>
      <c r="N879" s="23"/>
      <c r="O879" s="23"/>
      <c r="P879" s="23"/>
      <c r="Q879" s="23"/>
      <c r="R879" s="23"/>
      <c r="S879" s="23"/>
      <c r="T879" s="586"/>
      <c r="U879" s="23"/>
      <c r="V879" s="311"/>
      <c r="W879" s="311"/>
      <c r="X879" s="311"/>
      <c r="Y879" s="94"/>
      <c r="Z879" s="23"/>
      <c r="AA879" s="23"/>
      <c r="AB879" s="23"/>
      <c r="AC879" s="23"/>
      <c r="AD879" s="158"/>
      <c r="AE879" s="158"/>
      <c r="AF879" s="158"/>
      <c r="AG879" s="158"/>
      <c r="AH879" s="158"/>
      <c r="AI879" s="158"/>
      <c r="AJ879" s="158"/>
      <c r="AK879" s="158"/>
      <c r="AL879" s="158"/>
      <c r="AM879" s="158"/>
      <c r="AN879" s="158"/>
      <c r="AO879" s="23"/>
      <c r="AP879" s="23"/>
      <c r="AQ879" s="23"/>
      <c r="AR879" s="23"/>
      <c r="AS879" s="2"/>
      <c r="AT879" s="58"/>
      <c r="AU879" s="105"/>
      <c r="AV879" s="23">
        <v>1</v>
      </c>
      <c r="AW879" s="23"/>
      <c r="AX879" s="23"/>
      <c r="AY879" s="23"/>
      <c r="AZ879" s="23"/>
      <c r="BA879" s="23"/>
      <c r="BB879" s="223"/>
      <c r="BC879" s="223"/>
      <c r="BD879" s="270">
        <v>2016</v>
      </c>
      <c r="BE879" s="270"/>
      <c r="BF879" s="420"/>
    </row>
    <row r="880" spans="1:58" ht="15" hidden="1" customHeight="1">
      <c r="A880" s="160" t="s">
        <v>1</v>
      </c>
      <c r="B880" s="58" t="s">
        <v>320</v>
      </c>
      <c r="C880" s="66" t="s">
        <v>435</v>
      </c>
      <c r="D880" s="33" t="s">
        <v>319</v>
      </c>
      <c r="E880" s="33"/>
      <c r="F880" s="33"/>
      <c r="G880" s="33"/>
      <c r="H880" s="30"/>
      <c r="I880" s="30"/>
      <c r="J880" s="212"/>
      <c r="K880" s="23"/>
      <c r="L880" s="23"/>
      <c r="M880" s="23"/>
      <c r="N880" s="23"/>
      <c r="O880" s="23"/>
      <c r="P880" s="23"/>
      <c r="Q880" s="23"/>
      <c r="R880" s="23"/>
      <c r="S880" s="23"/>
      <c r="T880" s="586"/>
      <c r="U880" s="23"/>
      <c r="V880" s="311"/>
      <c r="W880" s="311"/>
      <c r="X880" s="311"/>
      <c r="Y880" s="94"/>
      <c r="Z880" s="23"/>
      <c r="AA880" s="23"/>
      <c r="AB880" s="23"/>
      <c r="AC880" s="23"/>
      <c r="AD880" s="158"/>
      <c r="AE880" s="158"/>
      <c r="AF880" s="158"/>
      <c r="AG880" s="158"/>
      <c r="AH880" s="158"/>
      <c r="AI880" s="158"/>
      <c r="AJ880" s="158"/>
      <c r="AK880" s="158"/>
      <c r="AL880" s="158"/>
      <c r="AM880" s="158"/>
      <c r="AN880" s="158"/>
      <c r="AO880" s="23"/>
      <c r="AP880" s="23"/>
      <c r="AQ880" s="23"/>
      <c r="AR880" s="23"/>
      <c r="AS880" s="2"/>
      <c r="AT880" s="58"/>
      <c r="AU880" s="105"/>
      <c r="AV880" s="23">
        <v>1</v>
      </c>
      <c r="AW880" s="23"/>
      <c r="AX880" s="23"/>
      <c r="AY880" s="23"/>
      <c r="AZ880" s="23"/>
      <c r="BA880" s="23"/>
      <c r="BB880" s="223"/>
      <c r="BC880" s="223"/>
      <c r="BD880" s="270">
        <v>2016</v>
      </c>
      <c r="BE880" s="270"/>
      <c r="BF880" s="420"/>
    </row>
    <row r="881" spans="1:58" ht="15" hidden="1" customHeight="1">
      <c r="A881" s="160" t="s">
        <v>1</v>
      </c>
      <c r="B881" s="58" t="s">
        <v>320</v>
      </c>
      <c r="C881" s="66" t="s">
        <v>436</v>
      </c>
      <c r="D881" s="33" t="s">
        <v>319</v>
      </c>
      <c r="E881" s="33"/>
      <c r="F881" s="33"/>
      <c r="G881" s="33"/>
      <c r="H881" s="30"/>
      <c r="I881" s="30"/>
      <c r="J881" s="212"/>
      <c r="K881" s="23"/>
      <c r="L881" s="23"/>
      <c r="M881" s="23"/>
      <c r="N881" s="23"/>
      <c r="O881" s="23"/>
      <c r="P881" s="23"/>
      <c r="Q881" s="23"/>
      <c r="R881" s="23"/>
      <c r="S881" s="23"/>
      <c r="T881" s="586"/>
      <c r="U881" s="23"/>
      <c r="V881" s="311"/>
      <c r="W881" s="311"/>
      <c r="X881" s="311"/>
      <c r="Y881" s="94"/>
      <c r="Z881" s="23"/>
      <c r="AA881" s="23"/>
      <c r="AB881" s="23"/>
      <c r="AC881" s="23"/>
      <c r="AD881" s="158"/>
      <c r="AE881" s="158"/>
      <c r="AF881" s="158"/>
      <c r="AG881" s="158"/>
      <c r="AH881" s="158"/>
      <c r="AI881" s="158"/>
      <c r="AJ881" s="158"/>
      <c r="AK881" s="158"/>
      <c r="AL881" s="158"/>
      <c r="AM881" s="158"/>
      <c r="AN881" s="158"/>
      <c r="AO881" s="23"/>
      <c r="AP881" s="23"/>
      <c r="AQ881" s="23"/>
      <c r="AR881" s="23"/>
      <c r="AS881" s="2"/>
      <c r="AT881" s="58"/>
      <c r="AU881" s="105"/>
      <c r="AV881" s="23">
        <v>1</v>
      </c>
      <c r="AW881" s="23"/>
      <c r="AX881" s="23"/>
      <c r="AY881" s="23"/>
      <c r="AZ881" s="23"/>
      <c r="BA881" s="23"/>
      <c r="BB881" s="223"/>
      <c r="BC881" s="223"/>
      <c r="BD881" s="270">
        <v>2016</v>
      </c>
      <c r="BE881" s="270"/>
      <c r="BF881" s="420"/>
    </row>
    <row r="882" spans="1:58" ht="18" hidden="1" customHeight="1">
      <c r="A882" s="160" t="s">
        <v>1</v>
      </c>
      <c r="B882" s="58" t="s">
        <v>320</v>
      </c>
      <c r="C882" s="66" t="s">
        <v>1043</v>
      </c>
      <c r="D882" s="33" t="s">
        <v>387</v>
      </c>
      <c r="E882" s="33"/>
      <c r="F882" s="33"/>
      <c r="G882" s="33"/>
      <c r="H882" s="30" t="s">
        <v>1929</v>
      </c>
      <c r="I882" s="30">
        <v>520</v>
      </c>
      <c r="J882" s="212">
        <v>2018</v>
      </c>
      <c r="K882" s="23"/>
      <c r="L882" s="23">
        <v>1</v>
      </c>
      <c r="M882" s="23"/>
      <c r="N882" s="23"/>
      <c r="O882" s="23"/>
      <c r="P882" s="23">
        <v>56837553</v>
      </c>
      <c r="Q882" s="23"/>
      <c r="R882" s="23"/>
      <c r="S882" s="23"/>
      <c r="T882" s="586">
        <v>48311920</v>
      </c>
      <c r="U882" s="23"/>
      <c r="V882" s="311"/>
      <c r="W882" s="311"/>
      <c r="X882" s="311"/>
      <c r="Y882" s="23">
        <v>8525633</v>
      </c>
      <c r="Z882" s="23"/>
      <c r="AA882" s="23"/>
      <c r="AB882" s="23"/>
      <c r="AC882" s="23"/>
      <c r="AD882" s="158"/>
      <c r="AE882" s="158">
        <f>P882-T882-Y882</f>
        <v>0</v>
      </c>
      <c r="AF882" s="158"/>
      <c r="AG882" s="158"/>
      <c r="AH882" s="158"/>
      <c r="AI882" s="158"/>
      <c r="AJ882" s="158"/>
      <c r="AK882" s="158"/>
      <c r="AL882" s="158"/>
      <c r="AM882" s="158"/>
      <c r="AN882" s="158"/>
      <c r="AO882" s="23"/>
      <c r="AP882" s="23"/>
      <c r="AQ882" s="23"/>
      <c r="AR882" s="23"/>
      <c r="AS882" s="2">
        <v>1</v>
      </c>
      <c r="AT882" s="58" t="s">
        <v>646</v>
      </c>
      <c r="AU882" s="386" t="s">
        <v>1846</v>
      </c>
      <c r="AV882" s="23">
        <v>1</v>
      </c>
      <c r="AW882" s="23"/>
      <c r="AX882" s="23"/>
      <c r="AY882" s="23">
        <v>1</v>
      </c>
      <c r="AZ882" s="23"/>
      <c r="BA882" s="23"/>
      <c r="BB882" s="223">
        <v>1</v>
      </c>
      <c r="BC882" s="223"/>
      <c r="BD882" s="430">
        <v>2019</v>
      </c>
      <c r="BE882" s="270">
        <v>2019</v>
      </c>
      <c r="BF882" s="271"/>
    </row>
    <row r="883" spans="1:58" ht="15" hidden="1" customHeight="1">
      <c r="A883" s="160" t="s">
        <v>1</v>
      </c>
      <c r="B883" s="58" t="s">
        <v>320</v>
      </c>
      <c r="C883" s="66" t="s">
        <v>437</v>
      </c>
      <c r="D883" s="33" t="s">
        <v>387</v>
      </c>
      <c r="E883" s="33"/>
      <c r="F883" s="33"/>
      <c r="G883" s="33"/>
      <c r="H883" s="30"/>
      <c r="I883" s="30"/>
      <c r="J883" s="212"/>
      <c r="K883" s="23"/>
      <c r="L883" s="23"/>
      <c r="M883" s="23"/>
      <c r="N883" s="23"/>
      <c r="O883" s="23"/>
      <c r="P883" s="23"/>
      <c r="Q883" s="23"/>
      <c r="R883" s="23"/>
      <c r="S883" s="23"/>
      <c r="T883" s="586"/>
      <c r="U883" s="23"/>
      <c r="V883" s="311"/>
      <c r="W883" s="311"/>
      <c r="X883" s="311"/>
      <c r="Y883" s="94"/>
      <c r="Z883" s="23"/>
      <c r="AA883" s="23"/>
      <c r="AB883" s="23"/>
      <c r="AC883" s="23"/>
      <c r="AD883" s="158"/>
      <c r="AE883" s="158"/>
      <c r="AF883" s="158"/>
      <c r="AG883" s="158"/>
      <c r="AH883" s="158"/>
      <c r="AI883" s="158"/>
      <c r="AJ883" s="158"/>
      <c r="AK883" s="158"/>
      <c r="AL883" s="158"/>
      <c r="AM883" s="158"/>
      <c r="AN883" s="158"/>
      <c r="AO883" s="23"/>
      <c r="AP883" s="23"/>
      <c r="AQ883" s="23"/>
      <c r="AR883" s="23"/>
      <c r="AS883" s="2"/>
      <c r="AT883" s="58"/>
      <c r="AU883" s="105"/>
      <c r="AV883" s="23">
        <v>1</v>
      </c>
      <c r="AW883" s="23"/>
      <c r="AX883" s="23"/>
      <c r="AY883" s="23"/>
      <c r="AZ883" s="23"/>
      <c r="BA883" s="23"/>
      <c r="BB883" s="223"/>
      <c r="BC883" s="223"/>
      <c r="BD883" s="270">
        <v>2016</v>
      </c>
      <c r="BE883" s="270"/>
      <c r="BF883" s="420"/>
    </row>
    <row r="884" spans="1:58" s="204" customFormat="1" ht="18" customHeight="1">
      <c r="A884" s="160" t="s">
        <v>1</v>
      </c>
      <c r="B884" s="58" t="s">
        <v>320</v>
      </c>
      <c r="C884" s="66" t="s">
        <v>438</v>
      </c>
      <c r="D884" s="33" t="s">
        <v>438</v>
      </c>
      <c r="E884" s="33"/>
      <c r="F884" s="33"/>
      <c r="G884" s="33"/>
      <c r="H884" s="30" t="s">
        <v>664</v>
      </c>
      <c r="I884" s="30">
        <v>602</v>
      </c>
      <c r="J884" s="212">
        <v>42458</v>
      </c>
      <c r="K884" s="23"/>
      <c r="L884" s="23"/>
      <c r="M884" s="23">
        <f>14-1-1-1-1-1</f>
        <v>9</v>
      </c>
      <c r="N884" s="23"/>
      <c r="O884" s="23">
        <v>9</v>
      </c>
      <c r="P884" s="23"/>
      <c r="Q884" s="23"/>
      <c r="R884" s="23"/>
      <c r="S884" s="23"/>
      <c r="T884" s="586"/>
      <c r="U884" s="23"/>
      <c r="V884" s="311"/>
      <c r="W884" s="311"/>
      <c r="X884" s="311"/>
      <c r="Y884" s="94"/>
      <c r="Z884" s="23"/>
      <c r="AA884" s="23"/>
      <c r="AB884" s="23"/>
      <c r="AC884" s="23"/>
      <c r="AD884" s="158"/>
      <c r="AE884" s="158">
        <f>P884-T884-Y884</f>
        <v>0</v>
      </c>
      <c r="AF884" s="158"/>
      <c r="AG884" s="94">
        <v>0</v>
      </c>
      <c r="AH884" s="94"/>
      <c r="AI884" s="94"/>
      <c r="AJ884" s="158">
        <f t="shared" ref="AJ884:AJ885" si="156">AE884+AG884</f>
        <v>0</v>
      </c>
      <c r="AK884" s="158"/>
      <c r="AL884" s="158"/>
      <c r="AM884" s="158">
        <v>9</v>
      </c>
      <c r="AN884" s="158"/>
      <c r="AO884" s="23"/>
      <c r="AP884" s="23"/>
      <c r="AQ884" s="23"/>
      <c r="AR884" s="23"/>
      <c r="AS884" s="24">
        <v>0</v>
      </c>
      <c r="AT884" s="58" t="s">
        <v>521</v>
      </c>
      <c r="AU884" s="386"/>
      <c r="AV884" s="23"/>
      <c r="AW884" s="23"/>
      <c r="AX884" s="23"/>
      <c r="AY884" s="23"/>
      <c r="AZ884" s="23"/>
      <c r="BA884" s="23"/>
      <c r="BB884" s="223"/>
      <c r="BC884" s="223"/>
      <c r="BD884" s="271"/>
      <c r="BE884" s="271">
        <v>2019</v>
      </c>
      <c r="BF884" s="271">
        <v>2020</v>
      </c>
    </row>
    <row r="885" spans="1:58" ht="18" hidden="1" customHeight="1">
      <c r="A885" s="160" t="s">
        <v>1</v>
      </c>
      <c r="B885" s="58" t="s">
        <v>320</v>
      </c>
      <c r="C885" s="66" t="s">
        <v>888</v>
      </c>
      <c r="D885" s="33" t="s">
        <v>438</v>
      </c>
      <c r="E885" s="33"/>
      <c r="F885" s="33"/>
      <c r="G885" s="33"/>
      <c r="H885" s="30" t="s">
        <v>664</v>
      </c>
      <c r="I885" s="30">
        <v>864</v>
      </c>
      <c r="J885" s="212">
        <v>43602</v>
      </c>
      <c r="K885" s="23"/>
      <c r="L885" s="23">
        <v>1</v>
      </c>
      <c r="M885" s="23"/>
      <c r="N885" s="23"/>
      <c r="O885" s="23"/>
      <c r="P885" s="23">
        <v>68530000</v>
      </c>
      <c r="Q885" s="23"/>
      <c r="R885" s="23"/>
      <c r="S885" s="23"/>
      <c r="T885" s="586">
        <v>68530000</v>
      </c>
      <c r="U885" s="23">
        <v>20</v>
      </c>
      <c r="V885" s="311">
        <v>43617</v>
      </c>
      <c r="W885" s="311"/>
      <c r="X885" s="311"/>
      <c r="Y885" s="94"/>
      <c r="Z885" s="23"/>
      <c r="AA885" s="23"/>
      <c r="AB885" s="23"/>
      <c r="AC885" s="23"/>
      <c r="AD885" s="158"/>
      <c r="AE885" s="158">
        <f>P885-T885-Y885</f>
        <v>0</v>
      </c>
      <c r="AF885" s="158"/>
      <c r="AG885" s="94">
        <v>0</v>
      </c>
      <c r="AH885" s="94"/>
      <c r="AI885" s="94"/>
      <c r="AJ885" s="158">
        <f t="shared" si="156"/>
        <v>0</v>
      </c>
      <c r="AK885" s="158">
        <v>877</v>
      </c>
      <c r="AL885" s="158">
        <v>20</v>
      </c>
      <c r="AM885" s="158"/>
      <c r="AN885" s="158"/>
      <c r="AO885" s="23"/>
      <c r="AP885" s="23"/>
      <c r="AQ885" s="23"/>
      <c r="AR885" s="23"/>
      <c r="AS885" s="2">
        <v>1</v>
      </c>
      <c r="AT885" s="58" t="s">
        <v>646</v>
      </c>
      <c r="AU885" s="386" t="s">
        <v>1744</v>
      </c>
      <c r="AV885" s="23"/>
      <c r="AW885" s="23"/>
      <c r="AX885" s="23"/>
      <c r="AY885" s="23">
        <v>1</v>
      </c>
      <c r="AZ885" s="23"/>
      <c r="BA885" s="23"/>
      <c r="BB885" s="223">
        <v>1</v>
      </c>
      <c r="BC885" s="223"/>
      <c r="BD885" s="270">
        <v>2019</v>
      </c>
      <c r="BE885" s="270">
        <v>2019</v>
      </c>
      <c r="BF885" s="271"/>
    </row>
    <row r="886" spans="1:58" ht="24.75" hidden="1" customHeight="1">
      <c r="A886" s="160" t="s">
        <v>1</v>
      </c>
      <c r="B886" s="58" t="s">
        <v>320</v>
      </c>
      <c r="C886" s="66" t="s">
        <v>964</v>
      </c>
      <c r="D886" s="33" t="s">
        <v>438</v>
      </c>
      <c r="E886" s="33"/>
      <c r="F886" s="33"/>
      <c r="G886" s="33"/>
      <c r="H886" s="30" t="s">
        <v>664</v>
      </c>
      <c r="I886" s="30">
        <v>602</v>
      </c>
      <c r="J886" s="212">
        <v>42458</v>
      </c>
      <c r="K886" s="23"/>
      <c r="L886" s="23"/>
      <c r="M886" s="23"/>
      <c r="N886" s="23"/>
      <c r="O886" s="23"/>
      <c r="P886" s="23"/>
      <c r="Q886" s="23"/>
      <c r="R886" s="23"/>
      <c r="S886" s="23"/>
      <c r="T886" s="586"/>
      <c r="U886" s="23"/>
      <c r="V886" s="311"/>
      <c r="W886" s="311"/>
      <c r="X886" s="311"/>
      <c r="Y886" s="94"/>
      <c r="Z886" s="23"/>
      <c r="AA886" s="23"/>
      <c r="AB886" s="23"/>
      <c r="AC886" s="23"/>
      <c r="AD886" s="158"/>
      <c r="AE886" s="158"/>
      <c r="AF886" s="158"/>
      <c r="AG886" s="158"/>
      <c r="AH886" s="158"/>
      <c r="AI886" s="158"/>
      <c r="AJ886" s="158"/>
      <c r="AK886" s="158"/>
      <c r="AL886" s="158"/>
      <c r="AM886" s="158"/>
      <c r="AN886" s="158"/>
      <c r="AO886" s="23"/>
      <c r="AP886" s="23"/>
      <c r="AQ886" s="23"/>
      <c r="AR886" s="23"/>
      <c r="AS886" s="24">
        <v>1</v>
      </c>
      <c r="AT886" s="58" t="s">
        <v>646</v>
      </c>
      <c r="AU886" s="105"/>
      <c r="AV886" s="23"/>
      <c r="AW886" s="23"/>
      <c r="AX886" s="23">
        <v>1</v>
      </c>
      <c r="AY886" s="23"/>
      <c r="AZ886" s="23"/>
      <c r="BA886" s="23">
        <v>1</v>
      </c>
      <c r="BB886" s="223"/>
      <c r="BC886" s="223"/>
      <c r="BD886" s="270">
        <v>2018</v>
      </c>
      <c r="BE886" s="270"/>
      <c r="BF886" s="420"/>
    </row>
    <row r="887" spans="1:58" ht="15" hidden="1" customHeight="1">
      <c r="A887" s="160" t="s">
        <v>1</v>
      </c>
      <c r="B887" s="58" t="s">
        <v>320</v>
      </c>
      <c r="C887" s="66" t="s">
        <v>439</v>
      </c>
      <c r="D887" s="33" t="s">
        <v>319</v>
      </c>
      <c r="E887" s="33"/>
      <c r="F887" s="33"/>
      <c r="G887" s="33"/>
      <c r="H887" s="30"/>
      <c r="I887" s="30"/>
      <c r="J887" s="212"/>
      <c r="K887" s="23"/>
      <c r="L887" s="23"/>
      <c r="M887" s="23"/>
      <c r="N887" s="23"/>
      <c r="O887" s="23"/>
      <c r="P887" s="23"/>
      <c r="Q887" s="23"/>
      <c r="R887" s="23"/>
      <c r="S887" s="23"/>
      <c r="T887" s="586"/>
      <c r="U887" s="23"/>
      <c r="V887" s="311"/>
      <c r="W887" s="311"/>
      <c r="X887" s="311"/>
      <c r="Y887" s="94"/>
      <c r="Z887" s="23"/>
      <c r="AA887" s="23"/>
      <c r="AB887" s="23"/>
      <c r="AC887" s="23"/>
      <c r="AD887" s="158"/>
      <c r="AE887" s="158"/>
      <c r="AF887" s="158"/>
      <c r="AG887" s="158"/>
      <c r="AH887" s="158"/>
      <c r="AI887" s="158"/>
      <c r="AJ887" s="158"/>
      <c r="AK887" s="158"/>
      <c r="AL887" s="158"/>
      <c r="AM887" s="158"/>
      <c r="AN887" s="158"/>
      <c r="AO887" s="23"/>
      <c r="AP887" s="23"/>
      <c r="AQ887" s="23"/>
      <c r="AR887" s="23"/>
      <c r="AS887" s="2"/>
      <c r="AT887" s="58"/>
      <c r="AU887" s="105"/>
      <c r="AV887" s="23">
        <v>1</v>
      </c>
      <c r="AW887" s="23"/>
      <c r="AX887" s="23"/>
      <c r="AY887" s="23"/>
      <c r="AZ887" s="23"/>
      <c r="BA887" s="23"/>
      <c r="BB887" s="223"/>
      <c r="BC887" s="223"/>
      <c r="BD887" s="270">
        <v>2016</v>
      </c>
      <c r="BE887" s="270"/>
      <c r="BF887" s="420"/>
    </row>
    <row r="888" spans="1:58" ht="15" hidden="1" customHeight="1">
      <c r="A888" s="160" t="s">
        <v>1</v>
      </c>
      <c r="B888" s="58" t="s">
        <v>320</v>
      </c>
      <c r="C888" s="66" t="s">
        <v>440</v>
      </c>
      <c r="D888" s="33" t="s">
        <v>319</v>
      </c>
      <c r="E888" s="33"/>
      <c r="F888" s="33"/>
      <c r="G888" s="33"/>
      <c r="H888" s="30"/>
      <c r="I888" s="30"/>
      <c r="J888" s="212"/>
      <c r="K888" s="23"/>
      <c r="L888" s="23"/>
      <c r="M888" s="23"/>
      <c r="N888" s="23"/>
      <c r="O888" s="23"/>
      <c r="P888" s="23"/>
      <c r="Q888" s="23"/>
      <c r="R888" s="23"/>
      <c r="S888" s="23"/>
      <c r="T888" s="586"/>
      <c r="U888" s="23"/>
      <c r="V888" s="311"/>
      <c r="W888" s="311"/>
      <c r="X888" s="311"/>
      <c r="Y888" s="94"/>
      <c r="Z888" s="23"/>
      <c r="AA888" s="23"/>
      <c r="AB888" s="23"/>
      <c r="AC888" s="23"/>
      <c r="AD888" s="158"/>
      <c r="AE888" s="158"/>
      <c r="AF888" s="158"/>
      <c r="AG888" s="158"/>
      <c r="AH888" s="158"/>
      <c r="AI888" s="158"/>
      <c r="AJ888" s="158"/>
      <c r="AK888" s="158"/>
      <c r="AL888" s="158"/>
      <c r="AM888" s="158"/>
      <c r="AN888" s="158"/>
      <c r="AO888" s="23"/>
      <c r="AP888" s="23"/>
      <c r="AQ888" s="23"/>
      <c r="AR888" s="23"/>
      <c r="AS888" s="2"/>
      <c r="AT888" s="58"/>
      <c r="AU888" s="105"/>
      <c r="AV888" s="23">
        <v>1</v>
      </c>
      <c r="AW888" s="23"/>
      <c r="AX888" s="23"/>
      <c r="AY888" s="23"/>
      <c r="AZ888" s="23"/>
      <c r="BA888" s="23"/>
      <c r="BB888" s="223"/>
      <c r="BC888" s="223"/>
      <c r="BD888" s="270">
        <v>2016</v>
      </c>
      <c r="BE888" s="270"/>
      <c r="BF888" s="420"/>
    </row>
    <row r="889" spans="1:58" ht="15" hidden="1" customHeight="1">
      <c r="A889" s="160" t="s">
        <v>1</v>
      </c>
      <c r="B889" s="58" t="s">
        <v>320</v>
      </c>
      <c r="C889" s="66" t="s">
        <v>441</v>
      </c>
      <c r="D889" s="33" t="s">
        <v>319</v>
      </c>
      <c r="E889" s="33"/>
      <c r="F889" s="33"/>
      <c r="G889" s="33"/>
      <c r="H889" s="30"/>
      <c r="I889" s="30"/>
      <c r="J889" s="212"/>
      <c r="K889" s="23"/>
      <c r="L889" s="23"/>
      <c r="M889" s="23"/>
      <c r="N889" s="23"/>
      <c r="O889" s="23"/>
      <c r="P889" s="23"/>
      <c r="Q889" s="23"/>
      <c r="R889" s="23"/>
      <c r="S889" s="23"/>
      <c r="T889" s="586"/>
      <c r="U889" s="23"/>
      <c r="V889" s="311"/>
      <c r="W889" s="311"/>
      <c r="X889" s="311"/>
      <c r="Y889" s="94"/>
      <c r="Z889" s="23"/>
      <c r="AA889" s="23"/>
      <c r="AB889" s="23"/>
      <c r="AC889" s="23"/>
      <c r="AD889" s="158"/>
      <c r="AE889" s="158"/>
      <c r="AF889" s="158"/>
      <c r="AG889" s="158"/>
      <c r="AH889" s="158"/>
      <c r="AI889" s="158"/>
      <c r="AJ889" s="158"/>
      <c r="AK889" s="158"/>
      <c r="AL889" s="158"/>
      <c r="AM889" s="158"/>
      <c r="AN889" s="158"/>
      <c r="AO889" s="23"/>
      <c r="AP889" s="23"/>
      <c r="AQ889" s="23"/>
      <c r="AR889" s="23"/>
      <c r="AS889" s="2"/>
      <c r="AT889" s="58"/>
      <c r="AU889" s="105"/>
      <c r="AV889" s="23">
        <v>1</v>
      </c>
      <c r="AW889" s="23"/>
      <c r="AX889" s="23"/>
      <c r="AY889" s="23"/>
      <c r="AZ889" s="23"/>
      <c r="BA889" s="23"/>
      <c r="BB889" s="223"/>
      <c r="BC889" s="223"/>
      <c r="BD889" s="270">
        <v>2016</v>
      </c>
      <c r="BE889" s="270"/>
      <c r="BF889" s="420"/>
    </row>
    <row r="890" spans="1:58" ht="15" hidden="1" customHeight="1">
      <c r="A890" s="160" t="s">
        <v>1</v>
      </c>
      <c r="B890" s="58" t="s">
        <v>320</v>
      </c>
      <c r="C890" s="65" t="s">
        <v>442</v>
      </c>
      <c r="D890" s="33" t="s">
        <v>319</v>
      </c>
      <c r="E890" s="33"/>
      <c r="F890" s="33"/>
      <c r="G890" s="33"/>
      <c r="H890" s="30"/>
      <c r="I890" s="30"/>
      <c r="J890" s="212"/>
      <c r="K890" s="23"/>
      <c r="L890" s="23"/>
      <c r="M890" s="23"/>
      <c r="N890" s="23"/>
      <c r="O890" s="23"/>
      <c r="P890" s="23"/>
      <c r="Q890" s="23"/>
      <c r="R890" s="23"/>
      <c r="S890" s="23"/>
      <c r="T890" s="586"/>
      <c r="U890" s="23"/>
      <c r="V890" s="311"/>
      <c r="W890" s="311"/>
      <c r="X890" s="311"/>
      <c r="Y890" s="94"/>
      <c r="Z890" s="23"/>
      <c r="AA890" s="23"/>
      <c r="AB890" s="23"/>
      <c r="AC890" s="23"/>
      <c r="AD890" s="158"/>
      <c r="AE890" s="158"/>
      <c r="AF890" s="158"/>
      <c r="AG890" s="158"/>
      <c r="AH890" s="158"/>
      <c r="AI890" s="158"/>
      <c r="AJ890" s="158"/>
      <c r="AK890" s="158"/>
      <c r="AL890" s="158"/>
      <c r="AM890" s="158"/>
      <c r="AN890" s="158"/>
      <c r="AO890" s="23"/>
      <c r="AP890" s="23"/>
      <c r="AQ890" s="23"/>
      <c r="AR890" s="23"/>
      <c r="AS890" s="2"/>
      <c r="AT890" s="58"/>
      <c r="AU890" s="105"/>
      <c r="AV890" s="23">
        <v>1</v>
      </c>
      <c r="AW890" s="23"/>
      <c r="AX890" s="23"/>
      <c r="AY890" s="23"/>
      <c r="AZ890" s="23"/>
      <c r="BA890" s="23"/>
      <c r="BB890" s="223"/>
      <c r="BC890" s="223"/>
      <c r="BD890" s="270">
        <v>2016</v>
      </c>
      <c r="BE890" s="270"/>
      <c r="BF890" s="420"/>
    </row>
    <row r="891" spans="1:58" ht="15" hidden="1" customHeight="1">
      <c r="A891" s="160" t="s">
        <v>1</v>
      </c>
      <c r="B891" s="58" t="s">
        <v>320</v>
      </c>
      <c r="C891" s="65" t="s">
        <v>443</v>
      </c>
      <c r="D891" s="33" t="s">
        <v>319</v>
      </c>
      <c r="E891" s="33"/>
      <c r="F891" s="33"/>
      <c r="G891" s="33"/>
      <c r="H891" s="30"/>
      <c r="I891" s="30"/>
      <c r="J891" s="212"/>
      <c r="K891" s="23"/>
      <c r="L891" s="23"/>
      <c r="M891" s="23"/>
      <c r="N891" s="23"/>
      <c r="O891" s="23"/>
      <c r="P891" s="23"/>
      <c r="Q891" s="23"/>
      <c r="R891" s="23"/>
      <c r="S891" s="23"/>
      <c r="T891" s="586"/>
      <c r="U891" s="23"/>
      <c r="V891" s="311"/>
      <c r="W891" s="311"/>
      <c r="X891" s="311"/>
      <c r="Y891" s="94"/>
      <c r="Z891" s="23"/>
      <c r="AA891" s="23"/>
      <c r="AB891" s="23"/>
      <c r="AC891" s="23"/>
      <c r="AD891" s="158"/>
      <c r="AE891" s="158"/>
      <c r="AF891" s="158"/>
      <c r="AG891" s="158"/>
      <c r="AH891" s="158"/>
      <c r="AI891" s="158"/>
      <c r="AJ891" s="158"/>
      <c r="AK891" s="158"/>
      <c r="AL891" s="158"/>
      <c r="AM891" s="158"/>
      <c r="AN891" s="158"/>
      <c r="AO891" s="23"/>
      <c r="AP891" s="23"/>
      <c r="AQ891" s="23"/>
      <c r="AR891" s="23"/>
      <c r="AS891" s="2"/>
      <c r="AT891" s="58"/>
      <c r="AU891" s="105"/>
      <c r="AV891" s="23">
        <v>1</v>
      </c>
      <c r="AW891" s="23"/>
      <c r="AX891" s="23"/>
      <c r="AY891" s="23"/>
      <c r="AZ891" s="23"/>
      <c r="BA891" s="23"/>
      <c r="BB891" s="223"/>
      <c r="BC891" s="223"/>
      <c r="BD891" s="270">
        <v>2016</v>
      </c>
      <c r="BE891" s="270"/>
      <c r="BF891" s="420"/>
    </row>
    <row r="892" spans="1:58" ht="15" hidden="1" customHeight="1">
      <c r="A892" s="160" t="s">
        <v>1</v>
      </c>
      <c r="B892" s="58" t="s">
        <v>320</v>
      </c>
      <c r="C892" s="65" t="s">
        <v>444</v>
      </c>
      <c r="D892" s="33" t="s">
        <v>319</v>
      </c>
      <c r="E892" s="33"/>
      <c r="F892" s="33"/>
      <c r="G892" s="33"/>
      <c r="H892" s="30"/>
      <c r="I892" s="30"/>
      <c r="J892" s="212"/>
      <c r="K892" s="23"/>
      <c r="L892" s="23"/>
      <c r="M892" s="23"/>
      <c r="N892" s="23"/>
      <c r="O892" s="23"/>
      <c r="P892" s="23"/>
      <c r="Q892" s="23"/>
      <c r="R892" s="23"/>
      <c r="S892" s="23"/>
      <c r="T892" s="586"/>
      <c r="U892" s="23"/>
      <c r="V892" s="311"/>
      <c r="W892" s="311"/>
      <c r="X892" s="311"/>
      <c r="Y892" s="94"/>
      <c r="Z892" s="23"/>
      <c r="AA892" s="23"/>
      <c r="AB892" s="23"/>
      <c r="AC892" s="23"/>
      <c r="AD892" s="158"/>
      <c r="AE892" s="158"/>
      <c r="AF892" s="158"/>
      <c r="AG892" s="158"/>
      <c r="AH892" s="158"/>
      <c r="AI892" s="158"/>
      <c r="AJ892" s="158"/>
      <c r="AK892" s="158"/>
      <c r="AL892" s="158"/>
      <c r="AM892" s="158"/>
      <c r="AN892" s="158"/>
      <c r="AO892" s="23"/>
      <c r="AP892" s="23"/>
      <c r="AQ892" s="23"/>
      <c r="AR892" s="23"/>
      <c r="AS892" s="2"/>
      <c r="AT892" s="58"/>
      <c r="AU892" s="105"/>
      <c r="AV892" s="23">
        <v>1</v>
      </c>
      <c r="AW892" s="23"/>
      <c r="AX892" s="23"/>
      <c r="AY892" s="23"/>
      <c r="AZ892" s="23"/>
      <c r="BA892" s="23"/>
      <c r="BB892" s="223"/>
      <c r="BC892" s="223"/>
      <c r="BD892" s="270">
        <v>2016</v>
      </c>
      <c r="BE892" s="270"/>
      <c r="BF892" s="420"/>
    </row>
    <row r="893" spans="1:58" ht="15" hidden="1" customHeight="1">
      <c r="A893" s="160" t="s">
        <v>1</v>
      </c>
      <c r="B893" s="58" t="s">
        <v>320</v>
      </c>
      <c r="C893" s="65" t="s">
        <v>445</v>
      </c>
      <c r="D893" s="33" t="s">
        <v>319</v>
      </c>
      <c r="E893" s="33"/>
      <c r="F893" s="33"/>
      <c r="G893" s="33"/>
      <c r="H893" s="30"/>
      <c r="I893" s="30"/>
      <c r="J893" s="212"/>
      <c r="K893" s="23"/>
      <c r="L893" s="23"/>
      <c r="M893" s="23"/>
      <c r="N893" s="23"/>
      <c r="O893" s="23"/>
      <c r="P893" s="23"/>
      <c r="Q893" s="23"/>
      <c r="R893" s="23"/>
      <c r="S893" s="23"/>
      <c r="T893" s="586"/>
      <c r="U893" s="23"/>
      <c r="V893" s="311"/>
      <c r="W893" s="311"/>
      <c r="X893" s="311"/>
      <c r="Y893" s="94"/>
      <c r="Z893" s="23"/>
      <c r="AA893" s="23"/>
      <c r="AB893" s="23"/>
      <c r="AC893" s="23"/>
      <c r="AD893" s="158"/>
      <c r="AE893" s="158"/>
      <c r="AF893" s="158"/>
      <c r="AG893" s="158"/>
      <c r="AH893" s="158"/>
      <c r="AI893" s="158"/>
      <c r="AJ893" s="158"/>
      <c r="AK893" s="158"/>
      <c r="AL893" s="158"/>
      <c r="AM893" s="158"/>
      <c r="AN893" s="158"/>
      <c r="AO893" s="23"/>
      <c r="AP893" s="23"/>
      <c r="AQ893" s="23"/>
      <c r="AR893" s="23"/>
      <c r="AS893" s="2"/>
      <c r="AT893" s="58"/>
      <c r="AU893" s="105"/>
      <c r="AV893" s="23">
        <v>1</v>
      </c>
      <c r="AW893" s="23"/>
      <c r="AX893" s="23"/>
      <c r="AY893" s="23"/>
      <c r="AZ893" s="23"/>
      <c r="BA893" s="23"/>
      <c r="BB893" s="223"/>
      <c r="BC893" s="223"/>
      <c r="BD893" s="270">
        <v>2016</v>
      </c>
      <c r="BE893" s="270"/>
      <c r="BF893" s="420"/>
    </row>
    <row r="894" spans="1:58" ht="15" hidden="1" customHeight="1">
      <c r="A894" s="160" t="s">
        <v>1</v>
      </c>
      <c r="B894" s="58" t="s">
        <v>320</v>
      </c>
      <c r="C894" s="65" t="s">
        <v>446</v>
      </c>
      <c r="D894" s="33" t="s">
        <v>387</v>
      </c>
      <c r="E894" s="33"/>
      <c r="F894" s="33"/>
      <c r="G894" s="33"/>
      <c r="H894" s="30"/>
      <c r="I894" s="30"/>
      <c r="J894" s="212"/>
      <c r="K894" s="23"/>
      <c r="L894" s="23"/>
      <c r="M894" s="23"/>
      <c r="N894" s="23"/>
      <c r="O894" s="23"/>
      <c r="P894" s="23"/>
      <c r="Q894" s="23"/>
      <c r="R894" s="23"/>
      <c r="S894" s="23"/>
      <c r="T894" s="586"/>
      <c r="U894" s="23"/>
      <c r="V894" s="311"/>
      <c r="W894" s="311"/>
      <c r="X894" s="311"/>
      <c r="Y894" s="94"/>
      <c r="Z894" s="23"/>
      <c r="AA894" s="23"/>
      <c r="AB894" s="23"/>
      <c r="AC894" s="23"/>
      <c r="AD894" s="158"/>
      <c r="AE894" s="158"/>
      <c r="AF894" s="158"/>
      <c r="AG894" s="158"/>
      <c r="AH894" s="158"/>
      <c r="AI894" s="158"/>
      <c r="AJ894" s="158"/>
      <c r="AK894" s="158"/>
      <c r="AL894" s="158"/>
      <c r="AM894" s="158"/>
      <c r="AN894" s="158"/>
      <c r="AO894" s="23"/>
      <c r="AP894" s="23"/>
      <c r="AQ894" s="23"/>
      <c r="AR894" s="23"/>
      <c r="AS894" s="2"/>
      <c r="AT894" s="58"/>
      <c r="AU894" s="105"/>
      <c r="AV894" s="23">
        <v>1</v>
      </c>
      <c r="AW894" s="23"/>
      <c r="AX894" s="23"/>
      <c r="AY894" s="23"/>
      <c r="AZ894" s="23"/>
      <c r="BA894" s="23"/>
      <c r="BB894" s="223"/>
      <c r="BC894" s="223"/>
      <c r="BD894" s="270">
        <v>2016</v>
      </c>
      <c r="BE894" s="270"/>
      <c r="BF894" s="420"/>
    </row>
    <row r="895" spans="1:58" ht="15" hidden="1" customHeight="1">
      <c r="A895" s="160" t="s">
        <v>1</v>
      </c>
      <c r="B895" s="58" t="s">
        <v>320</v>
      </c>
      <c r="C895" s="65" t="s">
        <v>447</v>
      </c>
      <c r="D895" s="33" t="s">
        <v>319</v>
      </c>
      <c r="E895" s="33"/>
      <c r="F895" s="33"/>
      <c r="G895" s="33"/>
      <c r="H895" s="30"/>
      <c r="I895" s="30"/>
      <c r="J895" s="212"/>
      <c r="K895" s="23"/>
      <c r="L895" s="23"/>
      <c r="M895" s="23"/>
      <c r="N895" s="23"/>
      <c r="O895" s="23"/>
      <c r="P895" s="23"/>
      <c r="Q895" s="23"/>
      <c r="R895" s="23"/>
      <c r="S895" s="23"/>
      <c r="T895" s="586"/>
      <c r="U895" s="23"/>
      <c r="V895" s="311"/>
      <c r="W895" s="311"/>
      <c r="X895" s="311"/>
      <c r="Y895" s="94"/>
      <c r="Z895" s="23"/>
      <c r="AA895" s="23"/>
      <c r="AB895" s="23"/>
      <c r="AC895" s="23"/>
      <c r="AD895" s="158"/>
      <c r="AE895" s="158"/>
      <c r="AF895" s="158"/>
      <c r="AG895" s="158"/>
      <c r="AH895" s="158"/>
      <c r="AI895" s="158"/>
      <c r="AJ895" s="158"/>
      <c r="AK895" s="158"/>
      <c r="AL895" s="158"/>
      <c r="AM895" s="158"/>
      <c r="AN895" s="158"/>
      <c r="AO895" s="23"/>
      <c r="AP895" s="23"/>
      <c r="AQ895" s="23"/>
      <c r="AR895" s="23"/>
      <c r="AS895" s="2"/>
      <c r="AT895" s="58"/>
      <c r="AU895" s="105"/>
      <c r="AV895" s="23">
        <v>1</v>
      </c>
      <c r="AW895" s="23"/>
      <c r="AX895" s="23"/>
      <c r="AY895" s="23"/>
      <c r="AZ895" s="23"/>
      <c r="BA895" s="23"/>
      <c r="BB895" s="223"/>
      <c r="BC895" s="223"/>
      <c r="BD895" s="270">
        <v>2016</v>
      </c>
      <c r="BE895" s="270"/>
      <c r="BF895" s="420"/>
    </row>
    <row r="896" spans="1:58" ht="15" hidden="1" customHeight="1">
      <c r="A896" s="160" t="s">
        <v>1</v>
      </c>
      <c r="B896" s="58" t="s">
        <v>320</v>
      </c>
      <c r="C896" s="65" t="s">
        <v>448</v>
      </c>
      <c r="D896" s="33" t="s">
        <v>319</v>
      </c>
      <c r="E896" s="33"/>
      <c r="F896" s="33"/>
      <c r="G896" s="33"/>
      <c r="H896" s="30"/>
      <c r="I896" s="30"/>
      <c r="J896" s="212"/>
      <c r="K896" s="23"/>
      <c r="L896" s="23"/>
      <c r="M896" s="23"/>
      <c r="N896" s="23"/>
      <c r="O896" s="23"/>
      <c r="P896" s="23"/>
      <c r="Q896" s="23"/>
      <c r="R896" s="23"/>
      <c r="S896" s="23"/>
      <c r="T896" s="586"/>
      <c r="U896" s="23"/>
      <c r="V896" s="311"/>
      <c r="W896" s="311"/>
      <c r="X896" s="311"/>
      <c r="Y896" s="94"/>
      <c r="Z896" s="23"/>
      <c r="AA896" s="23"/>
      <c r="AB896" s="23"/>
      <c r="AC896" s="23"/>
      <c r="AD896" s="158"/>
      <c r="AE896" s="158"/>
      <c r="AF896" s="158"/>
      <c r="AG896" s="158"/>
      <c r="AH896" s="158"/>
      <c r="AI896" s="158"/>
      <c r="AJ896" s="158"/>
      <c r="AK896" s="158"/>
      <c r="AL896" s="158"/>
      <c r="AM896" s="158"/>
      <c r="AN896" s="158"/>
      <c r="AO896" s="23"/>
      <c r="AP896" s="23"/>
      <c r="AQ896" s="23"/>
      <c r="AR896" s="23"/>
      <c r="AS896" s="2"/>
      <c r="AT896" s="58"/>
      <c r="AU896" s="105"/>
      <c r="AV896" s="23">
        <v>1</v>
      </c>
      <c r="AW896" s="23"/>
      <c r="AX896" s="23"/>
      <c r="AY896" s="23"/>
      <c r="AZ896" s="23"/>
      <c r="BA896" s="23"/>
      <c r="BB896" s="223"/>
      <c r="BC896" s="223"/>
      <c r="BD896" s="270">
        <v>2016</v>
      </c>
      <c r="BE896" s="270"/>
      <c r="BF896" s="420"/>
    </row>
    <row r="897" spans="1:58" ht="15" hidden="1" customHeight="1">
      <c r="A897" s="160" t="s">
        <v>1</v>
      </c>
      <c r="B897" s="58" t="s">
        <v>320</v>
      </c>
      <c r="C897" s="65" t="s">
        <v>449</v>
      </c>
      <c r="D897" s="33" t="s">
        <v>319</v>
      </c>
      <c r="E897" s="33"/>
      <c r="F897" s="33"/>
      <c r="G897" s="33"/>
      <c r="H897" s="30"/>
      <c r="I897" s="30"/>
      <c r="J897" s="212"/>
      <c r="K897" s="23"/>
      <c r="L897" s="23"/>
      <c r="M897" s="23"/>
      <c r="N897" s="23"/>
      <c r="O897" s="23"/>
      <c r="P897" s="23"/>
      <c r="Q897" s="23"/>
      <c r="R897" s="23"/>
      <c r="S897" s="23"/>
      <c r="T897" s="586"/>
      <c r="U897" s="23"/>
      <c r="V897" s="311"/>
      <c r="W897" s="311"/>
      <c r="X897" s="311"/>
      <c r="Y897" s="94"/>
      <c r="Z897" s="23"/>
      <c r="AA897" s="23"/>
      <c r="AB897" s="23"/>
      <c r="AC897" s="23"/>
      <c r="AD897" s="158"/>
      <c r="AE897" s="158"/>
      <c r="AF897" s="158"/>
      <c r="AG897" s="158"/>
      <c r="AH897" s="158"/>
      <c r="AI897" s="158"/>
      <c r="AJ897" s="158"/>
      <c r="AK897" s="158"/>
      <c r="AL897" s="158"/>
      <c r="AM897" s="158"/>
      <c r="AN897" s="158"/>
      <c r="AO897" s="23"/>
      <c r="AP897" s="23"/>
      <c r="AQ897" s="23"/>
      <c r="AR897" s="23"/>
      <c r="AS897" s="2"/>
      <c r="AT897" s="58"/>
      <c r="AU897" s="105"/>
      <c r="AV897" s="23">
        <v>1</v>
      </c>
      <c r="AW897" s="23"/>
      <c r="AX897" s="23"/>
      <c r="AY897" s="23"/>
      <c r="AZ897" s="23"/>
      <c r="BA897" s="23"/>
      <c r="BB897" s="223"/>
      <c r="BC897" s="223"/>
      <c r="BD897" s="270">
        <v>2016</v>
      </c>
      <c r="BE897" s="270"/>
      <c r="BF897" s="420"/>
    </row>
    <row r="898" spans="1:58" ht="15" hidden="1" customHeight="1">
      <c r="A898" s="160" t="s">
        <v>1</v>
      </c>
      <c r="B898" s="58" t="s">
        <v>320</v>
      </c>
      <c r="C898" s="65" t="s">
        <v>450</v>
      </c>
      <c r="D898" s="33" t="s">
        <v>319</v>
      </c>
      <c r="E898" s="33"/>
      <c r="F898" s="33"/>
      <c r="G898" s="33"/>
      <c r="H898" s="30"/>
      <c r="I898" s="30"/>
      <c r="J898" s="212"/>
      <c r="K898" s="23"/>
      <c r="L898" s="23"/>
      <c r="M898" s="23"/>
      <c r="N898" s="23"/>
      <c r="O898" s="23"/>
      <c r="P898" s="23"/>
      <c r="Q898" s="23"/>
      <c r="R898" s="23"/>
      <c r="S898" s="23"/>
      <c r="T898" s="586"/>
      <c r="U898" s="23"/>
      <c r="V898" s="311"/>
      <c r="W898" s="311"/>
      <c r="X898" s="311"/>
      <c r="Y898" s="94"/>
      <c r="Z898" s="23"/>
      <c r="AA898" s="23"/>
      <c r="AB898" s="23"/>
      <c r="AC898" s="23"/>
      <c r="AD898" s="158"/>
      <c r="AE898" s="158"/>
      <c r="AF898" s="158"/>
      <c r="AG898" s="158"/>
      <c r="AH898" s="158"/>
      <c r="AI898" s="158"/>
      <c r="AJ898" s="158"/>
      <c r="AK898" s="158"/>
      <c r="AL898" s="158"/>
      <c r="AM898" s="158"/>
      <c r="AN898" s="158"/>
      <c r="AO898" s="23"/>
      <c r="AP898" s="23"/>
      <c r="AQ898" s="23"/>
      <c r="AR898" s="23"/>
      <c r="AS898" s="2"/>
      <c r="AT898" s="58"/>
      <c r="AU898" s="105"/>
      <c r="AV898" s="23">
        <v>1</v>
      </c>
      <c r="AW898" s="23"/>
      <c r="AX898" s="23"/>
      <c r="AY898" s="23"/>
      <c r="AZ898" s="23"/>
      <c r="BA898" s="23"/>
      <c r="BB898" s="223"/>
      <c r="BC898" s="223"/>
      <c r="BD898" s="270">
        <v>2016</v>
      </c>
      <c r="BE898" s="270"/>
      <c r="BF898" s="420"/>
    </row>
    <row r="899" spans="1:58" ht="15" hidden="1" customHeight="1">
      <c r="A899" s="160" t="s">
        <v>1</v>
      </c>
      <c r="B899" s="58" t="s">
        <v>320</v>
      </c>
      <c r="C899" s="65" t="s">
        <v>451</v>
      </c>
      <c r="D899" s="33" t="s">
        <v>319</v>
      </c>
      <c r="E899" s="33"/>
      <c r="F899" s="33"/>
      <c r="G899" s="33"/>
      <c r="H899" s="30"/>
      <c r="I899" s="30"/>
      <c r="J899" s="212"/>
      <c r="K899" s="23"/>
      <c r="L899" s="23"/>
      <c r="M899" s="23"/>
      <c r="N899" s="23"/>
      <c r="O899" s="23"/>
      <c r="P899" s="23"/>
      <c r="Q899" s="23"/>
      <c r="R899" s="23"/>
      <c r="S899" s="23"/>
      <c r="T899" s="586"/>
      <c r="U899" s="23"/>
      <c r="V899" s="311"/>
      <c r="W899" s="311"/>
      <c r="X899" s="311"/>
      <c r="Y899" s="94"/>
      <c r="Z899" s="23"/>
      <c r="AA899" s="23"/>
      <c r="AB899" s="23"/>
      <c r="AC899" s="23"/>
      <c r="AD899" s="158"/>
      <c r="AE899" s="158"/>
      <c r="AF899" s="158"/>
      <c r="AG899" s="158"/>
      <c r="AH899" s="158"/>
      <c r="AI899" s="158"/>
      <c r="AJ899" s="158"/>
      <c r="AK899" s="158"/>
      <c r="AL899" s="158"/>
      <c r="AM899" s="158"/>
      <c r="AN899" s="158"/>
      <c r="AO899" s="23"/>
      <c r="AP899" s="23"/>
      <c r="AQ899" s="23"/>
      <c r="AR899" s="23"/>
      <c r="AS899" s="2"/>
      <c r="AT899" s="58"/>
      <c r="AU899" s="105"/>
      <c r="AV899" s="23">
        <v>1</v>
      </c>
      <c r="AW899" s="23"/>
      <c r="AX899" s="23"/>
      <c r="AY899" s="23"/>
      <c r="AZ899" s="23"/>
      <c r="BA899" s="23"/>
      <c r="BB899" s="223"/>
      <c r="BC899" s="223"/>
      <c r="BD899" s="270">
        <v>2016</v>
      </c>
      <c r="BE899" s="270"/>
      <c r="BF899" s="420"/>
    </row>
    <row r="900" spans="1:58" ht="15" hidden="1" customHeight="1">
      <c r="A900" s="160" t="s">
        <v>1</v>
      </c>
      <c r="B900" s="58" t="s">
        <v>320</v>
      </c>
      <c r="C900" s="65" t="s">
        <v>452</v>
      </c>
      <c r="D900" s="33" t="s">
        <v>319</v>
      </c>
      <c r="E900" s="33"/>
      <c r="F900" s="33"/>
      <c r="G900" s="33"/>
      <c r="H900" s="30"/>
      <c r="I900" s="30"/>
      <c r="J900" s="212"/>
      <c r="K900" s="23"/>
      <c r="L900" s="23"/>
      <c r="M900" s="23"/>
      <c r="N900" s="23"/>
      <c r="O900" s="23"/>
      <c r="P900" s="23"/>
      <c r="Q900" s="23"/>
      <c r="R900" s="23"/>
      <c r="S900" s="23"/>
      <c r="T900" s="586"/>
      <c r="U900" s="23"/>
      <c r="V900" s="311"/>
      <c r="W900" s="311"/>
      <c r="X900" s="311"/>
      <c r="Y900" s="94"/>
      <c r="Z900" s="23"/>
      <c r="AA900" s="23"/>
      <c r="AB900" s="23"/>
      <c r="AC900" s="23"/>
      <c r="AD900" s="158"/>
      <c r="AE900" s="158"/>
      <c r="AF900" s="158"/>
      <c r="AG900" s="158"/>
      <c r="AH900" s="158"/>
      <c r="AI900" s="158"/>
      <c r="AJ900" s="158"/>
      <c r="AK900" s="158"/>
      <c r="AL900" s="158"/>
      <c r="AM900" s="158"/>
      <c r="AN900" s="158"/>
      <c r="AO900" s="23"/>
      <c r="AP900" s="23"/>
      <c r="AQ900" s="23"/>
      <c r="AR900" s="23"/>
      <c r="AS900" s="2"/>
      <c r="AT900" s="58"/>
      <c r="AU900" s="105"/>
      <c r="AV900" s="23">
        <v>1</v>
      </c>
      <c r="AW900" s="23"/>
      <c r="AX900" s="23"/>
      <c r="AY900" s="23"/>
      <c r="AZ900" s="23"/>
      <c r="BA900" s="23"/>
      <c r="BB900" s="223"/>
      <c r="BC900" s="223"/>
      <c r="BD900" s="270">
        <v>2016</v>
      </c>
      <c r="BE900" s="270"/>
      <c r="BF900" s="420"/>
    </row>
    <row r="901" spans="1:58" ht="15" hidden="1" customHeight="1">
      <c r="A901" s="160" t="s">
        <v>1</v>
      </c>
      <c r="B901" s="58" t="s">
        <v>320</v>
      </c>
      <c r="C901" s="65" t="s">
        <v>453</v>
      </c>
      <c r="D901" s="33" t="s">
        <v>319</v>
      </c>
      <c r="E901" s="33"/>
      <c r="F901" s="33"/>
      <c r="G901" s="33"/>
      <c r="H901" s="30"/>
      <c r="I901" s="30"/>
      <c r="J901" s="212"/>
      <c r="K901" s="23"/>
      <c r="L901" s="23"/>
      <c r="M901" s="23"/>
      <c r="N901" s="23"/>
      <c r="O901" s="23"/>
      <c r="P901" s="23"/>
      <c r="Q901" s="23"/>
      <c r="R901" s="23"/>
      <c r="S901" s="23"/>
      <c r="T901" s="586"/>
      <c r="U901" s="23"/>
      <c r="V901" s="311"/>
      <c r="W901" s="311"/>
      <c r="X901" s="311"/>
      <c r="Y901" s="94"/>
      <c r="Z901" s="23"/>
      <c r="AA901" s="23"/>
      <c r="AB901" s="23"/>
      <c r="AC901" s="23"/>
      <c r="AD901" s="158"/>
      <c r="AE901" s="158"/>
      <c r="AF901" s="158"/>
      <c r="AG901" s="158"/>
      <c r="AH901" s="158"/>
      <c r="AI901" s="158"/>
      <c r="AJ901" s="158"/>
      <c r="AK901" s="158"/>
      <c r="AL901" s="158"/>
      <c r="AM901" s="158"/>
      <c r="AN901" s="158"/>
      <c r="AO901" s="23"/>
      <c r="AP901" s="23"/>
      <c r="AQ901" s="23"/>
      <c r="AR901" s="23"/>
      <c r="AS901" s="2"/>
      <c r="AT901" s="58"/>
      <c r="AU901" s="105"/>
      <c r="AV901" s="23">
        <v>1</v>
      </c>
      <c r="AW901" s="23"/>
      <c r="AX901" s="23"/>
      <c r="AY901" s="23"/>
      <c r="AZ901" s="23"/>
      <c r="BA901" s="23"/>
      <c r="BB901" s="223"/>
      <c r="BC901" s="223"/>
      <c r="BD901" s="270">
        <v>2016</v>
      </c>
      <c r="BE901" s="270"/>
      <c r="BF901" s="420"/>
    </row>
    <row r="902" spans="1:58" ht="15" hidden="1" customHeight="1">
      <c r="A902" s="160" t="s">
        <v>1</v>
      </c>
      <c r="B902" s="58" t="s">
        <v>320</v>
      </c>
      <c r="C902" s="65" t="s">
        <v>454</v>
      </c>
      <c r="D902" s="33" t="s">
        <v>319</v>
      </c>
      <c r="E902" s="33"/>
      <c r="F902" s="33"/>
      <c r="G902" s="33"/>
      <c r="H902" s="30"/>
      <c r="I902" s="30"/>
      <c r="J902" s="212"/>
      <c r="K902" s="23"/>
      <c r="L902" s="23"/>
      <c r="M902" s="23"/>
      <c r="N902" s="23"/>
      <c r="O902" s="23"/>
      <c r="P902" s="23"/>
      <c r="Q902" s="23"/>
      <c r="R902" s="23"/>
      <c r="S902" s="23"/>
      <c r="T902" s="586"/>
      <c r="U902" s="23"/>
      <c r="V902" s="311"/>
      <c r="W902" s="311"/>
      <c r="X902" s="311"/>
      <c r="Y902" s="94"/>
      <c r="Z902" s="23"/>
      <c r="AA902" s="23"/>
      <c r="AB902" s="23"/>
      <c r="AC902" s="23"/>
      <c r="AD902" s="158"/>
      <c r="AE902" s="158"/>
      <c r="AF902" s="158"/>
      <c r="AG902" s="158"/>
      <c r="AH902" s="158"/>
      <c r="AI902" s="158"/>
      <c r="AJ902" s="158"/>
      <c r="AK902" s="158"/>
      <c r="AL902" s="158"/>
      <c r="AM902" s="158"/>
      <c r="AN902" s="158"/>
      <c r="AO902" s="23"/>
      <c r="AP902" s="23"/>
      <c r="AQ902" s="23"/>
      <c r="AR902" s="23"/>
      <c r="AS902" s="2"/>
      <c r="AT902" s="58"/>
      <c r="AU902" s="105"/>
      <c r="AV902" s="23">
        <v>1</v>
      </c>
      <c r="AW902" s="23"/>
      <c r="AX902" s="23"/>
      <c r="AY902" s="23"/>
      <c r="AZ902" s="23"/>
      <c r="BA902" s="23"/>
      <c r="BB902" s="223"/>
      <c r="BC902" s="223"/>
      <c r="BD902" s="270">
        <v>2016</v>
      </c>
      <c r="BE902" s="270"/>
      <c r="BF902" s="420"/>
    </row>
    <row r="903" spans="1:58" ht="15" hidden="1" customHeight="1">
      <c r="A903" s="160" t="s">
        <v>1</v>
      </c>
      <c r="B903" s="58" t="s">
        <v>320</v>
      </c>
      <c r="C903" s="65" t="s">
        <v>455</v>
      </c>
      <c r="D903" s="33" t="s">
        <v>319</v>
      </c>
      <c r="E903" s="33"/>
      <c r="F903" s="33"/>
      <c r="G903" s="33"/>
      <c r="H903" s="30"/>
      <c r="I903" s="30"/>
      <c r="J903" s="212"/>
      <c r="K903" s="23"/>
      <c r="L903" s="23"/>
      <c r="M903" s="23"/>
      <c r="N903" s="23"/>
      <c r="O903" s="23"/>
      <c r="P903" s="23"/>
      <c r="Q903" s="23"/>
      <c r="R903" s="23"/>
      <c r="S903" s="23"/>
      <c r="T903" s="586"/>
      <c r="U903" s="23"/>
      <c r="V903" s="311"/>
      <c r="W903" s="311"/>
      <c r="X903" s="311"/>
      <c r="Y903" s="94"/>
      <c r="Z903" s="23"/>
      <c r="AA903" s="23"/>
      <c r="AB903" s="23"/>
      <c r="AC903" s="23"/>
      <c r="AD903" s="158"/>
      <c r="AE903" s="158"/>
      <c r="AF903" s="158"/>
      <c r="AG903" s="158"/>
      <c r="AH903" s="158"/>
      <c r="AI903" s="158"/>
      <c r="AJ903" s="158"/>
      <c r="AK903" s="158"/>
      <c r="AL903" s="158"/>
      <c r="AM903" s="158"/>
      <c r="AN903" s="158"/>
      <c r="AO903" s="23"/>
      <c r="AP903" s="23"/>
      <c r="AQ903" s="23"/>
      <c r="AR903" s="23"/>
      <c r="AS903" s="2"/>
      <c r="AT903" s="58"/>
      <c r="AU903" s="105"/>
      <c r="AV903" s="23">
        <v>1</v>
      </c>
      <c r="AW903" s="23"/>
      <c r="AX903" s="23"/>
      <c r="AY903" s="23"/>
      <c r="AZ903" s="23"/>
      <c r="BA903" s="23"/>
      <c r="BB903" s="223"/>
      <c r="BC903" s="223"/>
      <c r="BD903" s="270">
        <v>2016</v>
      </c>
      <c r="BE903" s="270"/>
      <c r="BF903" s="420"/>
    </row>
    <row r="904" spans="1:58" ht="15" hidden="1" customHeight="1">
      <c r="A904" s="160" t="s">
        <v>1</v>
      </c>
      <c r="B904" s="58" t="s">
        <v>320</v>
      </c>
      <c r="C904" s="65" t="s">
        <v>456</v>
      </c>
      <c r="D904" s="33" t="s">
        <v>319</v>
      </c>
      <c r="E904" s="33"/>
      <c r="F904" s="33"/>
      <c r="G904" s="33"/>
      <c r="H904" s="30"/>
      <c r="I904" s="30"/>
      <c r="J904" s="212"/>
      <c r="K904" s="23"/>
      <c r="L904" s="23"/>
      <c r="M904" s="23"/>
      <c r="N904" s="23"/>
      <c r="O904" s="23"/>
      <c r="P904" s="23"/>
      <c r="Q904" s="23"/>
      <c r="R904" s="23"/>
      <c r="S904" s="23"/>
      <c r="T904" s="586"/>
      <c r="U904" s="23"/>
      <c r="V904" s="311"/>
      <c r="W904" s="311"/>
      <c r="X904" s="311"/>
      <c r="Y904" s="94"/>
      <c r="Z904" s="23"/>
      <c r="AA904" s="23"/>
      <c r="AB904" s="23"/>
      <c r="AC904" s="23"/>
      <c r="AD904" s="158"/>
      <c r="AE904" s="158"/>
      <c r="AF904" s="158"/>
      <c r="AG904" s="158"/>
      <c r="AH904" s="158"/>
      <c r="AI904" s="158"/>
      <c r="AJ904" s="158"/>
      <c r="AK904" s="158"/>
      <c r="AL904" s="158"/>
      <c r="AM904" s="158"/>
      <c r="AN904" s="158"/>
      <c r="AO904" s="23"/>
      <c r="AP904" s="23"/>
      <c r="AQ904" s="23"/>
      <c r="AR904" s="23"/>
      <c r="AS904" s="2"/>
      <c r="AT904" s="58"/>
      <c r="AU904" s="105"/>
      <c r="AV904" s="23">
        <v>1</v>
      </c>
      <c r="AW904" s="23"/>
      <c r="AX904" s="23"/>
      <c r="AY904" s="23"/>
      <c r="AZ904" s="23"/>
      <c r="BA904" s="23"/>
      <c r="BB904" s="223"/>
      <c r="BC904" s="223"/>
      <c r="BD904" s="270">
        <v>2016</v>
      </c>
      <c r="BE904" s="270"/>
      <c r="BF904" s="420"/>
    </row>
    <row r="905" spans="1:58" ht="15" hidden="1" customHeight="1">
      <c r="A905" s="160" t="s">
        <v>1</v>
      </c>
      <c r="B905" s="58" t="s">
        <v>320</v>
      </c>
      <c r="C905" s="67" t="s">
        <v>457</v>
      </c>
      <c r="D905" s="33" t="s">
        <v>319</v>
      </c>
      <c r="E905" s="33"/>
      <c r="F905" s="33"/>
      <c r="G905" s="33"/>
      <c r="H905" s="30"/>
      <c r="I905" s="30"/>
      <c r="J905" s="212"/>
      <c r="K905" s="23"/>
      <c r="L905" s="23"/>
      <c r="M905" s="23"/>
      <c r="N905" s="23"/>
      <c r="O905" s="23"/>
      <c r="P905" s="23"/>
      <c r="Q905" s="23"/>
      <c r="R905" s="23"/>
      <c r="S905" s="23"/>
      <c r="T905" s="586"/>
      <c r="U905" s="23"/>
      <c r="V905" s="311"/>
      <c r="W905" s="311"/>
      <c r="X905" s="311"/>
      <c r="Y905" s="94"/>
      <c r="Z905" s="23"/>
      <c r="AA905" s="23"/>
      <c r="AB905" s="23"/>
      <c r="AC905" s="23"/>
      <c r="AD905" s="158"/>
      <c r="AE905" s="158"/>
      <c r="AF905" s="158"/>
      <c r="AG905" s="158"/>
      <c r="AH905" s="158"/>
      <c r="AI905" s="158"/>
      <c r="AJ905" s="158"/>
      <c r="AK905" s="158"/>
      <c r="AL905" s="158"/>
      <c r="AM905" s="158"/>
      <c r="AN905" s="158"/>
      <c r="AO905" s="23"/>
      <c r="AP905" s="23"/>
      <c r="AQ905" s="23"/>
      <c r="AR905" s="23"/>
      <c r="AS905" s="2"/>
      <c r="AT905" s="58"/>
      <c r="AU905" s="105"/>
      <c r="AV905" s="23">
        <v>1</v>
      </c>
      <c r="AW905" s="23"/>
      <c r="AX905" s="23"/>
      <c r="AY905" s="23"/>
      <c r="AZ905" s="23"/>
      <c r="BA905" s="23"/>
      <c r="BB905" s="223"/>
      <c r="BC905" s="223"/>
      <c r="BD905" s="270">
        <v>2016</v>
      </c>
      <c r="BE905" s="270"/>
      <c r="BF905" s="420"/>
    </row>
    <row r="906" spans="1:58" ht="15" hidden="1" customHeight="1">
      <c r="A906" s="160" t="s">
        <v>1</v>
      </c>
      <c r="B906" s="58" t="s">
        <v>320</v>
      </c>
      <c r="C906" s="65" t="s">
        <v>458</v>
      </c>
      <c r="D906" s="33" t="s">
        <v>319</v>
      </c>
      <c r="E906" s="33"/>
      <c r="F906" s="33"/>
      <c r="G906" s="33"/>
      <c r="H906" s="30"/>
      <c r="I906" s="30"/>
      <c r="J906" s="212"/>
      <c r="K906" s="23"/>
      <c r="L906" s="23"/>
      <c r="M906" s="23"/>
      <c r="N906" s="23"/>
      <c r="O906" s="23"/>
      <c r="P906" s="23"/>
      <c r="Q906" s="23"/>
      <c r="R906" s="23"/>
      <c r="S906" s="23"/>
      <c r="T906" s="586"/>
      <c r="U906" s="23"/>
      <c r="V906" s="311"/>
      <c r="W906" s="311"/>
      <c r="X906" s="311"/>
      <c r="Y906" s="94"/>
      <c r="Z906" s="23"/>
      <c r="AA906" s="23"/>
      <c r="AB906" s="23"/>
      <c r="AC906" s="23"/>
      <c r="AD906" s="158"/>
      <c r="AE906" s="158"/>
      <c r="AF906" s="158"/>
      <c r="AG906" s="158"/>
      <c r="AH906" s="158"/>
      <c r="AI906" s="158"/>
      <c r="AJ906" s="158"/>
      <c r="AK906" s="158"/>
      <c r="AL906" s="158"/>
      <c r="AM906" s="158"/>
      <c r="AN906" s="158"/>
      <c r="AO906" s="23"/>
      <c r="AP906" s="23"/>
      <c r="AQ906" s="23"/>
      <c r="AR906" s="23"/>
      <c r="AS906" s="2"/>
      <c r="AT906" s="58"/>
      <c r="AU906" s="105"/>
      <c r="AV906" s="23">
        <v>1</v>
      </c>
      <c r="AW906" s="23"/>
      <c r="AX906" s="23"/>
      <c r="AY906" s="23"/>
      <c r="AZ906" s="23"/>
      <c r="BA906" s="23"/>
      <c r="BB906" s="223"/>
      <c r="BC906" s="223"/>
      <c r="BD906" s="270">
        <v>2016</v>
      </c>
      <c r="BE906" s="270"/>
      <c r="BF906" s="420"/>
    </row>
    <row r="907" spans="1:58" ht="15" hidden="1" customHeight="1">
      <c r="A907" s="160" t="s">
        <v>1</v>
      </c>
      <c r="B907" s="58" t="s">
        <v>320</v>
      </c>
      <c r="C907" s="65" t="s">
        <v>459</v>
      </c>
      <c r="D907" s="33" t="s">
        <v>319</v>
      </c>
      <c r="E907" s="33"/>
      <c r="F907" s="33"/>
      <c r="G907" s="33"/>
      <c r="H907" s="30"/>
      <c r="I907" s="30"/>
      <c r="J907" s="212"/>
      <c r="K907" s="23"/>
      <c r="L907" s="23"/>
      <c r="M907" s="23"/>
      <c r="N907" s="23"/>
      <c r="O907" s="23"/>
      <c r="P907" s="23"/>
      <c r="Q907" s="23"/>
      <c r="R907" s="23"/>
      <c r="S907" s="23"/>
      <c r="T907" s="586"/>
      <c r="U907" s="23"/>
      <c r="V907" s="311"/>
      <c r="W907" s="311"/>
      <c r="X907" s="311"/>
      <c r="Y907" s="94"/>
      <c r="Z907" s="23"/>
      <c r="AA907" s="23"/>
      <c r="AB907" s="23"/>
      <c r="AC907" s="23"/>
      <c r="AD907" s="158"/>
      <c r="AE907" s="158"/>
      <c r="AF907" s="158"/>
      <c r="AG907" s="158"/>
      <c r="AH907" s="158"/>
      <c r="AI907" s="158"/>
      <c r="AJ907" s="158"/>
      <c r="AK907" s="158"/>
      <c r="AL907" s="158"/>
      <c r="AM907" s="158"/>
      <c r="AN907" s="158"/>
      <c r="AO907" s="23"/>
      <c r="AP907" s="23"/>
      <c r="AQ907" s="23"/>
      <c r="AR907" s="23"/>
      <c r="AS907" s="2"/>
      <c r="AT907" s="58"/>
      <c r="AU907" s="105"/>
      <c r="AV907" s="23">
        <v>1</v>
      </c>
      <c r="AW907" s="23"/>
      <c r="AX907" s="23"/>
      <c r="AY907" s="23"/>
      <c r="AZ907" s="23"/>
      <c r="BA907" s="23"/>
      <c r="BB907" s="223"/>
      <c r="BC907" s="223"/>
      <c r="BD907" s="270">
        <v>2016</v>
      </c>
      <c r="BE907" s="270"/>
      <c r="BF907" s="420"/>
    </row>
    <row r="908" spans="1:58" ht="15" hidden="1" customHeight="1">
      <c r="A908" s="160" t="s">
        <v>1</v>
      </c>
      <c r="B908" s="58" t="s">
        <v>320</v>
      </c>
      <c r="C908" s="65" t="s">
        <v>460</v>
      </c>
      <c r="D908" s="33" t="s">
        <v>519</v>
      </c>
      <c r="E908" s="33"/>
      <c r="F908" s="33"/>
      <c r="G908" s="33"/>
      <c r="H908" s="30" t="s">
        <v>647</v>
      </c>
      <c r="I908" s="30"/>
      <c r="J908" s="212"/>
      <c r="K908" s="23"/>
      <c r="L908" s="23"/>
      <c r="M908" s="23"/>
      <c r="N908" s="23"/>
      <c r="O908" s="23"/>
      <c r="P908" s="23"/>
      <c r="Q908" s="23"/>
      <c r="R908" s="23"/>
      <c r="S908" s="23"/>
      <c r="T908" s="586"/>
      <c r="U908" s="23"/>
      <c r="V908" s="311"/>
      <c r="W908" s="311"/>
      <c r="X908" s="311"/>
      <c r="Y908" s="94"/>
      <c r="Z908" s="23"/>
      <c r="AA908" s="23"/>
      <c r="AB908" s="23"/>
      <c r="AC908" s="23"/>
      <c r="AD908" s="158"/>
      <c r="AE908" s="158"/>
      <c r="AF908" s="158"/>
      <c r="AG908" s="158"/>
      <c r="AH908" s="158"/>
      <c r="AI908" s="158"/>
      <c r="AJ908" s="158"/>
      <c r="AK908" s="158"/>
      <c r="AL908" s="158"/>
      <c r="AM908" s="158"/>
      <c r="AN908" s="158"/>
      <c r="AO908" s="23"/>
      <c r="AP908" s="23"/>
      <c r="AQ908" s="23"/>
      <c r="AR908" s="23"/>
      <c r="AS908" s="2">
        <v>1</v>
      </c>
      <c r="AT908" s="58" t="s">
        <v>646</v>
      </c>
      <c r="AU908" s="105"/>
      <c r="AV908" s="23"/>
      <c r="AW908" s="23">
        <v>1</v>
      </c>
      <c r="AX908" s="23"/>
      <c r="AY908" s="23"/>
      <c r="AZ908" s="23"/>
      <c r="BA908" s="23"/>
      <c r="BB908" s="223"/>
      <c r="BC908" s="223"/>
      <c r="BD908" s="270">
        <v>2017</v>
      </c>
      <c r="BE908" s="270"/>
      <c r="BF908" s="420"/>
    </row>
    <row r="909" spans="1:58" ht="15" hidden="1" customHeight="1">
      <c r="A909" s="160" t="s">
        <v>1</v>
      </c>
      <c r="B909" s="58" t="s">
        <v>320</v>
      </c>
      <c r="C909" s="65" t="s">
        <v>461</v>
      </c>
      <c r="D909" s="33" t="s">
        <v>319</v>
      </c>
      <c r="E909" s="33"/>
      <c r="F909" s="33"/>
      <c r="G909" s="33"/>
      <c r="H909" s="30"/>
      <c r="I909" s="30"/>
      <c r="J909" s="212"/>
      <c r="K909" s="23"/>
      <c r="L909" s="23"/>
      <c r="M909" s="23"/>
      <c r="N909" s="23"/>
      <c r="O909" s="23"/>
      <c r="P909" s="23"/>
      <c r="Q909" s="23"/>
      <c r="R909" s="23"/>
      <c r="S909" s="23"/>
      <c r="T909" s="586"/>
      <c r="U909" s="23"/>
      <c r="V909" s="311"/>
      <c r="W909" s="311"/>
      <c r="X909" s="311"/>
      <c r="Y909" s="94"/>
      <c r="Z909" s="23"/>
      <c r="AA909" s="23"/>
      <c r="AB909" s="23"/>
      <c r="AC909" s="23"/>
      <c r="AD909" s="158"/>
      <c r="AE909" s="158"/>
      <c r="AF909" s="158"/>
      <c r="AG909" s="158"/>
      <c r="AH909" s="158"/>
      <c r="AI909" s="158"/>
      <c r="AJ909" s="158"/>
      <c r="AK909" s="158"/>
      <c r="AL909" s="158"/>
      <c r="AM909" s="158"/>
      <c r="AN909" s="158"/>
      <c r="AO909" s="23"/>
      <c r="AP909" s="23"/>
      <c r="AQ909" s="23"/>
      <c r="AR909" s="23"/>
      <c r="AS909" s="2"/>
      <c r="AT909" s="58"/>
      <c r="AU909" s="105"/>
      <c r="AV909" s="23">
        <v>1</v>
      </c>
      <c r="AW909" s="23"/>
      <c r="AX909" s="23"/>
      <c r="AY909" s="23"/>
      <c r="AZ909" s="23"/>
      <c r="BA909" s="23"/>
      <c r="BB909" s="223"/>
      <c r="BC909" s="223"/>
      <c r="BD909" s="270">
        <v>2016</v>
      </c>
      <c r="BE909" s="270"/>
      <c r="BF909" s="420"/>
    </row>
    <row r="910" spans="1:58" ht="15" hidden="1" customHeight="1">
      <c r="A910" s="160" t="s">
        <v>1</v>
      </c>
      <c r="B910" s="58" t="s">
        <v>320</v>
      </c>
      <c r="C910" s="65" t="s">
        <v>462</v>
      </c>
      <c r="D910" s="33" t="s">
        <v>319</v>
      </c>
      <c r="E910" s="33"/>
      <c r="F910" s="33"/>
      <c r="G910" s="33"/>
      <c r="H910" s="30"/>
      <c r="I910" s="30"/>
      <c r="J910" s="212"/>
      <c r="K910" s="23"/>
      <c r="L910" s="23"/>
      <c r="M910" s="23"/>
      <c r="N910" s="23"/>
      <c r="O910" s="23"/>
      <c r="P910" s="23"/>
      <c r="Q910" s="23"/>
      <c r="R910" s="23"/>
      <c r="S910" s="23"/>
      <c r="T910" s="586"/>
      <c r="U910" s="23"/>
      <c r="V910" s="311"/>
      <c r="W910" s="311"/>
      <c r="X910" s="311"/>
      <c r="Y910" s="94"/>
      <c r="Z910" s="23"/>
      <c r="AA910" s="23"/>
      <c r="AB910" s="23"/>
      <c r="AC910" s="23"/>
      <c r="AD910" s="158"/>
      <c r="AE910" s="158"/>
      <c r="AF910" s="158"/>
      <c r="AG910" s="158"/>
      <c r="AH910" s="158"/>
      <c r="AI910" s="158"/>
      <c r="AJ910" s="158"/>
      <c r="AK910" s="158"/>
      <c r="AL910" s="158"/>
      <c r="AM910" s="158"/>
      <c r="AN910" s="158"/>
      <c r="AO910" s="23"/>
      <c r="AP910" s="23"/>
      <c r="AQ910" s="23"/>
      <c r="AR910" s="23"/>
      <c r="AS910" s="2"/>
      <c r="AT910" s="58"/>
      <c r="AU910" s="105"/>
      <c r="AV910" s="23">
        <v>1</v>
      </c>
      <c r="AW910" s="23"/>
      <c r="AX910" s="23"/>
      <c r="AY910" s="23"/>
      <c r="AZ910" s="23"/>
      <c r="BA910" s="23"/>
      <c r="BB910" s="223"/>
      <c r="BC910" s="223"/>
      <c r="BD910" s="270">
        <v>2016</v>
      </c>
      <c r="BE910" s="270"/>
      <c r="BF910" s="420"/>
    </row>
    <row r="911" spans="1:58" ht="15" hidden="1" customHeight="1">
      <c r="A911" s="160" t="s">
        <v>1</v>
      </c>
      <c r="B911" s="58" t="s">
        <v>320</v>
      </c>
      <c r="C911" s="65" t="s">
        <v>463</v>
      </c>
      <c r="D911" s="33" t="s">
        <v>319</v>
      </c>
      <c r="E911" s="33"/>
      <c r="F911" s="33"/>
      <c r="G911" s="33"/>
      <c r="H911" s="30"/>
      <c r="I911" s="30"/>
      <c r="J911" s="212"/>
      <c r="K911" s="23"/>
      <c r="L911" s="23"/>
      <c r="M911" s="23"/>
      <c r="N911" s="23"/>
      <c r="O911" s="23"/>
      <c r="P911" s="23"/>
      <c r="Q911" s="23"/>
      <c r="R911" s="23"/>
      <c r="S911" s="23"/>
      <c r="T911" s="586"/>
      <c r="U911" s="23"/>
      <c r="V911" s="311"/>
      <c r="W911" s="311"/>
      <c r="X911" s="311"/>
      <c r="Y911" s="94"/>
      <c r="Z911" s="23"/>
      <c r="AA911" s="23"/>
      <c r="AB911" s="23"/>
      <c r="AC911" s="23"/>
      <c r="AD911" s="158"/>
      <c r="AE911" s="158"/>
      <c r="AF911" s="158"/>
      <c r="AG911" s="158"/>
      <c r="AH911" s="158"/>
      <c r="AI911" s="158"/>
      <c r="AJ911" s="158"/>
      <c r="AK911" s="158"/>
      <c r="AL911" s="158"/>
      <c r="AM911" s="158"/>
      <c r="AN911" s="158"/>
      <c r="AO911" s="23"/>
      <c r="AP911" s="23"/>
      <c r="AQ911" s="23"/>
      <c r="AR911" s="23"/>
      <c r="AS911" s="2"/>
      <c r="AT911" s="58"/>
      <c r="AU911" s="105"/>
      <c r="AV911" s="23">
        <v>1</v>
      </c>
      <c r="AW911" s="23"/>
      <c r="AX911" s="23"/>
      <c r="AY911" s="23"/>
      <c r="AZ911" s="23"/>
      <c r="BA911" s="23"/>
      <c r="BB911" s="223"/>
      <c r="BC911" s="223"/>
      <c r="BD911" s="270">
        <v>2016</v>
      </c>
      <c r="BE911" s="270"/>
      <c r="BF911" s="268"/>
    </row>
    <row r="912" spans="1:58" ht="15" hidden="1" customHeight="1">
      <c r="A912" s="160" t="s">
        <v>1</v>
      </c>
      <c r="B912" s="58" t="s">
        <v>320</v>
      </c>
      <c r="C912" s="65" t="s">
        <v>464</v>
      </c>
      <c r="D912" s="33" t="s">
        <v>319</v>
      </c>
      <c r="E912" s="33"/>
      <c r="F912" s="33"/>
      <c r="G912" s="33"/>
      <c r="H912" s="30"/>
      <c r="I912" s="30"/>
      <c r="J912" s="212"/>
      <c r="K912" s="23"/>
      <c r="L912" s="23"/>
      <c r="M912" s="23"/>
      <c r="N912" s="23"/>
      <c r="O912" s="23"/>
      <c r="P912" s="23"/>
      <c r="Q912" s="23"/>
      <c r="R912" s="23"/>
      <c r="S912" s="23"/>
      <c r="T912" s="586"/>
      <c r="U912" s="23"/>
      <c r="V912" s="311"/>
      <c r="W912" s="311"/>
      <c r="X912" s="311"/>
      <c r="Y912" s="94"/>
      <c r="Z912" s="23"/>
      <c r="AA912" s="23"/>
      <c r="AB912" s="23"/>
      <c r="AC912" s="23"/>
      <c r="AD912" s="158"/>
      <c r="AE912" s="158"/>
      <c r="AF912" s="158"/>
      <c r="AG912" s="158"/>
      <c r="AH912" s="158"/>
      <c r="AI912" s="158"/>
      <c r="AJ912" s="158"/>
      <c r="AK912" s="158"/>
      <c r="AL912" s="158"/>
      <c r="AM912" s="158"/>
      <c r="AN912" s="158"/>
      <c r="AO912" s="23"/>
      <c r="AP912" s="23"/>
      <c r="AQ912" s="23"/>
      <c r="AR912" s="23"/>
      <c r="AS912" s="2"/>
      <c r="AT912" s="58"/>
      <c r="AU912" s="105"/>
      <c r="AV912" s="23">
        <v>1</v>
      </c>
      <c r="AW912" s="23"/>
      <c r="AX912" s="23"/>
      <c r="AY912" s="23"/>
      <c r="AZ912" s="23"/>
      <c r="BA912" s="23"/>
      <c r="BB912" s="223"/>
      <c r="BC912" s="223"/>
      <c r="BD912" s="270">
        <v>2016</v>
      </c>
      <c r="BE912" s="270"/>
      <c r="BF912" s="268"/>
    </row>
    <row r="913" spans="1:58" ht="15" hidden="1" customHeight="1">
      <c r="A913" s="160" t="s">
        <v>1</v>
      </c>
      <c r="B913" s="58" t="s">
        <v>320</v>
      </c>
      <c r="C913" s="65" t="s">
        <v>465</v>
      </c>
      <c r="D913" s="33" t="s">
        <v>319</v>
      </c>
      <c r="E913" s="33"/>
      <c r="F913" s="33"/>
      <c r="G913" s="33"/>
      <c r="H913" s="30"/>
      <c r="I913" s="30"/>
      <c r="J913" s="212"/>
      <c r="K913" s="23"/>
      <c r="L913" s="23"/>
      <c r="M913" s="23"/>
      <c r="N913" s="23"/>
      <c r="O913" s="23"/>
      <c r="P913" s="23"/>
      <c r="Q913" s="23"/>
      <c r="R913" s="23"/>
      <c r="S913" s="23"/>
      <c r="T913" s="586"/>
      <c r="U913" s="23"/>
      <c r="V913" s="311"/>
      <c r="W913" s="311"/>
      <c r="X913" s="311"/>
      <c r="Y913" s="94"/>
      <c r="Z913" s="23"/>
      <c r="AA913" s="23"/>
      <c r="AB913" s="23"/>
      <c r="AC913" s="23"/>
      <c r="AD913" s="158"/>
      <c r="AE913" s="158"/>
      <c r="AF913" s="158"/>
      <c r="AG913" s="158"/>
      <c r="AH913" s="158"/>
      <c r="AI913" s="158"/>
      <c r="AJ913" s="158"/>
      <c r="AK913" s="158"/>
      <c r="AL913" s="158"/>
      <c r="AM913" s="158"/>
      <c r="AN913" s="158"/>
      <c r="AO913" s="23"/>
      <c r="AP913" s="23"/>
      <c r="AQ913" s="23"/>
      <c r="AR913" s="23"/>
      <c r="AS913" s="2"/>
      <c r="AT913" s="58"/>
      <c r="AU913" s="105"/>
      <c r="AV913" s="23">
        <v>1</v>
      </c>
      <c r="AW913" s="23"/>
      <c r="AX913" s="23"/>
      <c r="AY913" s="23"/>
      <c r="AZ913" s="23"/>
      <c r="BA913" s="23"/>
      <c r="BB913" s="223"/>
      <c r="BC913" s="223"/>
      <c r="BD913" s="270">
        <v>2016</v>
      </c>
      <c r="BE913" s="270"/>
      <c r="BF913" s="268"/>
    </row>
    <row r="914" spans="1:58" ht="15" hidden="1" customHeight="1">
      <c r="A914" s="160" t="s">
        <v>1</v>
      </c>
      <c r="B914" s="58" t="s">
        <v>320</v>
      </c>
      <c r="C914" s="65" t="s">
        <v>466</v>
      </c>
      <c r="D914" s="33" t="s">
        <v>319</v>
      </c>
      <c r="E914" s="33"/>
      <c r="F914" s="33"/>
      <c r="G914" s="33"/>
      <c r="H914" s="30"/>
      <c r="I914" s="30"/>
      <c r="J914" s="212"/>
      <c r="K914" s="23"/>
      <c r="L914" s="23"/>
      <c r="M914" s="23"/>
      <c r="N914" s="23"/>
      <c r="O914" s="23"/>
      <c r="P914" s="23"/>
      <c r="Q914" s="23"/>
      <c r="R914" s="23"/>
      <c r="S914" s="23"/>
      <c r="T914" s="586"/>
      <c r="U914" s="23"/>
      <c r="V914" s="311"/>
      <c r="W914" s="311"/>
      <c r="X914" s="311"/>
      <c r="Y914" s="94"/>
      <c r="Z914" s="23"/>
      <c r="AA914" s="23"/>
      <c r="AB914" s="23"/>
      <c r="AC914" s="23"/>
      <c r="AD914" s="158"/>
      <c r="AE914" s="158"/>
      <c r="AF914" s="158"/>
      <c r="AG914" s="158"/>
      <c r="AH914" s="158"/>
      <c r="AI914" s="158"/>
      <c r="AJ914" s="158"/>
      <c r="AK914" s="158"/>
      <c r="AL914" s="158"/>
      <c r="AM914" s="158"/>
      <c r="AN914" s="158"/>
      <c r="AO914" s="23"/>
      <c r="AP914" s="23"/>
      <c r="AQ914" s="23"/>
      <c r="AR914" s="23"/>
      <c r="AS914" s="2"/>
      <c r="AT914" s="58"/>
      <c r="AU914" s="105"/>
      <c r="AV914" s="23">
        <v>1</v>
      </c>
      <c r="AW914" s="23"/>
      <c r="AX914" s="23"/>
      <c r="AY914" s="23"/>
      <c r="AZ914" s="23"/>
      <c r="BA914" s="23"/>
      <c r="BB914" s="223"/>
      <c r="BC914" s="223"/>
      <c r="BD914" s="270">
        <v>2016</v>
      </c>
      <c r="BE914" s="270"/>
      <c r="BF914" s="268"/>
    </row>
    <row r="915" spans="1:58" ht="15" hidden="1" customHeight="1">
      <c r="A915" s="160" t="s">
        <v>1</v>
      </c>
      <c r="B915" s="58" t="s">
        <v>320</v>
      </c>
      <c r="C915" s="65" t="s">
        <v>467</v>
      </c>
      <c r="D915" s="33" t="s">
        <v>319</v>
      </c>
      <c r="E915" s="33"/>
      <c r="F915" s="33"/>
      <c r="G915" s="33"/>
      <c r="H915" s="30"/>
      <c r="I915" s="30"/>
      <c r="J915" s="212"/>
      <c r="K915" s="23"/>
      <c r="L915" s="23"/>
      <c r="M915" s="23"/>
      <c r="N915" s="23"/>
      <c r="O915" s="23"/>
      <c r="P915" s="23"/>
      <c r="Q915" s="23"/>
      <c r="R915" s="23"/>
      <c r="S915" s="23"/>
      <c r="T915" s="586"/>
      <c r="U915" s="23"/>
      <c r="V915" s="311"/>
      <c r="W915" s="311"/>
      <c r="X915" s="311"/>
      <c r="Y915" s="94"/>
      <c r="Z915" s="23"/>
      <c r="AA915" s="23"/>
      <c r="AB915" s="23"/>
      <c r="AC915" s="23"/>
      <c r="AD915" s="158"/>
      <c r="AE915" s="158"/>
      <c r="AF915" s="158"/>
      <c r="AG915" s="158"/>
      <c r="AH915" s="158"/>
      <c r="AI915" s="158"/>
      <c r="AJ915" s="158"/>
      <c r="AK915" s="158"/>
      <c r="AL915" s="158"/>
      <c r="AM915" s="158"/>
      <c r="AN915" s="158"/>
      <c r="AO915" s="23"/>
      <c r="AP915" s="23"/>
      <c r="AQ915" s="23"/>
      <c r="AR915" s="23"/>
      <c r="AS915" s="2"/>
      <c r="AT915" s="58"/>
      <c r="AU915" s="105"/>
      <c r="AV915" s="23">
        <v>1</v>
      </c>
      <c r="AW915" s="23"/>
      <c r="AX915" s="23"/>
      <c r="AY915" s="23"/>
      <c r="AZ915" s="23"/>
      <c r="BA915" s="23"/>
      <c r="BB915" s="223"/>
      <c r="BC915" s="223"/>
      <c r="BD915" s="270">
        <v>2016</v>
      </c>
      <c r="BE915" s="270"/>
      <c r="BF915" s="268"/>
    </row>
    <row r="916" spans="1:58" ht="15" hidden="1" customHeight="1">
      <c r="A916" s="160" t="s">
        <v>1</v>
      </c>
      <c r="B916" s="58" t="s">
        <v>320</v>
      </c>
      <c r="C916" s="65" t="s">
        <v>468</v>
      </c>
      <c r="D916" s="33" t="s">
        <v>319</v>
      </c>
      <c r="E916" s="33"/>
      <c r="F916" s="33"/>
      <c r="G916" s="33"/>
      <c r="H916" s="30"/>
      <c r="I916" s="30"/>
      <c r="J916" s="212"/>
      <c r="K916" s="23"/>
      <c r="L916" s="23"/>
      <c r="M916" s="23"/>
      <c r="N916" s="23"/>
      <c r="O916" s="23"/>
      <c r="P916" s="23"/>
      <c r="Q916" s="23"/>
      <c r="R916" s="23"/>
      <c r="S916" s="23"/>
      <c r="T916" s="586"/>
      <c r="U916" s="23"/>
      <c r="V916" s="311"/>
      <c r="W916" s="311"/>
      <c r="X916" s="311"/>
      <c r="Y916" s="94"/>
      <c r="Z916" s="23"/>
      <c r="AA916" s="23"/>
      <c r="AB916" s="23"/>
      <c r="AC916" s="23"/>
      <c r="AD916" s="158"/>
      <c r="AE916" s="158"/>
      <c r="AF916" s="158"/>
      <c r="AG916" s="158"/>
      <c r="AH916" s="158"/>
      <c r="AI916" s="158"/>
      <c r="AJ916" s="158"/>
      <c r="AK916" s="158"/>
      <c r="AL916" s="158"/>
      <c r="AM916" s="158"/>
      <c r="AN916" s="158"/>
      <c r="AO916" s="23"/>
      <c r="AP916" s="23"/>
      <c r="AQ916" s="23"/>
      <c r="AR916" s="23"/>
      <c r="AS916" s="2"/>
      <c r="AT916" s="58"/>
      <c r="AU916" s="105"/>
      <c r="AV916" s="23">
        <v>1</v>
      </c>
      <c r="AW916" s="23"/>
      <c r="AX916" s="23"/>
      <c r="AY916" s="23"/>
      <c r="AZ916" s="23"/>
      <c r="BA916" s="23"/>
      <c r="BB916" s="223"/>
      <c r="BC916" s="223"/>
      <c r="BD916" s="270">
        <v>2016</v>
      </c>
      <c r="BE916" s="270"/>
      <c r="BF916" s="268"/>
    </row>
    <row r="917" spans="1:58" ht="15" hidden="1" customHeight="1">
      <c r="A917" s="160" t="s">
        <v>1</v>
      </c>
      <c r="B917" s="58" t="s">
        <v>320</v>
      </c>
      <c r="C917" s="65" t="s">
        <v>469</v>
      </c>
      <c r="D917" s="33" t="s">
        <v>319</v>
      </c>
      <c r="E917" s="33"/>
      <c r="F917" s="33"/>
      <c r="G917" s="33"/>
      <c r="H917" s="30"/>
      <c r="I917" s="30"/>
      <c r="J917" s="212"/>
      <c r="K917" s="23"/>
      <c r="L917" s="23"/>
      <c r="M917" s="23"/>
      <c r="N917" s="23"/>
      <c r="O917" s="23"/>
      <c r="P917" s="23"/>
      <c r="Q917" s="23"/>
      <c r="R917" s="23"/>
      <c r="S917" s="23"/>
      <c r="T917" s="586"/>
      <c r="U917" s="23"/>
      <c r="V917" s="311"/>
      <c r="W917" s="311"/>
      <c r="X917" s="311"/>
      <c r="Y917" s="94"/>
      <c r="Z917" s="23"/>
      <c r="AA917" s="23"/>
      <c r="AB917" s="23"/>
      <c r="AC917" s="23"/>
      <c r="AD917" s="158"/>
      <c r="AE917" s="158"/>
      <c r="AF917" s="158"/>
      <c r="AG917" s="158"/>
      <c r="AH917" s="158"/>
      <c r="AI917" s="158"/>
      <c r="AJ917" s="158"/>
      <c r="AK917" s="158"/>
      <c r="AL917" s="158"/>
      <c r="AM917" s="158"/>
      <c r="AN917" s="158"/>
      <c r="AO917" s="23"/>
      <c r="AP917" s="23"/>
      <c r="AQ917" s="23"/>
      <c r="AR917" s="23"/>
      <c r="AS917" s="2"/>
      <c r="AT917" s="58"/>
      <c r="AU917" s="105"/>
      <c r="AV917" s="23">
        <v>1</v>
      </c>
      <c r="AW917" s="23"/>
      <c r="AX917" s="23"/>
      <c r="AY917" s="23"/>
      <c r="AZ917" s="23"/>
      <c r="BA917" s="23"/>
      <c r="BB917" s="223"/>
      <c r="BC917" s="223"/>
      <c r="BD917" s="270">
        <v>2016</v>
      </c>
      <c r="BE917" s="270"/>
      <c r="BF917" s="268"/>
    </row>
    <row r="918" spans="1:58" ht="15" hidden="1" customHeight="1">
      <c r="A918" s="160" t="s">
        <v>1</v>
      </c>
      <c r="B918" s="58" t="s">
        <v>320</v>
      </c>
      <c r="C918" s="65" t="s">
        <v>470</v>
      </c>
      <c r="D918" s="33" t="s">
        <v>319</v>
      </c>
      <c r="E918" s="33"/>
      <c r="F918" s="33"/>
      <c r="G918" s="33"/>
      <c r="H918" s="30"/>
      <c r="I918" s="30"/>
      <c r="J918" s="212"/>
      <c r="K918" s="23"/>
      <c r="L918" s="23"/>
      <c r="M918" s="23"/>
      <c r="N918" s="23"/>
      <c r="O918" s="23"/>
      <c r="P918" s="23"/>
      <c r="Q918" s="23"/>
      <c r="R918" s="23"/>
      <c r="S918" s="23"/>
      <c r="T918" s="586"/>
      <c r="U918" s="23"/>
      <c r="V918" s="311"/>
      <c r="W918" s="311"/>
      <c r="X918" s="311"/>
      <c r="Y918" s="94"/>
      <c r="Z918" s="23"/>
      <c r="AA918" s="23"/>
      <c r="AB918" s="23"/>
      <c r="AC918" s="23"/>
      <c r="AD918" s="158"/>
      <c r="AE918" s="158"/>
      <c r="AF918" s="158"/>
      <c r="AG918" s="158"/>
      <c r="AH918" s="158"/>
      <c r="AI918" s="158"/>
      <c r="AJ918" s="158"/>
      <c r="AK918" s="158"/>
      <c r="AL918" s="158"/>
      <c r="AM918" s="158"/>
      <c r="AN918" s="158"/>
      <c r="AO918" s="23"/>
      <c r="AP918" s="23"/>
      <c r="AQ918" s="23"/>
      <c r="AR918" s="23"/>
      <c r="AS918" s="2"/>
      <c r="AT918" s="58"/>
      <c r="AU918" s="105"/>
      <c r="AV918" s="23">
        <v>1</v>
      </c>
      <c r="AW918" s="23"/>
      <c r="AX918" s="23"/>
      <c r="AY918" s="23"/>
      <c r="AZ918" s="23"/>
      <c r="BA918" s="23"/>
      <c r="BB918" s="223"/>
      <c r="BC918" s="223"/>
      <c r="BD918" s="270">
        <v>2016</v>
      </c>
      <c r="BE918" s="270"/>
      <c r="BF918" s="268"/>
    </row>
    <row r="919" spans="1:58" ht="15" hidden="1" customHeight="1">
      <c r="A919" s="160" t="s">
        <v>1</v>
      </c>
      <c r="B919" s="58" t="s">
        <v>320</v>
      </c>
      <c r="C919" s="65" t="s">
        <v>471</v>
      </c>
      <c r="D919" s="33" t="s">
        <v>319</v>
      </c>
      <c r="E919" s="33"/>
      <c r="F919" s="33"/>
      <c r="G919" s="33"/>
      <c r="H919" s="30"/>
      <c r="I919" s="30"/>
      <c r="J919" s="212"/>
      <c r="K919" s="23"/>
      <c r="L919" s="23"/>
      <c r="M919" s="23"/>
      <c r="N919" s="23"/>
      <c r="O919" s="23"/>
      <c r="P919" s="23"/>
      <c r="Q919" s="23"/>
      <c r="R919" s="23"/>
      <c r="S919" s="23"/>
      <c r="T919" s="586"/>
      <c r="U919" s="23"/>
      <c r="V919" s="311"/>
      <c r="W919" s="311"/>
      <c r="X919" s="311"/>
      <c r="Y919" s="94"/>
      <c r="Z919" s="23"/>
      <c r="AA919" s="23"/>
      <c r="AB919" s="23"/>
      <c r="AC919" s="23"/>
      <c r="AD919" s="158"/>
      <c r="AE919" s="158"/>
      <c r="AF919" s="158"/>
      <c r="AG919" s="158"/>
      <c r="AH919" s="158"/>
      <c r="AI919" s="158"/>
      <c r="AJ919" s="158"/>
      <c r="AK919" s="158"/>
      <c r="AL919" s="158"/>
      <c r="AM919" s="158"/>
      <c r="AN919" s="158"/>
      <c r="AO919" s="23"/>
      <c r="AP919" s="23"/>
      <c r="AQ919" s="23"/>
      <c r="AR919" s="23"/>
      <c r="AS919" s="2"/>
      <c r="AT919" s="58"/>
      <c r="AU919" s="105"/>
      <c r="AV919" s="23">
        <v>1</v>
      </c>
      <c r="AW919" s="23"/>
      <c r="AX919" s="23"/>
      <c r="AY919" s="23"/>
      <c r="AZ919" s="23"/>
      <c r="BA919" s="23"/>
      <c r="BB919" s="223"/>
      <c r="BC919" s="223"/>
      <c r="BD919" s="270">
        <v>2016</v>
      </c>
      <c r="BE919" s="270"/>
      <c r="BF919" s="268"/>
    </row>
    <row r="920" spans="1:58" ht="15" hidden="1" customHeight="1">
      <c r="A920" s="160" t="s">
        <v>1</v>
      </c>
      <c r="B920" s="58" t="s">
        <v>320</v>
      </c>
      <c r="C920" s="65" t="s">
        <v>472</v>
      </c>
      <c r="D920" s="33" t="s">
        <v>319</v>
      </c>
      <c r="E920" s="33"/>
      <c r="F920" s="33"/>
      <c r="G920" s="33"/>
      <c r="H920" s="30"/>
      <c r="I920" s="30"/>
      <c r="J920" s="212"/>
      <c r="K920" s="23"/>
      <c r="L920" s="23"/>
      <c r="M920" s="23"/>
      <c r="N920" s="23"/>
      <c r="O920" s="23"/>
      <c r="P920" s="23"/>
      <c r="Q920" s="23"/>
      <c r="R920" s="23"/>
      <c r="S920" s="23"/>
      <c r="T920" s="586"/>
      <c r="U920" s="23"/>
      <c r="V920" s="311"/>
      <c r="W920" s="311"/>
      <c r="X920" s="311"/>
      <c r="Y920" s="94"/>
      <c r="Z920" s="23"/>
      <c r="AA920" s="23"/>
      <c r="AB920" s="23"/>
      <c r="AC920" s="23"/>
      <c r="AD920" s="158"/>
      <c r="AE920" s="158"/>
      <c r="AF920" s="158"/>
      <c r="AG920" s="158"/>
      <c r="AH920" s="158"/>
      <c r="AI920" s="158"/>
      <c r="AJ920" s="158"/>
      <c r="AK920" s="158"/>
      <c r="AL920" s="158"/>
      <c r="AM920" s="158"/>
      <c r="AN920" s="158"/>
      <c r="AO920" s="23"/>
      <c r="AP920" s="23"/>
      <c r="AQ920" s="23"/>
      <c r="AR920" s="23"/>
      <c r="AS920" s="2"/>
      <c r="AT920" s="58"/>
      <c r="AU920" s="105"/>
      <c r="AV920" s="23">
        <v>1</v>
      </c>
      <c r="AW920" s="23"/>
      <c r="AX920" s="23"/>
      <c r="AY920" s="23"/>
      <c r="AZ920" s="23"/>
      <c r="BA920" s="23"/>
      <c r="BB920" s="223"/>
      <c r="BC920" s="223"/>
      <c r="BD920" s="270">
        <v>2016</v>
      </c>
      <c r="BE920" s="270"/>
      <c r="BF920" s="268"/>
    </row>
    <row r="921" spans="1:58" ht="15" hidden="1" customHeight="1">
      <c r="A921" s="160" t="s">
        <v>1</v>
      </c>
      <c r="B921" s="58" t="s">
        <v>320</v>
      </c>
      <c r="C921" s="65" t="s">
        <v>473</v>
      </c>
      <c r="D921" s="33" t="s">
        <v>319</v>
      </c>
      <c r="E921" s="33"/>
      <c r="F921" s="33"/>
      <c r="G921" s="33"/>
      <c r="H921" s="30"/>
      <c r="I921" s="30"/>
      <c r="J921" s="212"/>
      <c r="K921" s="23"/>
      <c r="L921" s="23"/>
      <c r="M921" s="23"/>
      <c r="N921" s="23"/>
      <c r="O921" s="23"/>
      <c r="P921" s="23"/>
      <c r="Q921" s="23"/>
      <c r="R921" s="23"/>
      <c r="S921" s="23"/>
      <c r="T921" s="586"/>
      <c r="U921" s="23"/>
      <c r="V921" s="311"/>
      <c r="W921" s="311"/>
      <c r="X921" s="311"/>
      <c r="Y921" s="94"/>
      <c r="Z921" s="23"/>
      <c r="AA921" s="23"/>
      <c r="AB921" s="23"/>
      <c r="AC921" s="23"/>
      <c r="AD921" s="158"/>
      <c r="AE921" s="158"/>
      <c r="AF921" s="158"/>
      <c r="AG921" s="158"/>
      <c r="AH921" s="158"/>
      <c r="AI921" s="158"/>
      <c r="AJ921" s="158"/>
      <c r="AK921" s="158"/>
      <c r="AL921" s="158"/>
      <c r="AM921" s="158"/>
      <c r="AN921" s="158"/>
      <c r="AO921" s="23"/>
      <c r="AP921" s="23"/>
      <c r="AQ921" s="23"/>
      <c r="AR921" s="23"/>
      <c r="AS921" s="2"/>
      <c r="AT921" s="58"/>
      <c r="AU921" s="105"/>
      <c r="AV921" s="23">
        <v>1</v>
      </c>
      <c r="AW921" s="23"/>
      <c r="AX921" s="23"/>
      <c r="AY921" s="23"/>
      <c r="AZ921" s="23"/>
      <c r="BA921" s="23"/>
      <c r="BB921" s="223"/>
      <c r="BC921" s="223"/>
      <c r="BD921" s="270">
        <v>2016</v>
      </c>
      <c r="BE921" s="270"/>
      <c r="BF921" s="268"/>
    </row>
    <row r="922" spans="1:58" ht="15" hidden="1" customHeight="1">
      <c r="A922" s="160" t="s">
        <v>1</v>
      </c>
      <c r="B922" s="58" t="s">
        <v>320</v>
      </c>
      <c r="C922" s="65" t="s">
        <v>474</v>
      </c>
      <c r="D922" s="33" t="s">
        <v>319</v>
      </c>
      <c r="E922" s="33"/>
      <c r="F922" s="33"/>
      <c r="G922" s="33"/>
      <c r="H922" s="30"/>
      <c r="I922" s="30"/>
      <c r="J922" s="212"/>
      <c r="K922" s="23"/>
      <c r="L922" s="23"/>
      <c r="M922" s="23"/>
      <c r="N922" s="23"/>
      <c r="O922" s="23"/>
      <c r="P922" s="23"/>
      <c r="Q922" s="23"/>
      <c r="R922" s="23"/>
      <c r="S922" s="23"/>
      <c r="T922" s="586"/>
      <c r="U922" s="23"/>
      <c r="V922" s="311"/>
      <c r="W922" s="311"/>
      <c r="X922" s="311"/>
      <c r="Y922" s="94"/>
      <c r="Z922" s="23"/>
      <c r="AA922" s="23"/>
      <c r="AB922" s="23"/>
      <c r="AC922" s="23"/>
      <c r="AD922" s="158"/>
      <c r="AE922" s="158"/>
      <c r="AF922" s="158"/>
      <c r="AG922" s="158"/>
      <c r="AH922" s="158"/>
      <c r="AI922" s="158"/>
      <c r="AJ922" s="158"/>
      <c r="AK922" s="158"/>
      <c r="AL922" s="158"/>
      <c r="AM922" s="158"/>
      <c r="AN922" s="158"/>
      <c r="AO922" s="23"/>
      <c r="AP922" s="23"/>
      <c r="AQ922" s="23"/>
      <c r="AR922" s="23"/>
      <c r="AS922" s="2"/>
      <c r="AT922" s="58"/>
      <c r="AU922" s="105"/>
      <c r="AV922" s="23">
        <v>1</v>
      </c>
      <c r="AW922" s="23"/>
      <c r="AX922" s="23"/>
      <c r="AY922" s="23"/>
      <c r="AZ922" s="23"/>
      <c r="BA922" s="23"/>
      <c r="BB922" s="223"/>
      <c r="BC922" s="223"/>
      <c r="BD922" s="270">
        <v>2016</v>
      </c>
      <c r="BE922" s="270"/>
      <c r="BF922" s="268"/>
    </row>
    <row r="923" spans="1:58" ht="15" hidden="1" customHeight="1">
      <c r="A923" s="160" t="s">
        <v>1</v>
      </c>
      <c r="B923" s="58" t="s">
        <v>320</v>
      </c>
      <c r="C923" s="65" t="s">
        <v>475</v>
      </c>
      <c r="D923" s="33" t="s">
        <v>319</v>
      </c>
      <c r="E923" s="33"/>
      <c r="F923" s="33"/>
      <c r="G923" s="33"/>
      <c r="H923" s="30"/>
      <c r="I923" s="30"/>
      <c r="J923" s="212"/>
      <c r="K923" s="23"/>
      <c r="L923" s="23"/>
      <c r="M923" s="23"/>
      <c r="N923" s="23"/>
      <c r="O923" s="23"/>
      <c r="P923" s="23"/>
      <c r="Q923" s="23"/>
      <c r="R923" s="23"/>
      <c r="S923" s="23"/>
      <c r="T923" s="586"/>
      <c r="U923" s="23"/>
      <c r="V923" s="311"/>
      <c r="W923" s="311"/>
      <c r="X923" s="311"/>
      <c r="Y923" s="94"/>
      <c r="Z923" s="23"/>
      <c r="AA923" s="23"/>
      <c r="AB923" s="23"/>
      <c r="AC923" s="23"/>
      <c r="AD923" s="158"/>
      <c r="AE923" s="158"/>
      <c r="AF923" s="158"/>
      <c r="AG923" s="158"/>
      <c r="AH923" s="158"/>
      <c r="AI923" s="158"/>
      <c r="AJ923" s="158"/>
      <c r="AK923" s="158"/>
      <c r="AL923" s="158"/>
      <c r="AM923" s="158"/>
      <c r="AN923" s="158"/>
      <c r="AO923" s="23"/>
      <c r="AP923" s="23"/>
      <c r="AQ923" s="23"/>
      <c r="AR923" s="23"/>
      <c r="AS923" s="2"/>
      <c r="AT923" s="58"/>
      <c r="AU923" s="105"/>
      <c r="AV923" s="23">
        <v>1</v>
      </c>
      <c r="AW923" s="23"/>
      <c r="AX923" s="23"/>
      <c r="AY923" s="23"/>
      <c r="AZ923" s="23"/>
      <c r="BA923" s="23"/>
      <c r="BB923" s="223"/>
      <c r="BC923" s="223"/>
      <c r="BD923" s="270">
        <v>2016</v>
      </c>
      <c r="BE923" s="270"/>
      <c r="BF923" s="268"/>
    </row>
    <row r="924" spans="1:58" ht="15" hidden="1" customHeight="1">
      <c r="A924" s="160" t="s">
        <v>1</v>
      </c>
      <c r="B924" s="58" t="s">
        <v>320</v>
      </c>
      <c r="C924" s="65" t="s">
        <v>476</v>
      </c>
      <c r="D924" s="33" t="s">
        <v>319</v>
      </c>
      <c r="E924" s="33"/>
      <c r="F924" s="33"/>
      <c r="G924" s="33"/>
      <c r="H924" s="30"/>
      <c r="I924" s="30"/>
      <c r="J924" s="212"/>
      <c r="K924" s="23"/>
      <c r="L924" s="23"/>
      <c r="M924" s="23"/>
      <c r="N924" s="23"/>
      <c r="O924" s="23"/>
      <c r="P924" s="23"/>
      <c r="Q924" s="23"/>
      <c r="R924" s="23"/>
      <c r="S924" s="23"/>
      <c r="T924" s="586"/>
      <c r="U924" s="23"/>
      <c r="V924" s="311"/>
      <c r="W924" s="311"/>
      <c r="X924" s="311"/>
      <c r="Y924" s="94"/>
      <c r="Z924" s="23"/>
      <c r="AA924" s="23"/>
      <c r="AB924" s="23"/>
      <c r="AC924" s="23"/>
      <c r="AD924" s="158"/>
      <c r="AE924" s="158"/>
      <c r="AF924" s="158"/>
      <c r="AG924" s="158"/>
      <c r="AH924" s="158"/>
      <c r="AI924" s="158"/>
      <c r="AJ924" s="158"/>
      <c r="AK924" s="158"/>
      <c r="AL924" s="158"/>
      <c r="AM924" s="158"/>
      <c r="AN924" s="158"/>
      <c r="AO924" s="23"/>
      <c r="AP924" s="23"/>
      <c r="AQ924" s="23"/>
      <c r="AR924" s="23"/>
      <c r="AS924" s="2"/>
      <c r="AT924" s="58"/>
      <c r="AU924" s="105"/>
      <c r="AV924" s="23">
        <v>1</v>
      </c>
      <c r="AW924" s="23"/>
      <c r="AX924" s="23"/>
      <c r="AY924" s="23"/>
      <c r="AZ924" s="23"/>
      <c r="BA924" s="23"/>
      <c r="BB924" s="223"/>
      <c r="BC924" s="223"/>
      <c r="BD924" s="270">
        <v>2016</v>
      </c>
      <c r="BE924" s="270"/>
      <c r="BF924" s="268"/>
    </row>
    <row r="925" spans="1:58" ht="15" hidden="1" customHeight="1">
      <c r="A925" s="160" t="s">
        <v>1</v>
      </c>
      <c r="B925" s="58" t="s">
        <v>320</v>
      </c>
      <c r="C925" s="65" t="s">
        <v>477</v>
      </c>
      <c r="D925" s="33" t="s">
        <v>319</v>
      </c>
      <c r="E925" s="33"/>
      <c r="F925" s="33"/>
      <c r="G925" s="33"/>
      <c r="H925" s="30"/>
      <c r="I925" s="30"/>
      <c r="J925" s="212"/>
      <c r="K925" s="23"/>
      <c r="L925" s="23"/>
      <c r="M925" s="23"/>
      <c r="N925" s="23"/>
      <c r="O925" s="23"/>
      <c r="P925" s="23"/>
      <c r="Q925" s="23"/>
      <c r="R925" s="23"/>
      <c r="S925" s="23"/>
      <c r="T925" s="586"/>
      <c r="U925" s="23"/>
      <c r="V925" s="311"/>
      <c r="W925" s="311"/>
      <c r="X925" s="311"/>
      <c r="Y925" s="94"/>
      <c r="Z925" s="23"/>
      <c r="AA925" s="23"/>
      <c r="AB925" s="23"/>
      <c r="AC925" s="23"/>
      <c r="AD925" s="158"/>
      <c r="AE925" s="158"/>
      <c r="AF925" s="158"/>
      <c r="AG925" s="158"/>
      <c r="AH925" s="158"/>
      <c r="AI925" s="158"/>
      <c r="AJ925" s="158"/>
      <c r="AK925" s="158"/>
      <c r="AL925" s="158"/>
      <c r="AM925" s="158"/>
      <c r="AN925" s="158"/>
      <c r="AO925" s="23"/>
      <c r="AP925" s="23"/>
      <c r="AQ925" s="23"/>
      <c r="AR925" s="23"/>
      <c r="AS925" s="2"/>
      <c r="AT925" s="58"/>
      <c r="AU925" s="105"/>
      <c r="AV925" s="23">
        <v>1</v>
      </c>
      <c r="AW925" s="23"/>
      <c r="AX925" s="23"/>
      <c r="AY925" s="23"/>
      <c r="AZ925" s="23"/>
      <c r="BA925" s="23"/>
      <c r="BB925" s="223"/>
      <c r="BC925" s="223"/>
      <c r="BD925" s="270">
        <v>2016</v>
      </c>
      <c r="BE925" s="270"/>
      <c r="BF925" s="268"/>
    </row>
    <row r="926" spans="1:58" ht="15" hidden="1" customHeight="1">
      <c r="A926" s="160" t="s">
        <v>1</v>
      </c>
      <c r="B926" s="58" t="s">
        <v>320</v>
      </c>
      <c r="C926" s="65" t="s">
        <v>478</v>
      </c>
      <c r="D926" s="33" t="s">
        <v>319</v>
      </c>
      <c r="E926" s="33"/>
      <c r="F926" s="33"/>
      <c r="G926" s="33"/>
      <c r="H926" s="30"/>
      <c r="I926" s="30"/>
      <c r="J926" s="212"/>
      <c r="K926" s="23"/>
      <c r="L926" s="23"/>
      <c r="M926" s="23"/>
      <c r="N926" s="23"/>
      <c r="O926" s="23"/>
      <c r="P926" s="23"/>
      <c r="Q926" s="23"/>
      <c r="R926" s="23"/>
      <c r="S926" s="23"/>
      <c r="T926" s="586"/>
      <c r="U926" s="23"/>
      <c r="V926" s="311"/>
      <c r="W926" s="311"/>
      <c r="X926" s="311"/>
      <c r="Y926" s="94"/>
      <c r="Z926" s="23"/>
      <c r="AA926" s="23"/>
      <c r="AB926" s="23"/>
      <c r="AC926" s="23"/>
      <c r="AD926" s="158"/>
      <c r="AE926" s="158"/>
      <c r="AF926" s="158"/>
      <c r="AG926" s="158"/>
      <c r="AH926" s="158"/>
      <c r="AI926" s="158"/>
      <c r="AJ926" s="158"/>
      <c r="AK926" s="158"/>
      <c r="AL926" s="158"/>
      <c r="AM926" s="158"/>
      <c r="AN926" s="158"/>
      <c r="AO926" s="23"/>
      <c r="AP926" s="23"/>
      <c r="AQ926" s="23"/>
      <c r="AR926" s="23"/>
      <c r="AS926" s="2"/>
      <c r="AT926" s="58"/>
      <c r="AU926" s="105"/>
      <c r="AV926" s="23">
        <v>1</v>
      </c>
      <c r="AW926" s="23"/>
      <c r="AX926" s="23"/>
      <c r="AY926" s="23"/>
      <c r="AZ926" s="23"/>
      <c r="BA926" s="23"/>
      <c r="BB926" s="223"/>
      <c r="BC926" s="223"/>
      <c r="BD926" s="270">
        <v>2016</v>
      </c>
      <c r="BE926" s="270"/>
      <c r="BF926" s="268"/>
    </row>
    <row r="927" spans="1:58" ht="15" hidden="1" customHeight="1">
      <c r="A927" s="160" t="s">
        <v>1</v>
      </c>
      <c r="B927" s="58" t="s">
        <v>320</v>
      </c>
      <c r="C927" s="65" t="s">
        <v>479</v>
      </c>
      <c r="D927" s="33" t="s">
        <v>387</v>
      </c>
      <c r="E927" s="33"/>
      <c r="F927" s="33"/>
      <c r="G927" s="33"/>
      <c r="H927" s="30"/>
      <c r="I927" s="30"/>
      <c r="J927" s="212"/>
      <c r="K927" s="23"/>
      <c r="L927" s="23"/>
      <c r="M927" s="23"/>
      <c r="N927" s="23"/>
      <c r="O927" s="23"/>
      <c r="P927" s="23"/>
      <c r="Q927" s="23"/>
      <c r="R927" s="23"/>
      <c r="S927" s="23"/>
      <c r="T927" s="586"/>
      <c r="U927" s="23"/>
      <c r="V927" s="311"/>
      <c r="W927" s="311"/>
      <c r="X927" s="311"/>
      <c r="Y927" s="94"/>
      <c r="Z927" s="23"/>
      <c r="AA927" s="23"/>
      <c r="AB927" s="23"/>
      <c r="AC927" s="23"/>
      <c r="AD927" s="158"/>
      <c r="AE927" s="158"/>
      <c r="AF927" s="158"/>
      <c r="AG927" s="158"/>
      <c r="AH927" s="158"/>
      <c r="AI927" s="158"/>
      <c r="AJ927" s="158"/>
      <c r="AK927" s="158"/>
      <c r="AL927" s="158"/>
      <c r="AM927" s="158"/>
      <c r="AN927" s="158"/>
      <c r="AO927" s="23"/>
      <c r="AP927" s="23"/>
      <c r="AQ927" s="23"/>
      <c r="AR927" s="23"/>
      <c r="AS927" s="2"/>
      <c r="AT927" s="58"/>
      <c r="AU927" s="105"/>
      <c r="AV927" s="23">
        <v>1</v>
      </c>
      <c r="AW927" s="23"/>
      <c r="AX927" s="23"/>
      <c r="AY927" s="23"/>
      <c r="AZ927" s="23"/>
      <c r="BA927" s="23"/>
      <c r="BB927" s="223"/>
      <c r="BC927" s="223"/>
      <c r="BD927" s="270">
        <v>2016</v>
      </c>
      <c r="BE927" s="270"/>
      <c r="BF927" s="268"/>
    </row>
    <row r="928" spans="1:58" ht="24" hidden="1" customHeight="1">
      <c r="A928" s="160" t="s">
        <v>1</v>
      </c>
      <c r="B928" s="58" t="s">
        <v>320</v>
      </c>
      <c r="C928" s="65" t="s">
        <v>480</v>
      </c>
      <c r="D928" s="33" t="s">
        <v>387</v>
      </c>
      <c r="E928" s="33"/>
      <c r="F928" s="33"/>
      <c r="G928" s="33"/>
      <c r="H928" s="30" t="s">
        <v>1422</v>
      </c>
      <c r="I928" s="30"/>
      <c r="J928" s="212"/>
      <c r="K928" s="23"/>
      <c r="L928" s="23"/>
      <c r="M928" s="23"/>
      <c r="N928" s="32"/>
      <c r="O928" s="32"/>
      <c r="P928" s="23">
        <v>56837553</v>
      </c>
      <c r="Q928" s="23"/>
      <c r="R928" s="23"/>
      <c r="S928" s="23"/>
      <c r="T928" s="586">
        <v>48311920</v>
      </c>
      <c r="U928" s="23"/>
      <c r="V928" s="311"/>
      <c r="W928" s="578"/>
      <c r="X928" s="578"/>
      <c r="Y928" s="325">
        <f>8525633</f>
        <v>8525633</v>
      </c>
      <c r="Z928" s="23"/>
      <c r="AA928" s="23"/>
      <c r="AB928" s="23"/>
      <c r="AC928" s="23"/>
      <c r="AD928" s="158"/>
      <c r="AE928" s="158">
        <f>P928-T928-Y928</f>
        <v>0</v>
      </c>
      <c r="AF928" s="158"/>
      <c r="AG928" s="158"/>
      <c r="AH928" s="158"/>
      <c r="AI928" s="158"/>
      <c r="AJ928" s="158"/>
      <c r="AK928" s="158"/>
      <c r="AL928" s="158"/>
      <c r="AM928" s="158"/>
      <c r="AN928" s="158"/>
      <c r="AO928" s="23"/>
      <c r="AP928" s="23"/>
      <c r="AQ928" s="23"/>
      <c r="AR928" s="23"/>
      <c r="AS928" s="2"/>
      <c r="AT928" s="58"/>
      <c r="AU928" s="154" t="s">
        <v>1845</v>
      </c>
      <c r="AV928" s="23">
        <v>1</v>
      </c>
      <c r="AW928" s="23"/>
      <c r="AX928" s="23"/>
      <c r="AY928" s="23"/>
      <c r="AZ928" s="23"/>
      <c r="BA928" s="23"/>
      <c r="BB928" s="223"/>
      <c r="BC928" s="223"/>
      <c r="BD928" s="270">
        <v>2016</v>
      </c>
      <c r="BE928" s="270"/>
      <c r="BF928" s="268"/>
    </row>
    <row r="929" spans="1:58" ht="15" hidden="1" customHeight="1">
      <c r="A929" s="160" t="s">
        <v>1</v>
      </c>
      <c r="B929" s="58" t="s">
        <v>320</v>
      </c>
      <c r="C929" s="65" t="s">
        <v>481</v>
      </c>
      <c r="D929" s="33" t="s">
        <v>387</v>
      </c>
      <c r="E929" s="33"/>
      <c r="F929" s="33"/>
      <c r="G929" s="33"/>
      <c r="H929" s="30"/>
      <c r="I929" s="30"/>
      <c r="J929" s="212"/>
      <c r="K929" s="23"/>
      <c r="L929" s="23"/>
      <c r="M929" s="23"/>
      <c r="N929" s="23"/>
      <c r="O929" s="23"/>
      <c r="P929" s="23"/>
      <c r="Q929" s="23"/>
      <c r="R929" s="23"/>
      <c r="S929" s="23"/>
      <c r="T929" s="586"/>
      <c r="U929" s="23"/>
      <c r="V929" s="311"/>
      <c r="W929" s="311"/>
      <c r="X929" s="311"/>
      <c r="Y929" s="94"/>
      <c r="Z929" s="23"/>
      <c r="AA929" s="23"/>
      <c r="AB929" s="23"/>
      <c r="AC929" s="23"/>
      <c r="AD929" s="158"/>
      <c r="AE929" s="158"/>
      <c r="AF929" s="158"/>
      <c r="AG929" s="158"/>
      <c r="AH929" s="158"/>
      <c r="AI929" s="158"/>
      <c r="AJ929" s="158"/>
      <c r="AK929" s="158"/>
      <c r="AL929" s="158"/>
      <c r="AM929" s="158"/>
      <c r="AN929" s="158"/>
      <c r="AO929" s="23"/>
      <c r="AP929" s="23"/>
      <c r="AQ929" s="23"/>
      <c r="AR929" s="23"/>
      <c r="AS929" s="2"/>
      <c r="AT929" s="58"/>
      <c r="AU929" s="105"/>
      <c r="AV929" s="23">
        <v>1</v>
      </c>
      <c r="AW929" s="23"/>
      <c r="AX929" s="23"/>
      <c r="AY929" s="23"/>
      <c r="AZ929" s="23"/>
      <c r="BA929" s="23"/>
      <c r="BB929" s="223"/>
      <c r="BC929" s="223"/>
      <c r="BD929" s="270">
        <v>2016</v>
      </c>
      <c r="BE929" s="270"/>
      <c r="BF929" s="268"/>
    </row>
    <row r="930" spans="1:58" ht="15" hidden="1" customHeight="1">
      <c r="A930" s="160" t="s">
        <v>1</v>
      </c>
      <c r="B930" s="58" t="s">
        <v>320</v>
      </c>
      <c r="C930" s="65" t="s">
        <v>482</v>
      </c>
      <c r="D930" s="33" t="s">
        <v>319</v>
      </c>
      <c r="E930" s="33"/>
      <c r="F930" s="33"/>
      <c r="G930" s="33"/>
      <c r="H930" s="30"/>
      <c r="I930" s="30"/>
      <c r="J930" s="212"/>
      <c r="K930" s="23"/>
      <c r="L930" s="23"/>
      <c r="M930" s="23"/>
      <c r="N930" s="23"/>
      <c r="O930" s="23"/>
      <c r="P930" s="23"/>
      <c r="Q930" s="23"/>
      <c r="R930" s="23"/>
      <c r="S930" s="23"/>
      <c r="T930" s="586"/>
      <c r="U930" s="23"/>
      <c r="V930" s="311"/>
      <c r="W930" s="311"/>
      <c r="X930" s="311"/>
      <c r="Y930" s="94"/>
      <c r="Z930" s="23"/>
      <c r="AA930" s="23"/>
      <c r="AB930" s="23"/>
      <c r="AC930" s="23"/>
      <c r="AD930" s="158"/>
      <c r="AE930" s="158"/>
      <c r="AF930" s="158"/>
      <c r="AG930" s="158"/>
      <c r="AH930" s="158"/>
      <c r="AI930" s="158"/>
      <c r="AJ930" s="158"/>
      <c r="AK930" s="158"/>
      <c r="AL930" s="158"/>
      <c r="AM930" s="158"/>
      <c r="AN930" s="158"/>
      <c r="AO930" s="23"/>
      <c r="AP930" s="23"/>
      <c r="AQ930" s="23"/>
      <c r="AR930" s="23"/>
      <c r="AS930" s="2"/>
      <c r="AT930" s="58"/>
      <c r="AU930" s="105"/>
      <c r="AV930" s="23">
        <v>1</v>
      </c>
      <c r="AW930" s="23"/>
      <c r="AX930" s="23"/>
      <c r="AY930" s="23"/>
      <c r="AZ930" s="23"/>
      <c r="BA930" s="23"/>
      <c r="BB930" s="223"/>
      <c r="BC930" s="223"/>
      <c r="BD930" s="270">
        <v>2016</v>
      </c>
      <c r="BE930" s="270"/>
      <c r="BF930" s="268"/>
    </row>
    <row r="931" spans="1:58" ht="15" hidden="1" customHeight="1">
      <c r="A931" s="160" t="s">
        <v>1</v>
      </c>
      <c r="B931" s="58" t="s">
        <v>320</v>
      </c>
      <c r="C931" s="65" t="s">
        <v>483</v>
      </c>
      <c r="D931" s="33" t="s">
        <v>319</v>
      </c>
      <c r="E931" s="33"/>
      <c r="F931" s="33"/>
      <c r="G931" s="33"/>
      <c r="H931" s="30"/>
      <c r="I931" s="30"/>
      <c r="J931" s="212"/>
      <c r="K931" s="23"/>
      <c r="L931" s="23"/>
      <c r="M931" s="23"/>
      <c r="N931" s="23"/>
      <c r="O931" s="23"/>
      <c r="P931" s="23"/>
      <c r="Q931" s="23"/>
      <c r="R931" s="23"/>
      <c r="S931" s="23"/>
      <c r="T931" s="586"/>
      <c r="U931" s="23"/>
      <c r="V931" s="311"/>
      <c r="W931" s="311"/>
      <c r="X931" s="311"/>
      <c r="Y931" s="94"/>
      <c r="Z931" s="23"/>
      <c r="AA931" s="23"/>
      <c r="AB931" s="23"/>
      <c r="AC931" s="23"/>
      <c r="AD931" s="158"/>
      <c r="AE931" s="158"/>
      <c r="AF931" s="158"/>
      <c r="AG931" s="158"/>
      <c r="AH931" s="158"/>
      <c r="AI931" s="158"/>
      <c r="AJ931" s="158"/>
      <c r="AK931" s="158"/>
      <c r="AL931" s="158"/>
      <c r="AM931" s="158"/>
      <c r="AN931" s="158"/>
      <c r="AO931" s="23"/>
      <c r="AP931" s="23"/>
      <c r="AQ931" s="23"/>
      <c r="AR931" s="23"/>
      <c r="AS931" s="2"/>
      <c r="AT931" s="58"/>
      <c r="AU931" s="105"/>
      <c r="AV931" s="23">
        <v>1</v>
      </c>
      <c r="AW931" s="23"/>
      <c r="AX931" s="23"/>
      <c r="AY931" s="23"/>
      <c r="AZ931" s="23"/>
      <c r="BA931" s="23"/>
      <c r="BB931" s="223"/>
      <c r="BC931" s="223"/>
      <c r="BD931" s="270">
        <v>2016</v>
      </c>
      <c r="BE931" s="270"/>
      <c r="BF931" s="268"/>
    </row>
    <row r="932" spans="1:58" ht="15" hidden="1" customHeight="1">
      <c r="A932" s="160" t="s">
        <v>1</v>
      </c>
      <c r="B932" s="58" t="s">
        <v>320</v>
      </c>
      <c r="C932" s="65" t="s">
        <v>484</v>
      </c>
      <c r="D932" s="33" t="s">
        <v>319</v>
      </c>
      <c r="E932" s="33"/>
      <c r="F932" s="33"/>
      <c r="G932" s="33"/>
      <c r="H932" s="30"/>
      <c r="I932" s="30"/>
      <c r="J932" s="212"/>
      <c r="K932" s="23"/>
      <c r="L932" s="23"/>
      <c r="M932" s="23"/>
      <c r="N932" s="23"/>
      <c r="O932" s="23"/>
      <c r="P932" s="23"/>
      <c r="Q932" s="23"/>
      <c r="R932" s="23"/>
      <c r="S932" s="23"/>
      <c r="T932" s="586"/>
      <c r="U932" s="23"/>
      <c r="V932" s="311"/>
      <c r="W932" s="311"/>
      <c r="X932" s="311"/>
      <c r="Y932" s="94"/>
      <c r="Z932" s="23"/>
      <c r="AA932" s="23"/>
      <c r="AB932" s="23"/>
      <c r="AC932" s="23"/>
      <c r="AD932" s="158"/>
      <c r="AE932" s="158"/>
      <c r="AF932" s="158"/>
      <c r="AG932" s="158"/>
      <c r="AH932" s="158"/>
      <c r="AI932" s="158"/>
      <c r="AJ932" s="158"/>
      <c r="AK932" s="158"/>
      <c r="AL932" s="158"/>
      <c r="AM932" s="158"/>
      <c r="AN932" s="158"/>
      <c r="AO932" s="23"/>
      <c r="AP932" s="23"/>
      <c r="AQ932" s="23"/>
      <c r="AR932" s="23"/>
      <c r="AS932" s="2"/>
      <c r="AT932" s="58"/>
      <c r="AU932" s="105"/>
      <c r="AV932" s="23">
        <v>1</v>
      </c>
      <c r="AW932" s="23"/>
      <c r="AX932" s="23"/>
      <c r="AY932" s="23"/>
      <c r="AZ932" s="23"/>
      <c r="BA932" s="23"/>
      <c r="BB932" s="223"/>
      <c r="BC932" s="223"/>
      <c r="BD932" s="270">
        <v>2016</v>
      </c>
      <c r="BE932" s="270"/>
      <c r="BF932" s="268"/>
    </row>
    <row r="933" spans="1:58" ht="15" hidden="1" customHeight="1">
      <c r="A933" s="160" t="s">
        <v>1</v>
      </c>
      <c r="B933" s="58" t="s">
        <v>320</v>
      </c>
      <c r="C933" s="65" t="s">
        <v>485</v>
      </c>
      <c r="D933" s="33" t="s">
        <v>319</v>
      </c>
      <c r="E933" s="33"/>
      <c r="F933" s="33"/>
      <c r="G933" s="33"/>
      <c r="H933" s="30"/>
      <c r="I933" s="30"/>
      <c r="J933" s="212"/>
      <c r="K933" s="23"/>
      <c r="L933" s="23"/>
      <c r="M933" s="23"/>
      <c r="N933" s="23"/>
      <c r="O933" s="23"/>
      <c r="P933" s="23"/>
      <c r="Q933" s="23"/>
      <c r="R933" s="23"/>
      <c r="S933" s="23"/>
      <c r="T933" s="586"/>
      <c r="U933" s="23"/>
      <c r="V933" s="311"/>
      <c r="W933" s="311"/>
      <c r="X933" s="311"/>
      <c r="Y933" s="94"/>
      <c r="Z933" s="23"/>
      <c r="AA933" s="23"/>
      <c r="AB933" s="23"/>
      <c r="AC933" s="23"/>
      <c r="AD933" s="158"/>
      <c r="AE933" s="158"/>
      <c r="AF933" s="158"/>
      <c r="AG933" s="158"/>
      <c r="AH933" s="158"/>
      <c r="AI933" s="158"/>
      <c r="AJ933" s="158"/>
      <c r="AK933" s="158"/>
      <c r="AL933" s="158"/>
      <c r="AM933" s="158"/>
      <c r="AN933" s="158"/>
      <c r="AO933" s="23"/>
      <c r="AP933" s="23"/>
      <c r="AQ933" s="23"/>
      <c r="AR933" s="23"/>
      <c r="AS933" s="2"/>
      <c r="AT933" s="58"/>
      <c r="AU933" s="105"/>
      <c r="AV933" s="23">
        <v>1</v>
      </c>
      <c r="AW933" s="23"/>
      <c r="AX933" s="23"/>
      <c r="AY933" s="23"/>
      <c r="AZ933" s="23"/>
      <c r="BA933" s="23"/>
      <c r="BB933" s="223"/>
      <c r="BC933" s="223"/>
      <c r="BD933" s="270">
        <v>2016</v>
      </c>
      <c r="BE933" s="270"/>
      <c r="BF933" s="268"/>
    </row>
    <row r="934" spans="1:58" ht="15" hidden="1" customHeight="1">
      <c r="A934" s="160" t="s">
        <v>1</v>
      </c>
      <c r="B934" s="58" t="s">
        <v>320</v>
      </c>
      <c r="C934" s="65" t="s">
        <v>486</v>
      </c>
      <c r="D934" s="33" t="s">
        <v>319</v>
      </c>
      <c r="E934" s="33"/>
      <c r="F934" s="33"/>
      <c r="G934" s="33"/>
      <c r="H934" s="30"/>
      <c r="I934" s="30"/>
      <c r="J934" s="212"/>
      <c r="K934" s="23"/>
      <c r="L934" s="23"/>
      <c r="M934" s="23"/>
      <c r="N934" s="23"/>
      <c r="O934" s="23"/>
      <c r="P934" s="23"/>
      <c r="Q934" s="23"/>
      <c r="R934" s="23"/>
      <c r="S934" s="23"/>
      <c r="T934" s="586"/>
      <c r="U934" s="23"/>
      <c r="V934" s="311"/>
      <c r="W934" s="311"/>
      <c r="X934" s="311"/>
      <c r="Y934" s="94"/>
      <c r="Z934" s="23"/>
      <c r="AA934" s="23"/>
      <c r="AB934" s="23"/>
      <c r="AC934" s="23"/>
      <c r="AD934" s="158"/>
      <c r="AE934" s="158"/>
      <c r="AF934" s="158"/>
      <c r="AG934" s="158"/>
      <c r="AH934" s="158"/>
      <c r="AI934" s="158"/>
      <c r="AJ934" s="158"/>
      <c r="AK934" s="158"/>
      <c r="AL934" s="158"/>
      <c r="AM934" s="158"/>
      <c r="AN934" s="158"/>
      <c r="AO934" s="23"/>
      <c r="AP934" s="23"/>
      <c r="AQ934" s="23"/>
      <c r="AR934" s="23"/>
      <c r="AS934" s="2"/>
      <c r="AT934" s="58"/>
      <c r="AU934" s="105"/>
      <c r="AV934" s="23">
        <v>1</v>
      </c>
      <c r="AW934" s="23"/>
      <c r="AX934" s="23"/>
      <c r="AY934" s="23"/>
      <c r="AZ934" s="23"/>
      <c r="BA934" s="23"/>
      <c r="BB934" s="223"/>
      <c r="BC934" s="223"/>
      <c r="BD934" s="270">
        <v>2016</v>
      </c>
      <c r="BE934" s="270"/>
      <c r="BF934" s="268"/>
    </row>
    <row r="935" spans="1:58" ht="15" hidden="1" customHeight="1">
      <c r="A935" s="160" t="s">
        <v>1</v>
      </c>
      <c r="B935" s="58" t="s">
        <v>320</v>
      </c>
      <c r="C935" s="65" t="s">
        <v>487</v>
      </c>
      <c r="D935" s="33" t="s">
        <v>319</v>
      </c>
      <c r="E935" s="33"/>
      <c r="F935" s="33"/>
      <c r="G935" s="33"/>
      <c r="H935" s="30"/>
      <c r="I935" s="30"/>
      <c r="J935" s="212"/>
      <c r="K935" s="23"/>
      <c r="L935" s="23"/>
      <c r="M935" s="23"/>
      <c r="N935" s="23"/>
      <c r="O935" s="23"/>
      <c r="P935" s="23"/>
      <c r="Q935" s="23"/>
      <c r="R935" s="23"/>
      <c r="S935" s="23"/>
      <c r="T935" s="586"/>
      <c r="U935" s="23"/>
      <c r="V935" s="311"/>
      <c r="W935" s="311"/>
      <c r="X935" s="311"/>
      <c r="Y935" s="94"/>
      <c r="Z935" s="23"/>
      <c r="AA935" s="23"/>
      <c r="AB935" s="23"/>
      <c r="AC935" s="23"/>
      <c r="AD935" s="158"/>
      <c r="AE935" s="158"/>
      <c r="AF935" s="158"/>
      <c r="AG935" s="158"/>
      <c r="AH935" s="158"/>
      <c r="AI935" s="158"/>
      <c r="AJ935" s="158"/>
      <c r="AK935" s="158"/>
      <c r="AL935" s="158"/>
      <c r="AM935" s="158"/>
      <c r="AN935" s="158"/>
      <c r="AO935" s="23"/>
      <c r="AP935" s="23"/>
      <c r="AQ935" s="23"/>
      <c r="AR935" s="23"/>
      <c r="AS935" s="2"/>
      <c r="AT935" s="58"/>
      <c r="AU935" s="105"/>
      <c r="AV935" s="23">
        <v>1</v>
      </c>
      <c r="AW935" s="23"/>
      <c r="AX935" s="23"/>
      <c r="AY935" s="23"/>
      <c r="AZ935" s="23"/>
      <c r="BA935" s="23"/>
      <c r="BB935" s="223"/>
      <c r="BC935" s="223"/>
      <c r="BD935" s="270">
        <v>2016</v>
      </c>
      <c r="BE935" s="270"/>
      <c r="BF935" s="268"/>
    </row>
    <row r="936" spans="1:58" ht="15" hidden="1" customHeight="1">
      <c r="A936" s="160" t="s">
        <v>1</v>
      </c>
      <c r="B936" s="58" t="s">
        <v>320</v>
      </c>
      <c r="C936" s="65" t="s">
        <v>488</v>
      </c>
      <c r="D936" s="33" t="s">
        <v>319</v>
      </c>
      <c r="E936" s="33"/>
      <c r="F936" s="33"/>
      <c r="G936" s="33"/>
      <c r="H936" s="30"/>
      <c r="I936" s="30"/>
      <c r="J936" s="212"/>
      <c r="K936" s="23"/>
      <c r="L936" s="23"/>
      <c r="M936" s="23"/>
      <c r="N936" s="23"/>
      <c r="O936" s="23"/>
      <c r="P936" s="23"/>
      <c r="Q936" s="23"/>
      <c r="R936" s="23"/>
      <c r="S936" s="23"/>
      <c r="T936" s="586"/>
      <c r="U936" s="23"/>
      <c r="V936" s="311"/>
      <c r="W936" s="311"/>
      <c r="X936" s="311"/>
      <c r="Y936" s="94"/>
      <c r="Z936" s="23"/>
      <c r="AA936" s="23"/>
      <c r="AB936" s="23"/>
      <c r="AC936" s="23"/>
      <c r="AD936" s="158"/>
      <c r="AE936" s="158"/>
      <c r="AF936" s="158"/>
      <c r="AG936" s="158"/>
      <c r="AH936" s="158"/>
      <c r="AI936" s="158"/>
      <c r="AJ936" s="158"/>
      <c r="AK936" s="158"/>
      <c r="AL936" s="158"/>
      <c r="AM936" s="158"/>
      <c r="AN936" s="158"/>
      <c r="AO936" s="23"/>
      <c r="AP936" s="23"/>
      <c r="AQ936" s="23"/>
      <c r="AR936" s="23"/>
      <c r="AS936" s="2"/>
      <c r="AT936" s="58"/>
      <c r="AU936" s="105"/>
      <c r="AV936" s="23">
        <v>1</v>
      </c>
      <c r="AW936" s="23"/>
      <c r="AX936" s="23"/>
      <c r="AY936" s="23"/>
      <c r="AZ936" s="23"/>
      <c r="BA936" s="23"/>
      <c r="BB936" s="223"/>
      <c r="BC936" s="223"/>
      <c r="BD936" s="270">
        <v>2016</v>
      </c>
      <c r="BE936" s="270"/>
      <c r="BF936" s="268"/>
    </row>
    <row r="937" spans="1:58" ht="15" hidden="1" customHeight="1">
      <c r="A937" s="160" t="s">
        <v>1</v>
      </c>
      <c r="B937" s="58" t="s">
        <v>320</v>
      </c>
      <c r="C937" s="65" t="s">
        <v>489</v>
      </c>
      <c r="D937" s="33" t="s">
        <v>319</v>
      </c>
      <c r="E937" s="33"/>
      <c r="F937" s="33"/>
      <c r="G937" s="33"/>
      <c r="H937" s="30"/>
      <c r="I937" s="30"/>
      <c r="J937" s="212"/>
      <c r="K937" s="23"/>
      <c r="L937" s="23"/>
      <c r="M937" s="23"/>
      <c r="N937" s="23"/>
      <c r="O937" s="23"/>
      <c r="P937" s="23"/>
      <c r="Q937" s="23"/>
      <c r="R937" s="23"/>
      <c r="S937" s="23"/>
      <c r="T937" s="586"/>
      <c r="U937" s="23"/>
      <c r="V937" s="311"/>
      <c r="W937" s="311"/>
      <c r="X937" s="311"/>
      <c r="Y937" s="94"/>
      <c r="Z937" s="23"/>
      <c r="AA937" s="23"/>
      <c r="AB937" s="23"/>
      <c r="AC937" s="23"/>
      <c r="AD937" s="158"/>
      <c r="AE937" s="158"/>
      <c r="AF937" s="158"/>
      <c r="AG937" s="158"/>
      <c r="AH937" s="158"/>
      <c r="AI937" s="158"/>
      <c r="AJ937" s="158"/>
      <c r="AK937" s="158"/>
      <c r="AL937" s="158"/>
      <c r="AM937" s="158"/>
      <c r="AN937" s="158"/>
      <c r="AO937" s="23"/>
      <c r="AP937" s="23"/>
      <c r="AQ937" s="23"/>
      <c r="AR937" s="23"/>
      <c r="AS937" s="2"/>
      <c r="AT937" s="58"/>
      <c r="AU937" s="105"/>
      <c r="AV937" s="23">
        <v>1</v>
      </c>
      <c r="AW937" s="23"/>
      <c r="AX937" s="23"/>
      <c r="AY937" s="23"/>
      <c r="AZ937" s="23"/>
      <c r="BA937" s="23"/>
      <c r="BB937" s="223"/>
      <c r="BC937" s="223"/>
      <c r="BD937" s="270">
        <v>2016</v>
      </c>
      <c r="BE937" s="270"/>
      <c r="BF937" s="268"/>
    </row>
    <row r="938" spans="1:58" ht="15" hidden="1" customHeight="1">
      <c r="A938" s="160" t="s">
        <v>1</v>
      </c>
      <c r="B938" s="58" t="s">
        <v>320</v>
      </c>
      <c r="C938" s="65" t="s">
        <v>490</v>
      </c>
      <c r="D938" s="33" t="s">
        <v>319</v>
      </c>
      <c r="E938" s="33"/>
      <c r="F938" s="33"/>
      <c r="G938" s="33"/>
      <c r="H938" s="30"/>
      <c r="I938" s="30"/>
      <c r="J938" s="212"/>
      <c r="K938" s="23"/>
      <c r="L938" s="23"/>
      <c r="M938" s="23"/>
      <c r="N938" s="23"/>
      <c r="O938" s="23"/>
      <c r="P938" s="23"/>
      <c r="Q938" s="23"/>
      <c r="R938" s="23"/>
      <c r="S938" s="23"/>
      <c r="T938" s="586"/>
      <c r="U938" s="23"/>
      <c r="V938" s="311"/>
      <c r="W938" s="311"/>
      <c r="X938" s="311"/>
      <c r="Y938" s="94"/>
      <c r="Z938" s="23"/>
      <c r="AA938" s="23"/>
      <c r="AB938" s="23"/>
      <c r="AC938" s="23"/>
      <c r="AD938" s="158"/>
      <c r="AE938" s="158"/>
      <c r="AF938" s="158"/>
      <c r="AG938" s="158"/>
      <c r="AH938" s="158"/>
      <c r="AI938" s="158"/>
      <c r="AJ938" s="158"/>
      <c r="AK938" s="158"/>
      <c r="AL938" s="158"/>
      <c r="AM938" s="158"/>
      <c r="AN938" s="158"/>
      <c r="AO938" s="23"/>
      <c r="AP938" s="23"/>
      <c r="AQ938" s="23"/>
      <c r="AR938" s="23"/>
      <c r="AS938" s="2"/>
      <c r="AT938" s="58"/>
      <c r="AU938" s="105"/>
      <c r="AV938" s="23">
        <v>1</v>
      </c>
      <c r="AW938" s="23"/>
      <c r="AX938" s="23"/>
      <c r="AY938" s="23"/>
      <c r="AZ938" s="23"/>
      <c r="BA938" s="23"/>
      <c r="BB938" s="223"/>
      <c r="BC938" s="223"/>
      <c r="BD938" s="270">
        <v>2016</v>
      </c>
      <c r="BE938" s="270"/>
      <c r="BF938" s="268"/>
    </row>
    <row r="939" spans="1:58" ht="15" hidden="1" customHeight="1">
      <c r="A939" s="160" t="s">
        <v>1</v>
      </c>
      <c r="B939" s="58" t="s">
        <v>320</v>
      </c>
      <c r="C939" s="65" t="s">
        <v>491</v>
      </c>
      <c r="D939" s="33" t="s">
        <v>319</v>
      </c>
      <c r="E939" s="33"/>
      <c r="F939" s="33"/>
      <c r="G939" s="33"/>
      <c r="H939" s="30"/>
      <c r="I939" s="30"/>
      <c r="J939" s="212"/>
      <c r="K939" s="23"/>
      <c r="L939" s="23"/>
      <c r="M939" s="23"/>
      <c r="N939" s="23"/>
      <c r="O939" s="23"/>
      <c r="P939" s="23"/>
      <c r="Q939" s="23"/>
      <c r="R939" s="23"/>
      <c r="S939" s="23"/>
      <c r="T939" s="586"/>
      <c r="U939" s="23"/>
      <c r="V939" s="311"/>
      <c r="W939" s="311"/>
      <c r="X939" s="311"/>
      <c r="Y939" s="94"/>
      <c r="Z939" s="23"/>
      <c r="AA939" s="23"/>
      <c r="AB939" s="23"/>
      <c r="AC939" s="23"/>
      <c r="AD939" s="158"/>
      <c r="AE939" s="158"/>
      <c r="AF939" s="158"/>
      <c r="AG939" s="158"/>
      <c r="AH939" s="158"/>
      <c r="AI939" s="158"/>
      <c r="AJ939" s="158"/>
      <c r="AK939" s="158"/>
      <c r="AL939" s="158"/>
      <c r="AM939" s="158"/>
      <c r="AN939" s="158"/>
      <c r="AO939" s="23"/>
      <c r="AP939" s="23"/>
      <c r="AQ939" s="23"/>
      <c r="AR939" s="23"/>
      <c r="AS939" s="2"/>
      <c r="AT939" s="58"/>
      <c r="AU939" s="105"/>
      <c r="AV939" s="23">
        <v>1</v>
      </c>
      <c r="AW939" s="23"/>
      <c r="AX939" s="23"/>
      <c r="AY939" s="23"/>
      <c r="AZ939" s="23"/>
      <c r="BA939" s="23"/>
      <c r="BB939" s="223"/>
      <c r="BC939" s="223"/>
      <c r="BD939" s="270">
        <v>2016</v>
      </c>
      <c r="BE939" s="270"/>
      <c r="BF939" s="268"/>
    </row>
    <row r="940" spans="1:58" ht="15" hidden="1" customHeight="1">
      <c r="A940" s="160" t="s">
        <v>1</v>
      </c>
      <c r="B940" s="58" t="s">
        <v>320</v>
      </c>
      <c r="C940" s="65" t="s">
        <v>492</v>
      </c>
      <c r="D940" s="33" t="s">
        <v>319</v>
      </c>
      <c r="E940" s="33"/>
      <c r="F940" s="33"/>
      <c r="G940" s="33"/>
      <c r="H940" s="30"/>
      <c r="I940" s="30"/>
      <c r="J940" s="212"/>
      <c r="K940" s="23"/>
      <c r="L940" s="23"/>
      <c r="M940" s="23"/>
      <c r="N940" s="23"/>
      <c r="O940" s="23"/>
      <c r="P940" s="23"/>
      <c r="Q940" s="23"/>
      <c r="R940" s="23"/>
      <c r="S940" s="23"/>
      <c r="T940" s="586"/>
      <c r="U940" s="23"/>
      <c r="V940" s="311"/>
      <c r="W940" s="311"/>
      <c r="X940" s="311"/>
      <c r="Y940" s="94"/>
      <c r="Z940" s="23"/>
      <c r="AA940" s="23"/>
      <c r="AB940" s="23"/>
      <c r="AC940" s="23"/>
      <c r="AD940" s="158"/>
      <c r="AE940" s="158"/>
      <c r="AF940" s="158"/>
      <c r="AG940" s="158"/>
      <c r="AH940" s="158"/>
      <c r="AI940" s="158"/>
      <c r="AJ940" s="158"/>
      <c r="AK940" s="158"/>
      <c r="AL940" s="158"/>
      <c r="AM940" s="158"/>
      <c r="AN940" s="158"/>
      <c r="AO940" s="23"/>
      <c r="AP940" s="23"/>
      <c r="AQ940" s="23"/>
      <c r="AR940" s="23"/>
      <c r="AS940" s="2"/>
      <c r="AT940" s="58"/>
      <c r="AU940" s="105"/>
      <c r="AV940" s="23">
        <v>1</v>
      </c>
      <c r="AW940" s="23"/>
      <c r="AX940" s="23"/>
      <c r="AY940" s="23"/>
      <c r="AZ940" s="23"/>
      <c r="BA940" s="23"/>
      <c r="BB940" s="223"/>
      <c r="BC940" s="223"/>
      <c r="BD940" s="270">
        <v>2016</v>
      </c>
      <c r="BE940" s="270"/>
      <c r="BF940" s="268"/>
    </row>
    <row r="941" spans="1:58" ht="15" hidden="1" customHeight="1">
      <c r="A941" s="160" t="s">
        <v>1</v>
      </c>
      <c r="B941" s="58" t="s">
        <v>320</v>
      </c>
      <c r="C941" s="65" t="s">
        <v>493</v>
      </c>
      <c r="D941" s="33" t="s">
        <v>319</v>
      </c>
      <c r="E941" s="33"/>
      <c r="F941" s="33"/>
      <c r="G941" s="33"/>
      <c r="H941" s="30"/>
      <c r="I941" s="30"/>
      <c r="J941" s="212"/>
      <c r="K941" s="23"/>
      <c r="L941" s="23"/>
      <c r="M941" s="23"/>
      <c r="N941" s="23"/>
      <c r="O941" s="23"/>
      <c r="P941" s="23"/>
      <c r="Q941" s="23"/>
      <c r="R941" s="23"/>
      <c r="S941" s="23"/>
      <c r="T941" s="586"/>
      <c r="U941" s="23"/>
      <c r="V941" s="311"/>
      <c r="W941" s="311"/>
      <c r="X941" s="311"/>
      <c r="Y941" s="94"/>
      <c r="Z941" s="23"/>
      <c r="AA941" s="23"/>
      <c r="AB941" s="23"/>
      <c r="AC941" s="23"/>
      <c r="AD941" s="158"/>
      <c r="AE941" s="158"/>
      <c r="AF941" s="158"/>
      <c r="AG941" s="158"/>
      <c r="AH941" s="158"/>
      <c r="AI941" s="158"/>
      <c r="AJ941" s="158"/>
      <c r="AK941" s="158"/>
      <c r="AL941" s="158"/>
      <c r="AM941" s="158"/>
      <c r="AN941" s="158"/>
      <c r="AO941" s="23"/>
      <c r="AP941" s="23"/>
      <c r="AQ941" s="23"/>
      <c r="AR941" s="23"/>
      <c r="AS941" s="2"/>
      <c r="AT941" s="58"/>
      <c r="AU941" s="105"/>
      <c r="AV941" s="23">
        <v>1</v>
      </c>
      <c r="AW941" s="23"/>
      <c r="AX941" s="23"/>
      <c r="AY941" s="23"/>
      <c r="AZ941" s="23"/>
      <c r="BA941" s="23"/>
      <c r="BB941" s="223"/>
      <c r="BC941" s="223"/>
      <c r="BD941" s="270">
        <v>2016</v>
      </c>
      <c r="BE941" s="270"/>
      <c r="BF941" s="268"/>
    </row>
    <row r="942" spans="1:58" ht="15" hidden="1" customHeight="1">
      <c r="A942" s="160" t="s">
        <v>1</v>
      </c>
      <c r="B942" s="58" t="s">
        <v>320</v>
      </c>
      <c r="C942" s="65" t="s">
        <v>494</v>
      </c>
      <c r="D942" s="33" t="s">
        <v>319</v>
      </c>
      <c r="E942" s="33"/>
      <c r="F942" s="33"/>
      <c r="G942" s="33"/>
      <c r="H942" s="30"/>
      <c r="I942" s="30"/>
      <c r="J942" s="212"/>
      <c r="K942" s="23"/>
      <c r="L942" s="23"/>
      <c r="M942" s="23"/>
      <c r="N942" s="23"/>
      <c r="O942" s="23"/>
      <c r="P942" s="23"/>
      <c r="Q942" s="23"/>
      <c r="R942" s="23"/>
      <c r="S942" s="23"/>
      <c r="T942" s="586"/>
      <c r="U942" s="23"/>
      <c r="V942" s="311"/>
      <c r="W942" s="311"/>
      <c r="X942" s="311"/>
      <c r="Y942" s="94"/>
      <c r="Z942" s="23"/>
      <c r="AA942" s="23"/>
      <c r="AB942" s="23"/>
      <c r="AC942" s="23"/>
      <c r="AD942" s="158"/>
      <c r="AE942" s="158"/>
      <c r="AF942" s="158"/>
      <c r="AG942" s="158"/>
      <c r="AH942" s="158"/>
      <c r="AI942" s="158"/>
      <c r="AJ942" s="158"/>
      <c r="AK942" s="158"/>
      <c r="AL942" s="158"/>
      <c r="AM942" s="158"/>
      <c r="AN942" s="158"/>
      <c r="AO942" s="23"/>
      <c r="AP942" s="23"/>
      <c r="AQ942" s="23"/>
      <c r="AR942" s="23"/>
      <c r="AS942" s="2"/>
      <c r="AT942" s="58"/>
      <c r="AU942" s="105"/>
      <c r="AV942" s="23">
        <v>1</v>
      </c>
      <c r="AW942" s="23"/>
      <c r="AX942" s="23"/>
      <c r="AY942" s="23"/>
      <c r="AZ942" s="23"/>
      <c r="BA942" s="23"/>
      <c r="BB942" s="223"/>
      <c r="BC942" s="223"/>
      <c r="BD942" s="270">
        <v>2016</v>
      </c>
      <c r="BE942" s="270"/>
      <c r="BF942" s="268"/>
    </row>
    <row r="943" spans="1:58" ht="15" hidden="1" customHeight="1">
      <c r="A943" s="160" t="s">
        <v>1</v>
      </c>
      <c r="B943" s="58" t="s">
        <v>320</v>
      </c>
      <c r="C943" s="65" t="s">
        <v>495</v>
      </c>
      <c r="D943" s="33" t="s">
        <v>319</v>
      </c>
      <c r="E943" s="33"/>
      <c r="F943" s="33"/>
      <c r="G943" s="33"/>
      <c r="H943" s="30"/>
      <c r="I943" s="30"/>
      <c r="J943" s="212"/>
      <c r="K943" s="23"/>
      <c r="L943" s="23"/>
      <c r="M943" s="23"/>
      <c r="N943" s="23"/>
      <c r="O943" s="23"/>
      <c r="P943" s="23"/>
      <c r="Q943" s="23"/>
      <c r="R943" s="23"/>
      <c r="S943" s="23"/>
      <c r="T943" s="586"/>
      <c r="U943" s="23"/>
      <c r="V943" s="311"/>
      <c r="W943" s="311"/>
      <c r="X943" s="311"/>
      <c r="Y943" s="94"/>
      <c r="Z943" s="23"/>
      <c r="AA943" s="23"/>
      <c r="AB943" s="23"/>
      <c r="AC943" s="23"/>
      <c r="AD943" s="158"/>
      <c r="AE943" s="158"/>
      <c r="AF943" s="158"/>
      <c r="AG943" s="158"/>
      <c r="AH943" s="158"/>
      <c r="AI943" s="158"/>
      <c r="AJ943" s="158"/>
      <c r="AK943" s="158"/>
      <c r="AL943" s="158"/>
      <c r="AM943" s="158"/>
      <c r="AN943" s="158"/>
      <c r="AO943" s="23"/>
      <c r="AP943" s="23"/>
      <c r="AQ943" s="23"/>
      <c r="AR943" s="23"/>
      <c r="AS943" s="2"/>
      <c r="AT943" s="58"/>
      <c r="AU943" s="105"/>
      <c r="AV943" s="23">
        <v>1</v>
      </c>
      <c r="AW943" s="23"/>
      <c r="AX943" s="23"/>
      <c r="AY943" s="23"/>
      <c r="AZ943" s="23"/>
      <c r="BA943" s="23"/>
      <c r="BB943" s="223"/>
      <c r="BC943" s="223"/>
      <c r="BD943" s="270">
        <v>2016</v>
      </c>
      <c r="BE943" s="270"/>
      <c r="BF943" s="268"/>
    </row>
    <row r="944" spans="1:58" ht="15" hidden="1" customHeight="1">
      <c r="A944" s="160" t="s">
        <v>1</v>
      </c>
      <c r="B944" s="58" t="s">
        <v>320</v>
      </c>
      <c r="C944" s="65" t="s">
        <v>496</v>
      </c>
      <c r="D944" s="33" t="s">
        <v>319</v>
      </c>
      <c r="E944" s="33"/>
      <c r="F944" s="33"/>
      <c r="G944" s="33"/>
      <c r="H944" s="30"/>
      <c r="I944" s="30"/>
      <c r="J944" s="212"/>
      <c r="K944" s="23"/>
      <c r="L944" s="23"/>
      <c r="M944" s="23"/>
      <c r="N944" s="23"/>
      <c r="O944" s="23"/>
      <c r="P944" s="23"/>
      <c r="Q944" s="23"/>
      <c r="R944" s="23"/>
      <c r="S944" s="23"/>
      <c r="T944" s="586"/>
      <c r="U944" s="23"/>
      <c r="V944" s="311"/>
      <c r="W944" s="311"/>
      <c r="X944" s="311"/>
      <c r="Y944" s="94"/>
      <c r="Z944" s="23"/>
      <c r="AA944" s="23"/>
      <c r="AB944" s="23"/>
      <c r="AC944" s="23"/>
      <c r="AD944" s="158"/>
      <c r="AE944" s="158"/>
      <c r="AF944" s="158"/>
      <c r="AG944" s="158"/>
      <c r="AH944" s="158"/>
      <c r="AI944" s="158"/>
      <c r="AJ944" s="158"/>
      <c r="AK944" s="158"/>
      <c r="AL944" s="158"/>
      <c r="AM944" s="158"/>
      <c r="AN944" s="158"/>
      <c r="AO944" s="23"/>
      <c r="AP944" s="23"/>
      <c r="AQ944" s="23"/>
      <c r="AR944" s="23"/>
      <c r="AS944" s="2"/>
      <c r="AT944" s="58"/>
      <c r="AU944" s="105"/>
      <c r="AV944" s="23">
        <v>1</v>
      </c>
      <c r="AW944" s="23"/>
      <c r="AX944" s="23"/>
      <c r="AY944" s="23"/>
      <c r="AZ944" s="23"/>
      <c r="BA944" s="23"/>
      <c r="BB944" s="223"/>
      <c r="BC944" s="223"/>
      <c r="BD944" s="270">
        <v>2016</v>
      </c>
      <c r="BE944" s="270"/>
      <c r="BF944" s="268"/>
    </row>
    <row r="945" spans="1:58" ht="15" hidden="1" customHeight="1">
      <c r="A945" s="160" t="s">
        <v>1</v>
      </c>
      <c r="B945" s="58" t="s">
        <v>320</v>
      </c>
      <c r="C945" s="65" t="s">
        <v>497</v>
      </c>
      <c r="D945" s="33" t="s">
        <v>319</v>
      </c>
      <c r="E945" s="33"/>
      <c r="F945" s="33"/>
      <c r="G945" s="33"/>
      <c r="H945" s="30"/>
      <c r="I945" s="30"/>
      <c r="J945" s="212"/>
      <c r="K945" s="23"/>
      <c r="L945" s="23"/>
      <c r="M945" s="23"/>
      <c r="N945" s="23"/>
      <c r="O945" s="23"/>
      <c r="P945" s="23"/>
      <c r="Q945" s="23"/>
      <c r="R945" s="23"/>
      <c r="S945" s="23"/>
      <c r="T945" s="586"/>
      <c r="U945" s="23"/>
      <c r="V945" s="311"/>
      <c r="W945" s="311"/>
      <c r="X945" s="311"/>
      <c r="Y945" s="94"/>
      <c r="Z945" s="23"/>
      <c r="AA945" s="23"/>
      <c r="AB945" s="23"/>
      <c r="AC945" s="23"/>
      <c r="AD945" s="158"/>
      <c r="AE945" s="158"/>
      <c r="AF945" s="158"/>
      <c r="AG945" s="158"/>
      <c r="AH945" s="158"/>
      <c r="AI945" s="158"/>
      <c r="AJ945" s="158"/>
      <c r="AK945" s="158"/>
      <c r="AL945" s="158"/>
      <c r="AM945" s="158"/>
      <c r="AN945" s="158"/>
      <c r="AO945" s="23"/>
      <c r="AP945" s="23"/>
      <c r="AQ945" s="23"/>
      <c r="AR945" s="23"/>
      <c r="AS945" s="2"/>
      <c r="AT945" s="58"/>
      <c r="AU945" s="105"/>
      <c r="AV945" s="23">
        <v>1</v>
      </c>
      <c r="AW945" s="23"/>
      <c r="AX945" s="23"/>
      <c r="AY945" s="23"/>
      <c r="AZ945" s="23"/>
      <c r="BA945" s="23"/>
      <c r="BB945" s="223"/>
      <c r="BC945" s="223"/>
      <c r="BD945" s="270">
        <v>2016</v>
      </c>
      <c r="BE945" s="270"/>
      <c r="BF945" s="268"/>
    </row>
    <row r="946" spans="1:58" ht="15" hidden="1" customHeight="1">
      <c r="A946" s="160" t="s">
        <v>1</v>
      </c>
      <c r="B946" s="58" t="s">
        <v>320</v>
      </c>
      <c r="C946" s="65" t="s">
        <v>498</v>
      </c>
      <c r="D946" s="33" t="s">
        <v>319</v>
      </c>
      <c r="E946" s="33"/>
      <c r="F946" s="33"/>
      <c r="G946" s="33"/>
      <c r="H946" s="30"/>
      <c r="I946" s="30"/>
      <c r="J946" s="212"/>
      <c r="K946" s="23"/>
      <c r="L946" s="23"/>
      <c r="M946" s="23"/>
      <c r="N946" s="23"/>
      <c r="O946" s="23"/>
      <c r="P946" s="23"/>
      <c r="Q946" s="23"/>
      <c r="R946" s="23"/>
      <c r="S946" s="23"/>
      <c r="T946" s="586"/>
      <c r="U946" s="23"/>
      <c r="V946" s="311"/>
      <c r="W946" s="311"/>
      <c r="X946" s="311"/>
      <c r="Y946" s="94"/>
      <c r="Z946" s="23"/>
      <c r="AA946" s="23"/>
      <c r="AB946" s="23"/>
      <c r="AC946" s="23"/>
      <c r="AD946" s="158"/>
      <c r="AE946" s="158"/>
      <c r="AF946" s="158"/>
      <c r="AG946" s="158"/>
      <c r="AH946" s="158"/>
      <c r="AI946" s="158"/>
      <c r="AJ946" s="158"/>
      <c r="AK946" s="158"/>
      <c r="AL946" s="158"/>
      <c r="AM946" s="158"/>
      <c r="AN946" s="158"/>
      <c r="AO946" s="23"/>
      <c r="AP946" s="23"/>
      <c r="AQ946" s="23"/>
      <c r="AR946" s="23"/>
      <c r="AS946" s="2"/>
      <c r="AT946" s="58"/>
      <c r="AU946" s="105"/>
      <c r="AV946" s="23">
        <v>1</v>
      </c>
      <c r="AW946" s="23"/>
      <c r="AX946" s="23"/>
      <c r="AY946" s="23"/>
      <c r="AZ946" s="23"/>
      <c r="BA946" s="23"/>
      <c r="BB946" s="223"/>
      <c r="BC946" s="223"/>
      <c r="BD946" s="270">
        <v>2016</v>
      </c>
      <c r="BE946" s="270"/>
      <c r="BF946" s="268"/>
    </row>
    <row r="947" spans="1:58" ht="15" hidden="1" customHeight="1">
      <c r="A947" s="160" t="s">
        <v>1</v>
      </c>
      <c r="B947" s="58" t="s">
        <v>320</v>
      </c>
      <c r="C947" s="65" t="s">
        <v>499</v>
      </c>
      <c r="D947" s="33" t="s">
        <v>319</v>
      </c>
      <c r="E947" s="33"/>
      <c r="F947" s="33"/>
      <c r="G947" s="33"/>
      <c r="H947" s="30"/>
      <c r="I947" s="30"/>
      <c r="J947" s="212"/>
      <c r="K947" s="23"/>
      <c r="L947" s="23"/>
      <c r="M947" s="23"/>
      <c r="N947" s="23"/>
      <c r="O947" s="23"/>
      <c r="P947" s="23"/>
      <c r="Q947" s="23"/>
      <c r="R947" s="23"/>
      <c r="S947" s="23"/>
      <c r="T947" s="586"/>
      <c r="U947" s="23"/>
      <c r="V947" s="311"/>
      <c r="W947" s="311"/>
      <c r="X947" s="311"/>
      <c r="Y947" s="94"/>
      <c r="Z947" s="23"/>
      <c r="AA947" s="23"/>
      <c r="AB947" s="23"/>
      <c r="AC947" s="23"/>
      <c r="AD947" s="158"/>
      <c r="AE947" s="158"/>
      <c r="AF947" s="158"/>
      <c r="AG947" s="158"/>
      <c r="AH947" s="158"/>
      <c r="AI947" s="158"/>
      <c r="AJ947" s="158"/>
      <c r="AK947" s="158"/>
      <c r="AL947" s="158"/>
      <c r="AM947" s="158"/>
      <c r="AN947" s="158"/>
      <c r="AO947" s="23"/>
      <c r="AP947" s="23"/>
      <c r="AQ947" s="23"/>
      <c r="AR947" s="23"/>
      <c r="AS947" s="2"/>
      <c r="AT947" s="58"/>
      <c r="AU947" s="105"/>
      <c r="AV947" s="23">
        <v>1</v>
      </c>
      <c r="AW947" s="23"/>
      <c r="AX947" s="23"/>
      <c r="AY947" s="23"/>
      <c r="AZ947" s="23"/>
      <c r="BA947" s="23"/>
      <c r="BB947" s="223"/>
      <c r="BC947" s="223"/>
      <c r="BD947" s="270">
        <v>2016</v>
      </c>
      <c r="BE947" s="270"/>
      <c r="BF947" s="268"/>
    </row>
    <row r="948" spans="1:58" ht="18" hidden="1" customHeight="1">
      <c r="A948" s="160" t="s">
        <v>1</v>
      </c>
      <c r="B948" s="58" t="s">
        <v>320</v>
      </c>
      <c r="C948" s="122" t="s">
        <v>525</v>
      </c>
      <c r="D948" s="33" t="s">
        <v>387</v>
      </c>
      <c r="E948" s="33"/>
      <c r="F948" s="33"/>
      <c r="G948" s="33"/>
      <c r="H948" s="30" t="s">
        <v>650</v>
      </c>
      <c r="I948" s="30">
        <v>2893</v>
      </c>
      <c r="J948" s="212">
        <v>42726</v>
      </c>
      <c r="K948" s="23"/>
      <c r="L948" s="23">
        <v>1</v>
      </c>
      <c r="M948" s="23"/>
      <c r="N948" s="23"/>
      <c r="O948" s="23"/>
      <c r="P948" s="23">
        <v>51937305</v>
      </c>
      <c r="Q948" s="23"/>
      <c r="R948" s="23"/>
      <c r="S948" s="23"/>
      <c r="T948" s="586">
        <v>23371787</v>
      </c>
      <c r="U948" s="23"/>
      <c r="V948" s="311"/>
      <c r="W948" s="311"/>
      <c r="X948" s="311"/>
      <c r="Y948" s="94">
        <v>28565518</v>
      </c>
      <c r="Z948" s="23"/>
      <c r="AA948" s="23"/>
      <c r="AB948" s="23"/>
      <c r="AC948" s="23"/>
      <c r="AD948" s="158"/>
      <c r="AE948" s="158">
        <f t="shared" ref="AE948:AE954" si="157">P948-T948-Y948</f>
        <v>0</v>
      </c>
      <c r="AF948" s="158"/>
      <c r="AG948" s="94">
        <v>0</v>
      </c>
      <c r="AH948" s="94"/>
      <c r="AI948" s="94"/>
      <c r="AJ948" s="158">
        <f t="shared" ref="AJ948:AJ954" si="158">AE948+AG948</f>
        <v>0</v>
      </c>
      <c r="AK948" s="158"/>
      <c r="AL948" s="158"/>
      <c r="AM948" s="158"/>
      <c r="AN948" s="158"/>
      <c r="AO948" s="23"/>
      <c r="AP948" s="23"/>
      <c r="AQ948" s="23"/>
      <c r="AR948" s="23"/>
      <c r="AS948" s="24">
        <v>1</v>
      </c>
      <c r="AT948" s="58" t="s">
        <v>646</v>
      </c>
      <c r="AU948" s="388" t="s">
        <v>1386</v>
      </c>
      <c r="AV948" s="23"/>
      <c r="AW948" s="23"/>
      <c r="AX948" s="23"/>
      <c r="AY948" s="23">
        <v>1</v>
      </c>
      <c r="AZ948" s="23"/>
      <c r="BA948" s="23"/>
      <c r="BB948" s="223">
        <v>1</v>
      </c>
      <c r="BC948" s="223"/>
      <c r="BD948" s="270">
        <v>2019</v>
      </c>
      <c r="BE948" s="270">
        <v>2019</v>
      </c>
      <c r="BF948" s="271"/>
    </row>
    <row r="949" spans="1:58" ht="18" hidden="1" customHeight="1">
      <c r="A949" s="160" t="s">
        <v>1</v>
      </c>
      <c r="B949" s="58" t="s">
        <v>320</v>
      </c>
      <c r="C949" s="122" t="s">
        <v>526</v>
      </c>
      <c r="D949" s="33" t="s">
        <v>387</v>
      </c>
      <c r="E949" s="33"/>
      <c r="F949" s="33"/>
      <c r="G949" s="33"/>
      <c r="H949" s="30" t="s">
        <v>650</v>
      </c>
      <c r="I949" s="30">
        <v>2893</v>
      </c>
      <c r="J949" s="212">
        <v>42726</v>
      </c>
      <c r="K949" s="23"/>
      <c r="L949" s="23">
        <v>1</v>
      </c>
      <c r="M949" s="23"/>
      <c r="N949" s="23"/>
      <c r="O949" s="23"/>
      <c r="P949" s="23">
        <v>56747504</v>
      </c>
      <c r="Q949" s="23"/>
      <c r="R949" s="23"/>
      <c r="S949" s="23"/>
      <c r="T949" s="586">
        <v>25536377</v>
      </c>
      <c r="U949" s="23"/>
      <c r="V949" s="311"/>
      <c r="W949" s="311"/>
      <c r="X949" s="311"/>
      <c r="Y949" s="94">
        <v>31211127</v>
      </c>
      <c r="Z949" s="23"/>
      <c r="AA949" s="23"/>
      <c r="AB949" s="23"/>
      <c r="AC949" s="23"/>
      <c r="AD949" s="158"/>
      <c r="AE949" s="158">
        <f t="shared" si="157"/>
        <v>0</v>
      </c>
      <c r="AF949" s="158"/>
      <c r="AG949" s="94">
        <v>0</v>
      </c>
      <c r="AH949" s="94"/>
      <c r="AI949" s="94"/>
      <c r="AJ949" s="158">
        <f t="shared" si="158"/>
        <v>0</v>
      </c>
      <c r="AK949" s="158"/>
      <c r="AL949" s="158"/>
      <c r="AM949" s="158"/>
      <c r="AN949" s="158"/>
      <c r="AO949" s="23"/>
      <c r="AP949" s="23"/>
      <c r="AQ949" s="23"/>
      <c r="AR949" s="23"/>
      <c r="AS949" s="24">
        <v>1</v>
      </c>
      <c r="AT949" s="58" t="s">
        <v>646</v>
      </c>
      <c r="AU949" s="388" t="s">
        <v>1387</v>
      </c>
      <c r="AV949" s="23"/>
      <c r="AW949" s="23"/>
      <c r="AX949" s="23"/>
      <c r="AY949" s="23">
        <v>1</v>
      </c>
      <c r="AZ949" s="23"/>
      <c r="BA949" s="23"/>
      <c r="BB949" s="223">
        <v>1</v>
      </c>
      <c r="BC949" s="223"/>
      <c r="BD949" s="270">
        <v>2019</v>
      </c>
      <c r="BE949" s="270">
        <v>2019</v>
      </c>
      <c r="BF949" s="271"/>
    </row>
    <row r="950" spans="1:58" s="204" customFormat="1" ht="18" customHeight="1">
      <c r="A950" s="230" t="s">
        <v>1</v>
      </c>
      <c r="B950" s="58" t="s">
        <v>320</v>
      </c>
      <c r="C950" s="236" t="s">
        <v>527</v>
      </c>
      <c r="D950" s="33" t="s">
        <v>387</v>
      </c>
      <c r="E950" s="33"/>
      <c r="F950" s="33"/>
      <c r="G950" s="33"/>
      <c r="H950" s="30" t="s">
        <v>650</v>
      </c>
      <c r="I950" s="228">
        <v>2893</v>
      </c>
      <c r="J950" s="212">
        <v>42726</v>
      </c>
      <c r="K950" s="23"/>
      <c r="L950" s="23"/>
      <c r="M950" s="23">
        <v>1</v>
      </c>
      <c r="N950" s="23">
        <v>1</v>
      </c>
      <c r="O950" s="23"/>
      <c r="P950" s="23">
        <v>56837553</v>
      </c>
      <c r="Q950" s="23"/>
      <c r="R950" s="23"/>
      <c r="S950" s="23"/>
      <c r="T950" s="586">
        <v>56837553</v>
      </c>
      <c r="U950" s="23"/>
      <c r="V950" s="311"/>
      <c r="W950" s="311"/>
      <c r="X950" s="311"/>
      <c r="Y950" s="94"/>
      <c r="Z950" s="23"/>
      <c r="AA950" s="57"/>
      <c r="AB950" s="57"/>
      <c r="AC950" s="57"/>
      <c r="AD950" s="158"/>
      <c r="AE950" s="158">
        <f t="shared" si="157"/>
        <v>0</v>
      </c>
      <c r="AF950" s="158"/>
      <c r="AG950" s="94">
        <v>0</v>
      </c>
      <c r="AH950" s="94"/>
      <c r="AI950" s="94"/>
      <c r="AJ950" s="158">
        <f t="shared" si="158"/>
        <v>0</v>
      </c>
      <c r="AK950" s="158"/>
      <c r="AL950" s="158"/>
      <c r="AM950" s="158"/>
      <c r="AN950" s="158">
        <v>1</v>
      </c>
      <c r="AO950" s="23"/>
      <c r="AP950" s="23"/>
      <c r="AQ950" s="23"/>
      <c r="AR950" s="23"/>
      <c r="AS950" s="2">
        <v>0.45</v>
      </c>
      <c r="AT950" s="58" t="s">
        <v>38</v>
      </c>
      <c r="AU950" s="386" t="s">
        <v>1388</v>
      </c>
      <c r="AV950" s="23"/>
      <c r="AW950" s="23"/>
      <c r="AX950" s="23"/>
      <c r="AY950" s="23"/>
      <c r="AZ950" s="23"/>
      <c r="BA950" s="23"/>
      <c r="BB950" s="223"/>
      <c r="BC950" s="223"/>
      <c r="BD950" s="271"/>
      <c r="BE950" s="271">
        <v>2019</v>
      </c>
      <c r="BF950" s="271">
        <v>2020</v>
      </c>
    </row>
    <row r="951" spans="1:58" s="204" customFormat="1" ht="18" customHeight="1">
      <c r="A951" s="160" t="s">
        <v>1</v>
      </c>
      <c r="B951" s="58" t="s">
        <v>320</v>
      </c>
      <c r="C951" s="513" t="s">
        <v>528</v>
      </c>
      <c r="D951" s="483" t="s">
        <v>387</v>
      </c>
      <c r="E951" s="483"/>
      <c r="F951" s="483">
        <v>4</v>
      </c>
      <c r="G951" s="483"/>
      <c r="H951" s="30" t="s">
        <v>650</v>
      </c>
      <c r="I951" s="228">
        <v>2893</v>
      </c>
      <c r="J951" s="212">
        <v>42726</v>
      </c>
      <c r="K951" s="23"/>
      <c r="L951" s="23"/>
      <c r="M951" s="23">
        <v>1</v>
      </c>
      <c r="N951" s="23">
        <v>1</v>
      </c>
      <c r="O951" s="23"/>
      <c r="P951" s="23">
        <v>52070058</v>
      </c>
      <c r="Q951" s="23"/>
      <c r="R951" s="23"/>
      <c r="S951" s="23"/>
      <c r="T951" s="586">
        <v>26097750</v>
      </c>
      <c r="U951" s="514">
        <v>10</v>
      </c>
      <c r="V951" s="484">
        <v>43980</v>
      </c>
      <c r="W951" s="484"/>
      <c r="X951" s="484"/>
      <c r="Y951" s="94"/>
      <c r="Z951" s="223"/>
      <c r="AA951" s="223"/>
      <c r="AB951" s="223"/>
      <c r="AC951" s="223"/>
      <c r="AD951" s="158"/>
      <c r="AE951" s="158">
        <f t="shared" si="157"/>
        <v>25972308</v>
      </c>
      <c r="AF951" s="158"/>
      <c r="AG951" s="94">
        <v>0</v>
      </c>
      <c r="AH951" s="94"/>
      <c r="AI951" s="94"/>
      <c r="AJ951" s="158">
        <f t="shared" si="158"/>
        <v>25972308</v>
      </c>
      <c r="AK951" s="158">
        <v>877</v>
      </c>
      <c r="AL951" s="158">
        <v>10</v>
      </c>
      <c r="AM951" s="158"/>
      <c r="AN951" s="72">
        <v>1</v>
      </c>
      <c r="AO951" s="23"/>
      <c r="AP951" s="23"/>
      <c r="AQ951" s="23"/>
      <c r="AR951" s="23"/>
      <c r="AS951" s="567">
        <v>0</v>
      </c>
      <c r="AT951" s="485" t="s">
        <v>38</v>
      </c>
      <c r="AU951" s="386"/>
      <c r="AV951" s="23"/>
      <c r="AW951" s="23"/>
      <c r="AX951" s="23"/>
      <c r="AY951" s="23"/>
      <c r="AZ951" s="23"/>
      <c r="BA951" s="23"/>
      <c r="BB951" s="223"/>
      <c r="BC951" s="223"/>
      <c r="BD951" s="271"/>
      <c r="BE951" s="271">
        <v>2019</v>
      </c>
      <c r="BF951" s="271">
        <v>2020</v>
      </c>
    </row>
    <row r="952" spans="1:58" ht="18" hidden="1" customHeight="1">
      <c r="A952" s="243" t="s">
        <v>1</v>
      </c>
      <c r="B952" s="58" t="s">
        <v>320</v>
      </c>
      <c r="C952" s="267" t="s">
        <v>529</v>
      </c>
      <c r="D952" s="33" t="s">
        <v>387</v>
      </c>
      <c r="E952" s="33"/>
      <c r="F952" s="33"/>
      <c r="G952" s="33"/>
      <c r="H952" s="30" t="s">
        <v>650</v>
      </c>
      <c r="I952" s="30">
        <v>2893</v>
      </c>
      <c r="J952" s="212">
        <v>42726</v>
      </c>
      <c r="K952" s="23"/>
      <c r="L952" s="23">
        <v>1</v>
      </c>
      <c r="M952" s="23"/>
      <c r="N952" s="23"/>
      <c r="O952" s="23"/>
      <c r="P952" s="23">
        <v>56747504</v>
      </c>
      <c r="Q952" s="23"/>
      <c r="R952" s="23"/>
      <c r="S952" s="23"/>
      <c r="T952" s="586">
        <v>25536377</v>
      </c>
      <c r="U952" s="23"/>
      <c r="V952" s="311"/>
      <c r="W952" s="311"/>
      <c r="X952" s="311"/>
      <c r="Y952" s="94">
        <v>31211127</v>
      </c>
      <c r="Z952" s="23"/>
      <c r="AA952" s="80"/>
      <c r="AB952" s="80"/>
      <c r="AC952" s="80"/>
      <c r="AD952" s="158"/>
      <c r="AE952" s="158">
        <f t="shared" si="157"/>
        <v>0</v>
      </c>
      <c r="AF952" s="158"/>
      <c r="AG952" s="94">
        <v>0</v>
      </c>
      <c r="AH952" s="94"/>
      <c r="AI952" s="94"/>
      <c r="AJ952" s="158">
        <f t="shared" si="158"/>
        <v>0</v>
      </c>
      <c r="AK952" s="158"/>
      <c r="AL952" s="158"/>
      <c r="AM952" s="158"/>
      <c r="AN952" s="158"/>
      <c r="AO952" s="23"/>
      <c r="AP952" s="23"/>
      <c r="AQ952" s="23"/>
      <c r="AR952" s="23"/>
      <c r="AS952" s="24">
        <v>1</v>
      </c>
      <c r="AT952" s="58" t="s">
        <v>646</v>
      </c>
      <c r="AU952" s="386" t="s">
        <v>1414</v>
      </c>
      <c r="AV952" s="23"/>
      <c r="AW952" s="23"/>
      <c r="AX952" s="23"/>
      <c r="AY952" s="23">
        <v>1</v>
      </c>
      <c r="AZ952" s="23"/>
      <c r="BA952" s="23"/>
      <c r="BB952" s="223">
        <v>1</v>
      </c>
      <c r="BC952" s="223"/>
      <c r="BD952" s="270">
        <v>2019</v>
      </c>
      <c r="BE952" s="270">
        <v>2019</v>
      </c>
      <c r="BF952" s="271"/>
    </row>
    <row r="953" spans="1:58" s="204" customFormat="1" ht="18" customHeight="1">
      <c r="A953" s="160" t="s">
        <v>1</v>
      </c>
      <c r="B953" s="58" t="s">
        <v>320</v>
      </c>
      <c r="C953" s="122" t="s">
        <v>530</v>
      </c>
      <c r="D953" s="33" t="s">
        <v>438</v>
      </c>
      <c r="E953" s="33"/>
      <c r="F953" s="33"/>
      <c r="G953" s="33"/>
      <c r="H953" s="30" t="s">
        <v>650</v>
      </c>
      <c r="I953" s="228">
        <v>2955</v>
      </c>
      <c r="J953" s="212">
        <v>42731</v>
      </c>
      <c r="K953" s="23"/>
      <c r="L953" s="23"/>
      <c r="M953" s="23">
        <v>1</v>
      </c>
      <c r="N953" s="23">
        <v>1</v>
      </c>
      <c r="O953" s="23"/>
      <c r="P953" s="23">
        <v>66007435</v>
      </c>
      <c r="Q953" s="23"/>
      <c r="R953" s="23"/>
      <c r="S953" s="23"/>
      <c r="T953" s="586"/>
      <c r="U953" s="23"/>
      <c r="V953" s="311"/>
      <c r="W953" s="311"/>
      <c r="X953" s="311"/>
      <c r="Y953" s="94"/>
      <c r="Z953" s="223"/>
      <c r="AA953" s="223"/>
      <c r="AB953" s="223"/>
      <c r="AC953" s="223"/>
      <c r="AD953" s="158"/>
      <c r="AE953" s="158">
        <f t="shared" si="157"/>
        <v>66007435</v>
      </c>
      <c r="AF953" s="158"/>
      <c r="AG953" s="94">
        <v>0</v>
      </c>
      <c r="AH953" s="94"/>
      <c r="AI953" s="94"/>
      <c r="AJ953" s="158">
        <f t="shared" si="158"/>
        <v>66007435</v>
      </c>
      <c r="AK953" s="158">
        <v>877</v>
      </c>
      <c r="AL953" s="158">
        <v>10</v>
      </c>
      <c r="AM953" s="158">
        <v>1</v>
      </c>
      <c r="AN953" s="158"/>
      <c r="AO953" s="23"/>
      <c r="AP953" s="23"/>
      <c r="AQ953" s="23"/>
      <c r="AR953" s="23"/>
      <c r="AS953" s="24">
        <v>0</v>
      </c>
      <c r="AT953" s="58" t="s">
        <v>521</v>
      </c>
      <c r="AU953" s="386"/>
      <c r="AV953" s="23"/>
      <c r="AW953" s="23"/>
      <c r="AX953" s="23"/>
      <c r="AY953" s="23"/>
      <c r="AZ953" s="23"/>
      <c r="BA953" s="23"/>
      <c r="BB953" s="223"/>
      <c r="BC953" s="223"/>
      <c r="BD953" s="271"/>
      <c r="BE953" s="271">
        <v>2019</v>
      </c>
      <c r="BF953" s="271">
        <v>2020</v>
      </c>
    </row>
    <row r="954" spans="1:58" s="204" customFormat="1" ht="18" customHeight="1">
      <c r="A954" s="160" t="s">
        <v>1</v>
      </c>
      <c r="B954" s="58" t="s">
        <v>320</v>
      </c>
      <c r="C954" s="122" t="s">
        <v>531</v>
      </c>
      <c r="D954" s="33" t="s">
        <v>438</v>
      </c>
      <c r="E954" s="33"/>
      <c r="F954" s="33"/>
      <c r="G954" s="33"/>
      <c r="H954" s="30" t="s">
        <v>650</v>
      </c>
      <c r="I954" s="228">
        <v>2955</v>
      </c>
      <c r="J954" s="212">
        <v>42731</v>
      </c>
      <c r="K954" s="23"/>
      <c r="L954" s="23"/>
      <c r="M954" s="23">
        <v>1</v>
      </c>
      <c r="N954" s="23">
        <v>1</v>
      </c>
      <c r="O954" s="23"/>
      <c r="P954" s="23">
        <v>74651266</v>
      </c>
      <c r="Q954" s="23"/>
      <c r="R954" s="23"/>
      <c r="S954" s="23"/>
      <c r="T954" s="586"/>
      <c r="U954" s="23"/>
      <c r="V954" s="311"/>
      <c r="W954" s="311"/>
      <c r="X954" s="311"/>
      <c r="Y954" s="94"/>
      <c r="Z954" s="223"/>
      <c r="AA954" s="223"/>
      <c r="AB954" s="223"/>
      <c r="AC954" s="223"/>
      <c r="AD954" s="158"/>
      <c r="AE954" s="158">
        <f t="shared" si="157"/>
        <v>74651266</v>
      </c>
      <c r="AF954" s="158"/>
      <c r="AG954" s="94">
        <v>0</v>
      </c>
      <c r="AH954" s="94"/>
      <c r="AI954" s="94"/>
      <c r="AJ954" s="158">
        <f t="shared" si="158"/>
        <v>74651266</v>
      </c>
      <c r="AK954" s="158">
        <v>877</v>
      </c>
      <c r="AL954" s="158">
        <v>10</v>
      </c>
      <c r="AM954" s="158">
        <v>1</v>
      </c>
      <c r="AN954" s="158"/>
      <c r="AO954" s="23"/>
      <c r="AP954" s="23"/>
      <c r="AQ954" s="23"/>
      <c r="AR954" s="23"/>
      <c r="AS954" s="24">
        <v>0</v>
      </c>
      <c r="AT954" s="58" t="s">
        <v>521</v>
      </c>
      <c r="AU954" s="386"/>
      <c r="AV954" s="23"/>
      <c r="AW954" s="23"/>
      <c r="AX954" s="23"/>
      <c r="AY954" s="23"/>
      <c r="AZ954" s="23"/>
      <c r="BA954" s="23"/>
      <c r="BB954" s="223"/>
      <c r="BC954" s="223"/>
      <c r="BD954" s="271"/>
      <c r="BE954" s="271">
        <v>2019</v>
      </c>
      <c r="BF954" s="271">
        <v>2020</v>
      </c>
    </row>
    <row r="955" spans="1:58" ht="23.25" hidden="1" customHeight="1">
      <c r="A955" s="243" t="s">
        <v>1</v>
      </c>
      <c r="B955" s="58" t="s">
        <v>320</v>
      </c>
      <c r="C955" s="246" t="s">
        <v>532</v>
      </c>
      <c r="D955" s="33" t="s">
        <v>438</v>
      </c>
      <c r="E955" s="33"/>
      <c r="F955" s="33"/>
      <c r="G955" s="33"/>
      <c r="H955" s="30" t="s">
        <v>650</v>
      </c>
      <c r="I955" s="228"/>
      <c r="J955" s="212"/>
      <c r="K955" s="23"/>
      <c r="L955" s="23"/>
      <c r="M955" s="23"/>
      <c r="N955" s="23"/>
      <c r="O955" s="23"/>
      <c r="P955" s="23"/>
      <c r="Q955" s="23"/>
      <c r="R955" s="23"/>
      <c r="S955" s="23"/>
      <c r="T955" s="586"/>
      <c r="U955" s="23"/>
      <c r="V955" s="311"/>
      <c r="W955" s="311"/>
      <c r="X955" s="311"/>
      <c r="Y955" s="94"/>
      <c r="Z955" s="23"/>
      <c r="AA955" s="80"/>
      <c r="AB955" s="80"/>
      <c r="AC955" s="80"/>
      <c r="AD955" s="158"/>
      <c r="AE955" s="158"/>
      <c r="AF955" s="158"/>
      <c r="AG955" s="158"/>
      <c r="AH955" s="158"/>
      <c r="AI955" s="158"/>
      <c r="AJ955" s="158"/>
      <c r="AK955" s="158"/>
      <c r="AL955" s="158"/>
      <c r="AM955" s="158"/>
      <c r="AN955" s="158"/>
      <c r="AO955" s="23"/>
      <c r="AP955" s="23"/>
      <c r="AQ955" s="23"/>
      <c r="AR955" s="23"/>
      <c r="AS955" s="24">
        <v>1</v>
      </c>
      <c r="AT955" s="58" t="s">
        <v>646</v>
      </c>
      <c r="AU955" s="105"/>
      <c r="AV955" s="23"/>
      <c r="AW955" s="23"/>
      <c r="AX955" s="23">
        <v>1</v>
      </c>
      <c r="AY955" s="23"/>
      <c r="AZ955" s="23"/>
      <c r="BA955" s="23">
        <v>1</v>
      </c>
      <c r="BB955" s="223"/>
      <c r="BC955" s="223"/>
      <c r="BD955" s="270">
        <v>2018</v>
      </c>
      <c r="BE955" s="270"/>
    </row>
    <row r="956" spans="1:58" s="204" customFormat="1" ht="18" customHeight="1">
      <c r="A956" s="160" t="s">
        <v>1</v>
      </c>
      <c r="B956" s="58" t="s">
        <v>320</v>
      </c>
      <c r="C956" s="122" t="s">
        <v>533</v>
      </c>
      <c r="D956" s="33" t="s">
        <v>438</v>
      </c>
      <c r="E956" s="33"/>
      <c r="F956" s="33"/>
      <c r="G956" s="33"/>
      <c r="H956" s="30" t="s">
        <v>650</v>
      </c>
      <c r="I956" s="228">
        <v>2955</v>
      </c>
      <c r="J956" s="212">
        <v>42731</v>
      </c>
      <c r="K956" s="23"/>
      <c r="L956" s="23"/>
      <c r="M956" s="23">
        <v>1</v>
      </c>
      <c r="N956" s="23">
        <v>1</v>
      </c>
      <c r="O956" s="23"/>
      <c r="P956" s="23">
        <v>74651266</v>
      </c>
      <c r="Q956" s="23"/>
      <c r="R956" s="23"/>
      <c r="S956" s="23"/>
      <c r="T956" s="586"/>
      <c r="U956" s="23"/>
      <c r="V956" s="311"/>
      <c r="W956" s="311"/>
      <c r="X956" s="311"/>
      <c r="Y956" s="94"/>
      <c r="Z956" s="223"/>
      <c r="AA956" s="223"/>
      <c r="AB956" s="223"/>
      <c r="AC956" s="223"/>
      <c r="AD956" s="158"/>
      <c r="AE956" s="158">
        <f>P956-T956-Y956</f>
        <v>74651266</v>
      </c>
      <c r="AF956" s="158"/>
      <c r="AG956" s="94">
        <v>0</v>
      </c>
      <c r="AH956" s="94"/>
      <c r="AI956" s="94"/>
      <c r="AJ956" s="158">
        <f t="shared" ref="AJ956" si="159">AE956+AG956</f>
        <v>74651266</v>
      </c>
      <c r="AK956" s="158">
        <v>877</v>
      </c>
      <c r="AL956" s="158">
        <v>10</v>
      </c>
      <c r="AM956" s="158">
        <v>1</v>
      </c>
      <c r="AN956" s="158"/>
      <c r="AO956" s="23"/>
      <c r="AP956" s="23"/>
      <c r="AQ956" s="23"/>
      <c r="AR956" s="23"/>
      <c r="AS956" s="24">
        <v>0</v>
      </c>
      <c r="AT956" s="58" t="s">
        <v>521</v>
      </c>
      <c r="AU956" s="386"/>
      <c r="AV956" s="23"/>
      <c r="AW956" s="23"/>
      <c r="AX956" s="23"/>
      <c r="AY956" s="23"/>
      <c r="AZ956" s="23"/>
      <c r="BA956" s="23"/>
      <c r="BB956" s="223"/>
      <c r="BC956" s="223"/>
      <c r="BD956" s="271"/>
      <c r="BE956" s="271">
        <v>2019</v>
      </c>
      <c r="BF956" s="271">
        <v>2020</v>
      </c>
    </row>
    <row r="957" spans="1:58" ht="26.25" hidden="1" customHeight="1">
      <c r="A957" s="248" t="s">
        <v>1</v>
      </c>
      <c r="B957" s="58" t="s">
        <v>320</v>
      </c>
      <c r="C957" s="258" t="s">
        <v>534</v>
      </c>
      <c r="D957" s="33" t="s">
        <v>438</v>
      </c>
      <c r="E957" s="33"/>
      <c r="F957" s="33"/>
      <c r="G957" s="33"/>
      <c r="H957" s="30" t="s">
        <v>650</v>
      </c>
      <c r="I957" s="30"/>
      <c r="J957" s="212"/>
      <c r="K957" s="23"/>
      <c r="L957" s="23"/>
      <c r="M957" s="23"/>
      <c r="N957" s="23"/>
      <c r="O957" s="23"/>
      <c r="P957" s="23"/>
      <c r="Q957" s="23"/>
      <c r="R957" s="23"/>
      <c r="S957" s="23"/>
      <c r="T957" s="586"/>
      <c r="U957" s="23"/>
      <c r="V957" s="311"/>
      <c r="W957" s="311"/>
      <c r="X957" s="311"/>
      <c r="Y957" s="94"/>
      <c r="Z957" s="23"/>
      <c r="AA957" s="265"/>
      <c r="AB957" s="265"/>
      <c r="AC957" s="265"/>
      <c r="AD957" s="158"/>
      <c r="AE957" s="158"/>
      <c r="AF957" s="158"/>
      <c r="AG957" s="158"/>
      <c r="AH957" s="158"/>
      <c r="AI957" s="158"/>
      <c r="AJ957" s="158"/>
      <c r="AK957" s="158"/>
      <c r="AL957" s="158"/>
      <c r="AM957" s="158"/>
      <c r="AN957" s="158"/>
      <c r="AO957" s="23"/>
      <c r="AP957" s="23"/>
      <c r="AQ957" s="23"/>
      <c r="AR957" s="23"/>
      <c r="AS957" s="24">
        <v>1</v>
      </c>
      <c r="AT957" s="58" t="s">
        <v>646</v>
      </c>
      <c r="AU957" s="105"/>
      <c r="AV957" s="23"/>
      <c r="AW957" s="23"/>
      <c r="AX957" s="23">
        <v>1</v>
      </c>
      <c r="AY957" s="23"/>
      <c r="AZ957" s="23"/>
      <c r="BA957" s="23">
        <v>1</v>
      </c>
      <c r="BB957" s="223"/>
      <c r="BC957" s="223"/>
      <c r="BD957" s="270">
        <v>2018</v>
      </c>
      <c r="BE957" s="270"/>
    </row>
    <row r="958" spans="1:58" ht="18" hidden="1" customHeight="1">
      <c r="A958" s="160" t="s">
        <v>1</v>
      </c>
      <c r="B958" s="58" t="s">
        <v>320</v>
      </c>
      <c r="C958" s="150" t="s">
        <v>536</v>
      </c>
      <c r="D958" s="33" t="s">
        <v>387</v>
      </c>
      <c r="E958" s="33"/>
      <c r="F958" s="33"/>
      <c r="G958" s="33"/>
      <c r="H958" s="30" t="s">
        <v>663</v>
      </c>
      <c r="I958" s="228">
        <v>1287</v>
      </c>
      <c r="J958" s="212">
        <v>42913</v>
      </c>
      <c r="K958" s="23"/>
      <c r="L958" s="23"/>
      <c r="M958" s="23">
        <v>1</v>
      </c>
      <c r="N958" s="23"/>
      <c r="O958" s="23"/>
      <c r="P958" s="23">
        <v>56837553</v>
      </c>
      <c r="Q958" s="23"/>
      <c r="R958" s="23"/>
      <c r="S958" s="23"/>
      <c r="T958" s="586">
        <v>25576899</v>
      </c>
      <c r="U958" s="23"/>
      <c r="V958" s="311"/>
      <c r="W958" s="311"/>
      <c r="X958" s="311"/>
      <c r="Y958" s="94">
        <v>31260654</v>
      </c>
      <c r="Z958" s="23"/>
      <c r="AA958" s="23"/>
      <c r="AB958" s="23"/>
      <c r="AC958" s="23"/>
      <c r="AD958" s="158"/>
      <c r="AE958" s="158">
        <f>P958-T958-Y958</f>
        <v>0</v>
      </c>
      <c r="AF958" s="158"/>
      <c r="AG958" s="94">
        <v>0</v>
      </c>
      <c r="AH958" s="94"/>
      <c r="AI958" s="94"/>
      <c r="AJ958" s="158">
        <f t="shared" ref="AJ958:AJ961" si="160">AE958+AG958</f>
        <v>0</v>
      </c>
      <c r="AK958" s="158"/>
      <c r="AL958" s="158"/>
      <c r="AM958" s="158"/>
      <c r="AN958" s="158"/>
      <c r="AO958" s="23"/>
      <c r="AP958" s="50"/>
      <c r="AQ958" s="50"/>
      <c r="AR958" s="50"/>
      <c r="AS958" s="24">
        <v>1</v>
      </c>
      <c r="AT958" s="58" t="s">
        <v>646</v>
      </c>
      <c r="AU958" s="400" t="s">
        <v>1847</v>
      </c>
      <c r="AV958" s="23"/>
      <c r="AW958" s="50"/>
      <c r="AX958" s="50"/>
      <c r="AY958" s="23">
        <v>1</v>
      </c>
      <c r="AZ958" s="23"/>
      <c r="BA958" s="50"/>
      <c r="BB958" s="223">
        <v>1</v>
      </c>
      <c r="BC958" s="223"/>
      <c r="BD958" s="270">
        <v>2019</v>
      </c>
      <c r="BE958" s="270">
        <v>2019</v>
      </c>
      <c r="BF958" s="271"/>
    </row>
    <row r="959" spans="1:58" ht="18" hidden="1" customHeight="1">
      <c r="A959" s="160" t="s">
        <v>1</v>
      </c>
      <c r="B959" s="58" t="s">
        <v>320</v>
      </c>
      <c r="C959" s="63" t="s">
        <v>537</v>
      </c>
      <c r="D959" s="33" t="s">
        <v>387</v>
      </c>
      <c r="E959" s="33"/>
      <c r="F959" s="33"/>
      <c r="G959" s="33"/>
      <c r="H959" s="30" t="s">
        <v>657</v>
      </c>
      <c r="I959" s="30">
        <v>1525</v>
      </c>
      <c r="J959" s="212">
        <v>41479</v>
      </c>
      <c r="K959" s="23"/>
      <c r="L959" s="23"/>
      <c r="M959" s="23">
        <v>1</v>
      </c>
      <c r="N959" s="23"/>
      <c r="O959" s="23"/>
      <c r="P959" s="23">
        <v>52095010</v>
      </c>
      <c r="Q959" s="23"/>
      <c r="R959" s="23"/>
      <c r="S959" s="23"/>
      <c r="T959" s="586">
        <v>23442754</v>
      </c>
      <c r="U959" s="23"/>
      <c r="V959" s="311"/>
      <c r="W959" s="311"/>
      <c r="X959" s="311"/>
      <c r="Y959" s="94">
        <v>28652256</v>
      </c>
      <c r="Z959" s="23"/>
      <c r="AA959" s="23"/>
      <c r="AB959" s="23"/>
      <c r="AC959" s="23"/>
      <c r="AD959" s="158"/>
      <c r="AE959" s="158">
        <f>P959-T959-Y959</f>
        <v>0</v>
      </c>
      <c r="AF959" s="158"/>
      <c r="AG959" s="94">
        <v>0</v>
      </c>
      <c r="AH959" s="94"/>
      <c r="AI959" s="94"/>
      <c r="AJ959" s="158">
        <f t="shared" si="160"/>
        <v>0</v>
      </c>
      <c r="AK959" s="158"/>
      <c r="AL959" s="158"/>
      <c r="AM959" s="158"/>
      <c r="AN959" s="158"/>
      <c r="AO959" s="23"/>
      <c r="AP959" s="50"/>
      <c r="AQ959" s="50"/>
      <c r="AR959" s="50"/>
      <c r="AS959" s="24">
        <v>1</v>
      </c>
      <c r="AT959" s="58" t="s">
        <v>646</v>
      </c>
      <c r="AU959" s="399" t="s">
        <v>1858</v>
      </c>
      <c r="AV959" s="23"/>
      <c r="AW959" s="50"/>
      <c r="AX959" s="50"/>
      <c r="AY959" s="23">
        <v>1</v>
      </c>
      <c r="AZ959" s="23"/>
      <c r="BA959" s="50"/>
      <c r="BB959" s="23">
        <v>1</v>
      </c>
      <c r="BC959" s="23"/>
      <c r="BD959" s="270">
        <v>2019</v>
      </c>
      <c r="BE959" s="270">
        <v>2019</v>
      </c>
      <c r="BF959" s="271"/>
    </row>
    <row r="960" spans="1:58" ht="18" hidden="1" customHeight="1">
      <c r="A960" s="160" t="s">
        <v>1</v>
      </c>
      <c r="B960" s="58" t="s">
        <v>320</v>
      </c>
      <c r="C960" s="150" t="s">
        <v>1418</v>
      </c>
      <c r="D960" s="33" t="s">
        <v>387</v>
      </c>
      <c r="E960" s="33"/>
      <c r="F960" s="33"/>
      <c r="G960" s="33"/>
      <c r="H960" s="30" t="s">
        <v>659</v>
      </c>
      <c r="I960" s="30">
        <v>440</v>
      </c>
      <c r="J960" s="212">
        <v>41001</v>
      </c>
      <c r="K960" s="23"/>
      <c r="L960" s="23">
        <v>1</v>
      </c>
      <c r="M960" s="23"/>
      <c r="N960" s="23"/>
      <c r="O960" s="23"/>
      <c r="P960" s="23">
        <v>47358523</v>
      </c>
      <c r="Q960" s="23"/>
      <c r="R960" s="23"/>
      <c r="S960" s="23"/>
      <c r="T960" s="586">
        <v>47358523</v>
      </c>
      <c r="U960" s="23"/>
      <c r="V960" s="311"/>
      <c r="W960" s="311"/>
      <c r="X960" s="311"/>
      <c r="Y960" s="94"/>
      <c r="Z960" s="23"/>
      <c r="AA960" s="23"/>
      <c r="AB960" s="23"/>
      <c r="AC960" s="23"/>
      <c r="AD960" s="158"/>
      <c r="AE960" s="158">
        <f>P960-T960-Y960</f>
        <v>0</v>
      </c>
      <c r="AF960" s="158"/>
      <c r="AG960" s="94">
        <v>0</v>
      </c>
      <c r="AH960" s="94"/>
      <c r="AI960" s="94"/>
      <c r="AJ960" s="158">
        <f t="shared" si="160"/>
        <v>0</v>
      </c>
      <c r="AK960" s="158"/>
      <c r="AL960" s="158"/>
      <c r="AM960" s="158"/>
      <c r="AN960" s="158"/>
      <c r="AO960" s="23"/>
      <c r="AP960" s="50"/>
      <c r="AQ960" s="50"/>
      <c r="AR960" s="50"/>
      <c r="AS960" s="2">
        <v>1</v>
      </c>
      <c r="AT960" s="58" t="s">
        <v>646</v>
      </c>
      <c r="AU960" s="400" t="s">
        <v>1952</v>
      </c>
      <c r="AV960" s="23"/>
      <c r="AW960" s="50"/>
      <c r="AX960" s="50"/>
      <c r="AY960" s="23">
        <v>1</v>
      </c>
      <c r="AZ960" s="23"/>
      <c r="BA960" s="50"/>
      <c r="BB960" s="223">
        <v>1</v>
      </c>
      <c r="BC960" s="223"/>
      <c r="BD960" s="270">
        <v>2019</v>
      </c>
      <c r="BE960" s="270">
        <v>2019</v>
      </c>
      <c r="BF960" s="271"/>
    </row>
    <row r="961" spans="1:58" ht="18" hidden="1" customHeight="1">
      <c r="A961" s="160" t="s">
        <v>1</v>
      </c>
      <c r="B961" s="58" t="s">
        <v>320</v>
      </c>
      <c r="C961" s="150" t="s">
        <v>538</v>
      </c>
      <c r="D961" s="33" t="s">
        <v>387</v>
      </c>
      <c r="E961" s="33"/>
      <c r="F961" s="33"/>
      <c r="G961" s="33"/>
      <c r="H961" s="30" t="s">
        <v>659</v>
      </c>
      <c r="I961" s="30">
        <v>1749</v>
      </c>
      <c r="J961" s="212">
        <v>42968</v>
      </c>
      <c r="K961" s="23"/>
      <c r="L961" s="23"/>
      <c r="M961" s="23">
        <v>1</v>
      </c>
      <c r="N961" s="23"/>
      <c r="O961" s="23"/>
      <c r="P961" s="23">
        <v>56837553</v>
      </c>
      <c r="Q961" s="23"/>
      <c r="R961" s="23"/>
      <c r="S961" s="23"/>
      <c r="T961" s="586">
        <v>25576899</v>
      </c>
      <c r="U961" s="23"/>
      <c r="V961" s="311"/>
      <c r="W961" s="311"/>
      <c r="X961" s="311"/>
      <c r="Y961" s="94">
        <v>31260654</v>
      </c>
      <c r="Z961" s="23"/>
      <c r="AA961" s="23"/>
      <c r="AB961" s="23"/>
      <c r="AC961" s="23"/>
      <c r="AD961" s="158"/>
      <c r="AE961" s="158">
        <f>P961-T961-Y961</f>
        <v>0</v>
      </c>
      <c r="AF961" s="158"/>
      <c r="AG961" s="94">
        <v>0</v>
      </c>
      <c r="AH961" s="94"/>
      <c r="AI961" s="94"/>
      <c r="AJ961" s="158">
        <f t="shared" si="160"/>
        <v>0</v>
      </c>
      <c r="AK961" s="158"/>
      <c r="AL961" s="158"/>
      <c r="AM961" s="158"/>
      <c r="AN961" s="158"/>
      <c r="AO961" s="23"/>
      <c r="AP961" s="50"/>
      <c r="AQ961" s="50"/>
      <c r="AR961" s="50"/>
      <c r="AS961" s="2">
        <v>1</v>
      </c>
      <c r="AT961" s="58" t="s">
        <v>646</v>
      </c>
      <c r="AU961" s="401" t="s">
        <v>1953</v>
      </c>
      <c r="AV961" s="23"/>
      <c r="AW961" s="50"/>
      <c r="AX961" s="50"/>
      <c r="AY961" s="23">
        <v>1</v>
      </c>
      <c r="AZ961" s="23"/>
      <c r="BA961" s="50"/>
      <c r="BB961" s="223">
        <v>1</v>
      </c>
      <c r="BC961" s="223"/>
      <c r="BD961" s="270">
        <v>2019</v>
      </c>
      <c r="BE961" s="270">
        <v>2019</v>
      </c>
      <c r="BF961" s="271"/>
    </row>
    <row r="962" spans="1:58" ht="15" hidden="1" customHeight="1">
      <c r="A962" s="160" t="s">
        <v>1</v>
      </c>
      <c r="B962" s="58" t="s">
        <v>320</v>
      </c>
      <c r="C962" s="58" t="s">
        <v>903</v>
      </c>
      <c r="D962" s="33" t="s">
        <v>387</v>
      </c>
      <c r="E962" s="33"/>
      <c r="F962" s="33"/>
      <c r="G962" s="33"/>
      <c r="H962" s="30" t="s">
        <v>657</v>
      </c>
      <c r="I962" s="30"/>
      <c r="J962" s="212"/>
      <c r="K962" s="23"/>
      <c r="L962" s="23"/>
      <c r="M962" s="23"/>
      <c r="N962" s="23"/>
      <c r="O962" s="23"/>
      <c r="P962" s="23"/>
      <c r="Q962" s="23"/>
      <c r="R962" s="23"/>
      <c r="S962" s="23"/>
      <c r="T962" s="586"/>
      <c r="U962" s="23"/>
      <c r="V962" s="311"/>
      <c r="W962" s="311"/>
      <c r="X962" s="311"/>
      <c r="Y962" s="94"/>
      <c r="Z962" s="23"/>
      <c r="AA962" s="23"/>
      <c r="AB962" s="23"/>
      <c r="AC962" s="23"/>
      <c r="AD962" s="158"/>
      <c r="AE962" s="158"/>
      <c r="AF962" s="158"/>
      <c r="AG962" s="158"/>
      <c r="AH962" s="158"/>
      <c r="AI962" s="158"/>
      <c r="AJ962" s="158"/>
      <c r="AK962" s="158"/>
      <c r="AL962" s="158"/>
      <c r="AM962" s="158"/>
      <c r="AN962" s="158"/>
      <c r="AO962" s="23"/>
      <c r="AP962" s="23"/>
      <c r="AQ962" s="23"/>
      <c r="AR962" s="23"/>
      <c r="AS962" s="2">
        <v>1</v>
      </c>
      <c r="AT962" s="58" t="s">
        <v>646</v>
      </c>
      <c r="AU962" s="105"/>
      <c r="AV962" s="23"/>
      <c r="AW962" s="23">
        <v>1</v>
      </c>
      <c r="AX962" s="23"/>
      <c r="AY962" s="23"/>
      <c r="AZ962" s="23"/>
      <c r="BA962" s="23"/>
      <c r="BB962" s="223"/>
      <c r="BC962" s="223"/>
      <c r="BD962" s="270">
        <v>2017</v>
      </c>
      <c r="BE962" s="270"/>
      <c r="BF962" s="269"/>
    </row>
    <row r="963" spans="1:58" ht="15" hidden="1" customHeight="1">
      <c r="A963" s="160" t="s">
        <v>1</v>
      </c>
      <c r="B963" s="58" t="s">
        <v>320</v>
      </c>
      <c r="C963" s="58" t="s">
        <v>549</v>
      </c>
      <c r="D963" s="33" t="s">
        <v>319</v>
      </c>
      <c r="E963" s="33"/>
      <c r="F963" s="33"/>
      <c r="G963" s="33"/>
      <c r="H963" s="30" t="s">
        <v>663</v>
      </c>
      <c r="I963" s="30"/>
      <c r="J963" s="212"/>
      <c r="K963" s="23"/>
      <c r="L963" s="23"/>
      <c r="M963" s="23"/>
      <c r="N963" s="23"/>
      <c r="O963" s="23"/>
      <c r="P963" s="23"/>
      <c r="Q963" s="23"/>
      <c r="R963" s="23"/>
      <c r="S963" s="23"/>
      <c r="T963" s="586"/>
      <c r="U963" s="23"/>
      <c r="V963" s="311"/>
      <c r="W963" s="311"/>
      <c r="X963" s="311"/>
      <c r="Y963" s="94"/>
      <c r="Z963" s="23"/>
      <c r="AA963" s="23"/>
      <c r="AB963" s="23"/>
      <c r="AC963" s="23"/>
      <c r="AD963" s="158"/>
      <c r="AE963" s="158"/>
      <c r="AF963" s="158"/>
      <c r="AG963" s="158"/>
      <c r="AH963" s="158"/>
      <c r="AI963" s="158"/>
      <c r="AJ963" s="158"/>
      <c r="AK963" s="158"/>
      <c r="AL963" s="158"/>
      <c r="AM963" s="158"/>
      <c r="AN963" s="158"/>
      <c r="AO963" s="23"/>
      <c r="AP963" s="23"/>
      <c r="AQ963" s="23"/>
      <c r="AR963" s="23"/>
      <c r="AS963" s="2">
        <v>1</v>
      </c>
      <c r="AT963" s="58" t="s">
        <v>646</v>
      </c>
      <c r="AU963" s="105" t="s">
        <v>563</v>
      </c>
      <c r="AV963" s="23"/>
      <c r="AW963" s="23">
        <v>1</v>
      </c>
      <c r="AX963" s="23"/>
      <c r="AY963" s="23"/>
      <c r="AZ963" s="23"/>
      <c r="BA963" s="23"/>
      <c r="BB963" s="223"/>
      <c r="BC963" s="223"/>
      <c r="BD963" s="270">
        <v>2017</v>
      </c>
      <c r="BE963" s="270"/>
      <c r="BF963" s="269"/>
    </row>
    <row r="964" spans="1:58" ht="15" hidden="1" customHeight="1">
      <c r="A964" s="160" t="s">
        <v>1</v>
      </c>
      <c r="B964" s="58" t="s">
        <v>320</v>
      </c>
      <c r="C964" s="58" t="s">
        <v>809</v>
      </c>
      <c r="D964" s="33" t="s">
        <v>319</v>
      </c>
      <c r="E964" s="33"/>
      <c r="F964" s="33"/>
      <c r="G964" s="33"/>
      <c r="H964" s="30" t="s">
        <v>647</v>
      </c>
      <c r="I964" s="30"/>
      <c r="J964" s="212"/>
      <c r="K964" s="23"/>
      <c r="L964" s="23"/>
      <c r="M964" s="23"/>
      <c r="N964" s="23"/>
      <c r="O964" s="23"/>
      <c r="P964" s="23"/>
      <c r="Q964" s="23"/>
      <c r="R964" s="23"/>
      <c r="S964" s="23"/>
      <c r="T964" s="586"/>
      <c r="U964" s="23"/>
      <c r="V964" s="311"/>
      <c r="W964" s="311"/>
      <c r="X964" s="311"/>
      <c r="Y964" s="94"/>
      <c r="Z964" s="23"/>
      <c r="AA964" s="23"/>
      <c r="AB964" s="23"/>
      <c r="AC964" s="23"/>
      <c r="AD964" s="158"/>
      <c r="AE964" s="158"/>
      <c r="AF964" s="158"/>
      <c r="AG964" s="158"/>
      <c r="AH964" s="158"/>
      <c r="AI964" s="158"/>
      <c r="AJ964" s="158"/>
      <c r="AK964" s="158"/>
      <c r="AL964" s="158"/>
      <c r="AM964" s="158"/>
      <c r="AN964" s="158"/>
      <c r="AO964" s="23"/>
      <c r="AP964" s="23"/>
      <c r="AQ964" s="23"/>
      <c r="AR964" s="23"/>
      <c r="AS964" s="2">
        <v>1</v>
      </c>
      <c r="AT964" s="58" t="s">
        <v>646</v>
      </c>
      <c r="AU964" s="105"/>
      <c r="AV964" s="23"/>
      <c r="AW964" s="23">
        <v>1</v>
      </c>
      <c r="AX964" s="23"/>
      <c r="AY964" s="23"/>
      <c r="AZ964" s="23"/>
      <c r="BA964" s="23"/>
      <c r="BB964" s="223"/>
      <c r="BC964" s="223"/>
      <c r="BD964" s="270">
        <v>2017</v>
      </c>
      <c r="BE964" s="270"/>
      <c r="BF964" s="269"/>
    </row>
    <row r="965" spans="1:58" ht="22.5" hidden="1" customHeight="1">
      <c r="A965" s="160" t="s">
        <v>1</v>
      </c>
      <c r="B965" s="58" t="s">
        <v>320</v>
      </c>
      <c r="C965" s="58" t="s">
        <v>929</v>
      </c>
      <c r="D965" s="33" t="s">
        <v>519</v>
      </c>
      <c r="E965" s="33"/>
      <c r="F965" s="33"/>
      <c r="G965" s="33"/>
      <c r="H965" s="30" t="s">
        <v>647</v>
      </c>
      <c r="I965" s="30"/>
      <c r="J965" s="212"/>
      <c r="K965" s="23"/>
      <c r="L965" s="23"/>
      <c r="M965" s="23"/>
      <c r="N965" s="23"/>
      <c r="O965" s="23"/>
      <c r="P965" s="23"/>
      <c r="Q965" s="23"/>
      <c r="R965" s="23"/>
      <c r="S965" s="23"/>
      <c r="T965" s="586"/>
      <c r="U965" s="23"/>
      <c r="V965" s="311"/>
      <c r="W965" s="311"/>
      <c r="X965" s="311"/>
      <c r="Y965" s="94"/>
      <c r="Z965" s="23"/>
      <c r="AA965" s="23"/>
      <c r="AB965" s="23"/>
      <c r="AC965" s="23"/>
      <c r="AD965" s="158"/>
      <c r="AE965" s="158"/>
      <c r="AF965" s="158"/>
      <c r="AG965" s="158"/>
      <c r="AH965" s="158"/>
      <c r="AI965" s="158"/>
      <c r="AJ965" s="158"/>
      <c r="AK965" s="158"/>
      <c r="AL965" s="158"/>
      <c r="AM965" s="158"/>
      <c r="AN965" s="158"/>
      <c r="AO965" s="23"/>
      <c r="AP965" s="23"/>
      <c r="AQ965" s="23"/>
      <c r="AR965" s="23"/>
      <c r="AS965" s="2">
        <v>1</v>
      </c>
      <c r="AT965" s="58" t="s">
        <v>646</v>
      </c>
      <c r="AU965" s="105"/>
      <c r="AV965" s="23"/>
      <c r="AW965" s="23">
        <v>1</v>
      </c>
      <c r="AX965" s="23"/>
      <c r="AY965" s="23"/>
      <c r="AZ965" s="23"/>
      <c r="BA965" s="23"/>
      <c r="BB965" s="223"/>
      <c r="BC965" s="223"/>
      <c r="BD965" s="270">
        <v>2017</v>
      </c>
      <c r="BE965" s="270"/>
      <c r="BF965" s="269"/>
    </row>
    <row r="966" spans="1:58" ht="21.75" hidden="1" customHeight="1">
      <c r="A966" s="160" t="s">
        <v>1</v>
      </c>
      <c r="B966" s="58" t="s">
        <v>320</v>
      </c>
      <c r="C966" s="58" t="s">
        <v>805</v>
      </c>
      <c r="D966" s="33" t="s">
        <v>519</v>
      </c>
      <c r="E966" s="33"/>
      <c r="F966" s="33"/>
      <c r="G966" s="33"/>
      <c r="H966" s="30" t="s">
        <v>647</v>
      </c>
      <c r="I966" s="30"/>
      <c r="J966" s="212"/>
      <c r="K966" s="23"/>
      <c r="L966" s="23"/>
      <c r="M966" s="23"/>
      <c r="N966" s="23"/>
      <c r="O966" s="23"/>
      <c r="P966" s="23"/>
      <c r="Q966" s="23"/>
      <c r="R966" s="23"/>
      <c r="S966" s="23"/>
      <c r="T966" s="586"/>
      <c r="U966" s="23"/>
      <c r="V966" s="311"/>
      <c r="W966" s="311"/>
      <c r="X966" s="311"/>
      <c r="Y966" s="94"/>
      <c r="Z966" s="23"/>
      <c r="AA966" s="23"/>
      <c r="AB966" s="23"/>
      <c r="AC966" s="23"/>
      <c r="AD966" s="158"/>
      <c r="AE966" s="158"/>
      <c r="AF966" s="158"/>
      <c r="AG966" s="158"/>
      <c r="AH966" s="158"/>
      <c r="AI966" s="158"/>
      <c r="AJ966" s="158"/>
      <c r="AK966" s="158"/>
      <c r="AL966" s="158"/>
      <c r="AM966" s="158"/>
      <c r="AN966" s="158"/>
      <c r="AO966" s="23"/>
      <c r="AP966" s="23"/>
      <c r="AQ966" s="23"/>
      <c r="AR966" s="23"/>
      <c r="AS966" s="2">
        <v>1</v>
      </c>
      <c r="AT966" s="58" t="s">
        <v>646</v>
      </c>
      <c r="AU966" s="105"/>
      <c r="AV966" s="23"/>
      <c r="AW966" s="23">
        <v>1</v>
      </c>
      <c r="AX966" s="23"/>
      <c r="AY966" s="23"/>
      <c r="AZ966" s="23"/>
      <c r="BA966" s="23"/>
      <c r="BB966" s="223"/>
      <c r="BC966" s="223"/>
      <c r="BD966" s="270">
        <v>2017</v>
      </c>
      <c r="BE966" s="270"/>
      <c r="BF966" s="269"/>
    </row>
    <row r="967" spans="1:58" ht="27.75" hidden="1" customHeight="1">
      <c r="A967" s="160" t="s">
        <v>1</v>
      </c>
      <c r="B967" s="58" t="s">
        <v>320</v>
      </c>
      <c r="C967" s="58" t="s">
        <v>806</v>
      </c>
      <c r="D967" s="33" t="s">
        <v>319</v>
      </c>
      <c r="E967" s="33"/>
      <c r="F967" s="33"/>
      <c r="G967" s="33"/>
      <c r="H967" s="30" t="s">
        <v>657</v>
      </c>
      <c r="I967" s="30"/>
      <c r="J967" s="212"/>
      <c r="K967" s="23"/>
      <c r="L967" s="23"/>
      <c r="M967" s="23"/>
      <c r="N967" s="23"/>
      <c r="O967" s="23"/>
      <c r="P967" s="23"/>
      <c r="Q967" s="23"/>
      <c r="R967" s="23"/>
      <c r="S967" s="23"/>
      <c r="T967" s="586"/>
      <c r="U967" s="23"/>
      <c r="V967" s="311"/>
      <c r="W967" s="311"/>
      <c r="X967" s="311"/>
      <c r="Y967" s="94"/>
      <c r="Z967" s="23"/>
      <c r="AA967" s="23"/>
      <c r="AB967" s="23"/>
      <c r="AC967" s="23"/>
      <c r="AD967" s="158"/>
      <c r="AE967" s="158"/>
      <c r="AF967" s="158"/>
      <c r="AG967" s="158"/>
      <c r="AH967" s="158"/>
      <c r="AI967" s="158"/>
      <c r="AJ967" s="158"/>
      <c r="AK967" s="158"/>
      <c r="AL967" s="158"/>
      <c r="AM967" s="158"/>
      <c r="AN967" s="158"/>
      <c r="AO967" s="23"/>
      <c r="AP967" s="23"/>
      <c r="AQ967" s="23"/>
      <c r="AR967" s="23"/>
      <c r="AS967" s="2">
        <v>1</v>
      </c>
      <c r="AT967" s="58" t="s">
        <v>646</v>
      </c>
      <c r="AU967" s="105"/>
      <c r="AV967" s="23"/>
      <c r="AW967" s="23">
        <v>1</v>
      </c>
      <c r="AX967" s="23"/>
      <c r="AY967" s="23"/>
      <c r="AZ967" s="23"/>
      <c r="BA967" s="23"/>
      <c r="BB967" s="223"/>
      <c r="BC967" s="223"/>
      <c r="BD967" s="270">
        <v>2017</v>
      </c>
      <c r="BE967" s="270"/>
      <c r="BF967" s="269"/>
    </row>
    <row r="968" spans="1:58" ht="15" hidden="1" customHeight="1">
      <c r="A968" s="160" t="s">
        <v>1</v>
      </c>
      <c r="B968" s="58" t="s">
        <v>320</v>
      </c>
      <c r="C968" s="58" t="s">
        <v>561</v>
      </c>
      <c r="D968" s="33" t="s">
        <v>387</v>
      </c>
      <c r="E968" s="33"/>
      <c r="F968" s="33"/>
      <c r="G968" s="33"/>
      <c r="H968" s="30" t="s">
        <v>647</v>
      </c>
      <c r="I968" s="30"/>
      <c r="J968" s="212"/>
      <c r="K968" s="23"/>
      <c r="L968" s="23"/>
      <c r="M968" s="23"/>
      <c r="N968" s="23"/>
      <c r="O968" s="23"/>
      <c r="P968" s="23"/>
      <c r="Q968" s="23"/>
      <c r="R968" s="23"/>
      <c r="S968" s="23"/>
      <c r="T968" s="586"/>
      <c r="U968" s="23"/>
      <c r="V968" s="311"/>
      <c r="W968" s="311"/>
      <c r="X968" s="311"/>
      <c r="Y968" s="94"/>
      <c r="Z968" s="23"/>
      <c r="AA968" s="23"/>
      <c r="AB968" s="23"/>
      <c r="AC968" s="23"/>
      <c r="AD968" s="158"/>
      <c r="AE968" s="158"/>
      <c r="AF968" s="158"/>
      <c r="AG968" s="158"/>
      <c r="AH968" s="158"/>
      <c r="AI968" s="158"/>
      <c r="AJ968" s="158"/>
      <c r="AK968" s="158"/>
      <c r="AL968" s="158"/>
      <c r="AM968" s="158"/>
      <c r="AN968" s="158"/>
      <c r="AO968" s="23"/>
      <c r="AP968" s="23"/>
      <c r="AQ968" s="23"/>
      <c r="AR968" s="23"/>
      <c r="AS968" s="2">
        <v>1</v>
      </c>
      <c r="AT968" s="58" t="s">
        <v>646</v>
      </c>
      <c r="AU968" s="105"/>
      <c r="AV968" s="23"/>
      <c r="AW968" s="23">
        <v>1</v>
      </c>
      <c r="AX968" s="23"/>
      <c r="AY968" s="23"/>
      <c r="AZ968" s="23"/>
      <c r="BA968" s="23"/>
      <c r="BB968" s="223"/>
      <c r="BC968" s="223"/>
      <c r="BD968" s="270">
        <v>2017</v>
      </c>
      <c r="BE968" s="270"/>
      <c r="BF968" s="269"/>
    </row>
    <row r="969" spans="1:58" ht="15" hidden="1" customHeight="1">
      <c r="A969" s="230" t="s">
        <v>1</v>
      </c>
      <c r="B969" s="58" t="s">
        <v>320</v>
      </c>
      <c r="C969" s="28" t="s">
        <v>535</v>
      </c>
      <c r="D969" s="33" t="s">
        <v>589</v>
      </c>
      <c r="E969" s="33"/>
      <c r="F969" s="33"/>
      <c r="G969" s="33"/>
      <c r="H969" s="30" t="s">
        <v>657</v>
      </c>
      <c r="I969" s="30"/>
      <c r="J969" s="212"/>
      <c r="K969" s="23"/>
      <c r="L969" s="23"/>
      <c r="M969" s="23"/>
      <c r="N969" s="23"/>
      <c r="O969" s="23"/>
      <c r="P969" s="23"/>
      <c r="Q969" s="23"/>
      <c r="R969" s="23"/>
      <c r="S969" s="23"/>
      <c r="T969" s="586"/>
      <c r="U969" s="23"/>
      <c r="V969" s="311"/>
      <c r="W969" s="311"/>
      <c r="X969" s="311"/>
      <c r="Y969" s="94"/>
      <c r="Z969" s="23"/>
      <c r="AA969" s="57"/>
      <c r="AB969" s="57"/>
      <c r="AC969" s="57"/>
      <c r="AD969" s="158"/>
      <c r="AE969" s="158"/>
      <c r="AF969" s="158"/>
      <c r="AG969" s="158"/>
      <c r="AH969" s="158"/>
      <c r="AI969" s="158"/>
      <c r="AJ969" s="158"/>
      <c r="AK969" s="158"/>
      <c r="AL969" s="158"/>
      <c r="AM969" s="158"/>
      <c r="AN969" s="158"/>
      <c r="AO969" s="23"/>
      <c r="AP969" s="23"/>
      <c r="AQ969" s="23"/>
      <c r="AR969" s="23"/>
      <c r="AS969" s="2">
        <v>1</v>
      </c>
      <c r="AT969" s="58" t="s">
        <v>646</v>
      </c>
      <c r="AU969" s="105"/>
      <c r="AV969" s="23"/>
      <c r="AW969" s="23">
        <v>1</v>
      </c>
      <c r="AX969" s="23"/>
      <c r="AY969" s="23"/>
      <c r="AZ969" s="23"/>
      <c r="BA969" s="23"/>
      <c r="BB969" s="223"/>
      <c r="BC969" s="223"/>
      <c r="BD969" s="270">
        <v>2017</v>
      </c>
      <c r="BE969" s="270"/>
      <c r="BF969" s="269"/>
    </row>
    <row r="970" spans="1:58" s="204" customFormat="1" ht="18" customHeight="1">
      <c r="A970" s="160" t="s">
        <v>1</v>
      </c>
      <c r="B970" s="58" t="s">
        <v>320</v>
      </c>
      <c r="C970" s="513" t="s">
        <v>1389</v>
      </c>
      <c r="D970" s="483" t="s">
        <v>438</v>
      </c>
      <c r="E970" s="483"/>
      <c r="F970" s="483"/>
      <c r="G970" s="483"/>
      <c r="H970" s="30" t="s">
        <v>630</v>
      </c>
      <c r="I970" s="228" t="s">
        <v>1485</v>
      </c>
      <c r="J970" s="215" t="s">
        <v>1484</v>
      </c>
      <c r="K970" s="23"/>
      <c r="L970" s="23"/>
      <c r="M970" s="23">
        <v>1</v>
      </c>
      <c r="N970" s="23">
        <v>1</v>
      </c>
      <c r="O970" s="23"/>
      <c r="P970" s="23">
        <v>64435830</v>
      </c>
      <c r="Q970" s="23"/>
      <c r="R970" s="23"/>
      <c r="S970" s="23"/>
      <c r="T970" s="586">
        <v>63510800</v>
      </c>
      <c r="U970" s="514">
        <v>10</v>
      </c>
      <c r="V970" s="484">
        <v>43951</v>
      </c>
      <c r="W970" s="484"/>
      <c r="X970" s="484"/>
      <c r="Y970" s="94"/>
      <c r="Z970" s="223"/>
      <c r="AA970" s="223"/>
      <c r="AB970" s="223"/>
      <c r="AC970" s="223"/>
      <c r="AD970" s="158"/>
      <c r="AE970" s="158">
        <f t="shared" ref="AE970:AE977" si="161">P970-T970-Y970</f>
        <v>925030</v>
      </c>
      <c r="AF970" s="158"/>
      <c r="AG970" s="94">
        <v>0</v>
      </c>
      <c r="AH970" s="94"/>
      <c r="AI970" s="94"/>
      <c r="AJ970" s="75">
        <f t="shared" ref="AJ970:AJ977" si="162">AE970+AG970</f>
        <v>925030</v>
      </c>
      <c r="AK970" s="158">
        <v>877</v>
      </c>
      <c r="AL970" s="158">
        <v>10</v>
      </c>
      <c r="AM970" s="158"/>
      <c r="AN970" s="158"/>
      <c r="AO970" s="593">
        <v>1</v>
      </c>
      <c r="AP970" s="23"/>
      <c r="AQ970" s="23"/>
      <c r="AR970" s="23"/>
      <c r="AS970" s="493">
        <v>1</v>
      </c>
      <c r="AT970" s="594" t="s">
        <v>646</v>
      </c>
      <c r="AU970" s="591"/>
      <c r="AV970" s="23"/>
      <c r="AW970" s="23"/>
      <c r="AX970" s="23"/>
      <c r="AY970" s="23"/>
      <c r="AZ970" s="23"/>
      <c r="BA970" s="23"/>
      <c r="BB970" s="223"/>
      <c r="BC970" s="223"/>
      <c r="BD970" s="271"/>
      <c r="BE970" s="271">
        <v>2019</v>
      </c>
      <c r="BF970" s="271">
        <v>2020</v>
      </c>
    </row>
    <row r="971" spans="1:58" s="204" customFormat="1" ht="18" customHeight="1">
      <c r="A971" s="160" t="s">
        <v>1</v>
      </c>
      <c r="B971" s="58" t="s">
        <v>320</v>
      </c>
      <c r="C971" s="122" t="s">
        <v>572</v>
      </c>
      <c r="D971" s="33" t="s">
        <v>438</v>
      </c>
      <c r="E971" s="33"/>
      <c r="F971" s="33"/>
      <c r="G971" s="33"/>
      <c r="H971" s="30" t="s">
        <v>630</v>
      </c>
      <c r="I971" s="228" t="s">
        <v>1485</v>
      </c>
      <c r="J971" s="215" t="s">
        <v>1484</v>
      </c>
      <c r="K971" s="23"/>
      <c r="L971" s="23"/>
      <c r="M971" s="23">
        <v>1</v>
      </c>
      <c r="N971" s="23">
        <v>1</v>
      </c>
      <c r="O971" s="23"/>
      <c r="P971" s="23">
        <v>74651266</v>
      </c>
      <c r="Q971" s="23"/>
      <c r="R971" s="23"/>
      <c r="S971" s="23"/>
      <c r="T971" s="586"/>
      <c r="U971" s="23"/>
      <c r="V971" s="311"/>
      <c r="W971" s="311"/>
      <c r="X971" s="311"/>
      <c r="Y971" s="94"/>
      <c r="Z971" s="223"/>
      <c r="AA971" s="223"/>
      <c r="AB971" s="223"/>
      <c r="AC971" s="223"/>
      <c r="AD971" s="158"/>
      <c r="AE971" s="158">
        <f t="shared" si="161"/>
        <v>74651266</v>
      </c>
      <c r="AF971" s="158"/>
      <c r="AG971" s="94">
        <v>0</v>
      </c>
      <c r="AH971" s="94"/>
      <c r="AI971" s="94"/>
      <c r="AJ971" s="158">
        <f t="shared" si="162"/>
        <v>74651266</v>
      </c>
      <c r="AK971" s="158">
        <v>877</v>
      </c>
      <c r="AL971" s="158">
        <v>10</v>
      </c>
      <c r="AM971" s="158">
        <v>1</v>
      </c>
      <c r="AN971" s="158"/>
      <c r="AO971" s="23"/>
      <c r="AP971" s="23"/>
      <c r="AQ971" s="23"/>
      <c r="AR971" s="23"/>
      <c r="AS971" s="2">
        <v>0</v>
      </c>
      <c r="AT971" s="58" t="s">
        <v>521</v>
      </c>
      <c r="AU971" s="386"/>
      <c r="AV971" s="23"/>
      <c r="AW971" s="23"/>
      <c r="AX971" s="23"/>
      <c r="AY971" s="23"/>
      <c r="AZ971" s="23"/>
      <c r="BA971" s="23"/>
      <c r="BB971" s="223"/>
      <c r="BC971" s="223"/>
      <c r="BD971" s="271"/>
      <c r="BE971" s="271">
        <v>2019</v>
      </c>
      <c r="BF971" s="271">
        <v>2020</v>
      </c>
    </row>
    <row r="972" spans="1:58" ht="18" hidden="1" customHeight="1">
      <c r="A972" s="160" t="s">
        <v>1</v>
      </c>
      <c r="B972" s="58" t="s">
        <v>320</v>
      </c>
      <c r="C972" s="122" t="s">
        <v>573</v>
      </c>
      <c r="D972" s="33" t="s">
        <v>438</v>
      </c>
      <c r="E972" s="33"/>
      <c r="F972" s="33"/>
      <c r="G972" s="33"/>
      <c r="H972" s="30" t="s">
        <v>630</v>
      </c>
      <c r="I972" s="228" t="s">
        <v>1485</v>
      </c>
      <c r="J972" s="215" t="s">
        <v>1484</v>
      </c>
      <c r="K972" s="23"/>
      <c r="L972" s="23">
        <v>1</v>
      </c>
      <c r="M972" s="23"/>
      <c r="N972" s="23"/>
      <c r="O972" s="23"/>
      <c r="P972" s="23">
        <f>74651266+5626090</f>
        <v>80277356</v>
      </c>
      <c r="Q972" s="274"/>
      <c r="R972" s="23"/>
      <c r="S972" s="23"/>
      <c r="T972" s="586">
        <f>74651266+5626090</f>
        <v>80277356</v>
      </c>
      <c r="U972" s="23" t="s">
        <v>1657</v>
      </c>
      <c r="V972" s="311">
        <v>43617</v>
      </c>
      <c r="W972" s="311"/>
      <c r="X972" s="311"/>
      <c r="Y972" s="94"/>
      <c r="Z972" s="23"/>
      <c r="AA972" s="80"/>
      <c r="AB972" s="80"/>
      <c r="AC972" s="80"/>
      <c r="AD972" s="158"/>
      <c r="AE972" s="158">
        <f t="shared" si="161"/>
        <v>0</v>
      </c>
      <c r="AF972" s="158"/>
      <c r="AG972" s="94">
        <v>0</v>
      </c>
      <c r="AH972" s="94"/>
      <c r="AI972" s="94"/>
      <c r="AJ972" s="158">
        <f t="shared" si="162"/>
        <v>0</v>
      </c>
      <c r="AK972" s="158">
        <v>877</v>
      </c>
      <c r="AL972" s="158" t="s">
        <v>1657</v>
      </c>
      <c r="AM972" s="158"/>
      <c r="AN972" s="158"/>
      <c r="AO972" s="23"/>
      <c r="AP972" s="23"/>
      <c r="AQ972" s="23"/>
      <c r="AR972" s="23"/>
      <c r="AS972" s="24">
        <v>1</v>
      </c>
      <c r="AT972" s="58" t="s">
        <v>646</v>
      </c>
      <c r="AU972" s="388" t="s">
        <v>1714</v>
      </c>
      <c r="AV972" s="23"/>
      <c r="AW972" s="23"/>
      <c r="AX972" s="23"/>
      <c r="AY972" s="23">
        <v>1</v>
      </c>
      <c r="AZ972" s="23"/>
      <c r="BA972" s="23"/>
      <c r="BB972" s="23">
        <v>1</v>
      </c>
      <c r="BC972" s="23"/>
      <c r="BD972" s="270">
        <v>2019</v>
      </c>
      <c r="BE972" s="270">
        <v>2019</v>
      </c>
      <c r="BF972" s="271"/>
    </row>
    <row r="973" spans="1:58" s="204" customFormat="1" ht="18" customHeight="1">
      <c r="A973" s="160" t="s">
        <v>1</v>
      </c>
      <c r="B973" s="58" t="s">
        <v>320</v>
      </c>
      <c r="C973" s="122" t="s">
        <v>574</v>
      </c>
      <c r="D973" s="33" t="s">
        <v>438</v>
      </c>
      <c r="E973" s="33"/>
      <c r="F973" s="33"/>
      <c r="G973" s="33"/>
      <c r="H973" s="30" t="s">
        <v>630</v>
      </c>
      <c r="I973" s="228" t="s">
        <v>1485</v>
      </c>
      <c r="J973" s="215" t="s">
        <v>1484</v>
      </c>
      <c r="K973" s="23"/>
      <c r="L973" s="23"/>
      <c r="M973" s="23">
        <v>1</v>
      </c>
      <c r="N973" s="23">
        <v>1</v>
      </c>
      <c r="O973" s="23"/>
      <c r="P973" s="23">
        <v>74651266</v>
      </c>
      <c r="Q973" s="23"/>
      <c r="R973" s="23"/>
      <c r="S973" s="23"/>
      <c r="T973" s="586"/>
      <c r="U973" s="23"/>
      <c r="V973" s="311"/>
      <c r="W973" s="311"/>
      <c r="X973" s="311"/>
      <c r="Y973" s="94"/>
      <c r="Z973" s="223"/>
      <c r="AA973" s="223"/>
      <c r="AB973" s="223"/>
      <c r="AC973" s="223"/>
      <c r="AD973" s="158"/>
      <c r="AE973" s="158">
        <f t="shared" si="161"/>
        <v>74651266</v>
      </c>
      <c r="AF973" s="158"/>
      <c r="AG973" s="94">
        <v>0</v>
      </c>
      <c r="AH973" s="94"/>
      <c r="AI973" s="94"/>
      <c r="AJ973" s="158">
        <f t="shared" si="162"/>
        <v>74651266</v>
      </c>
      <c r="AK973" s="158">
        <v>877</v>
      </c>
      <c r="AL973" s="158">
        <v>10</v>
      </c>
      <c r="AM973" s="158">
        <v>1</v>
      </c>
      <c r="AN973" s="158"/>
      <c r="AO973" s="23"/>
      <c r="AP973" s="23"/>
      <c r="AQ973" s="23"/>
      <c r="AR973" s="23"/>
      <c r="AS973" s="2">
        <v>0</v>
      </c>
      <c r="AT973" s="58" t="s">
        <v>521</v>
      </c>
      <c r="AU973" s="386"/>
      <c r="AV973" s="23"/>
      <c r="AW973" s="23"/>
      <c r="AX973" s="23"/>
      <c r="AY973" s="23"/>
      <c r="AZ973" s="23"/>
      <c r="BA973" s="23"/>
      <c r="BB973" s="223"/>
      <c r="BC973" s="223"/>
      <c r="BD973" s="271"/>
      <c r="BE973" s="271">
        <v>2019</v>
      </c>
      <c r="BF973" s="271">
        <v>2020</v>
      </c>
    </row>
    <row r="974" spans="1:58" ht="18" hidden="1" customHeight="1">
      <c r="A974" s="160" t="s">
        <v>1</v>
      </c>
      <c r="B974" s="58" t="s">
        <v>320</v>
      </c>
      <c r="C974" s="122" t="s">
        <v>575</v>
      </c>
      <c r="D974" s="33" t="s">
        <v>438</v>
      </c>
      <c r="E974" s="33"/>
      <c r="F974" s="33"/>
      <c r="G974" s="33"/>
      <c r="H974" s="30" t="s">
        <v>630</v>
      </c>
      <c r="I974" s="228" t="s">
        <v>1783</v>
      </c>
      <c r="J974" s="215" t="s">
        <v>1784</v>
      </c>
      <c r="K974" s="23"/>
      <c r="L974" s="23"/>
      <c r="M974" s="23">
        <v>1</v>
      </c>
      <c r="N974" s="23"/>
      <c r="O974" s="23"/>
      <c r="P974" s="23">
        <f>74651266+2298734</f>
        <v>76950000</v>
      </c>
      <c r="Q974" s="23"/>
      <c r="R974" s="23"/>
      <c r="S974" s="23"/>
      <c r="T974" s="586">
        <f>74651266+2298734</f>
        <v>76950000</v>
      </c>
      <c r="U974" s="23">
        <v>20</v>
      </c>
      <c r="V974" s="311">
        <v>43770</v>
      </c>
      <c r="W974" s="311"/>
      <c r="X974" s="311"/>
      <c r="Y974" s="94"/>
      <c r="Z974" s="223"/>
      <c r="AA974" s="223"/>
      <c r="AB974" s="223"/>
      <c r="AC974" s="223"/>
      <c r="AD974" s="158"/>
      <c r="AE974" s="158">
        <f t="shared" si="161"/>
        <v>0</v>
      </c>
      <c r="AF974" s="158"/>
      <c r="AG974" s="94">
        <v>0</v>
      </c>
      <c r="AH974" s="94"/>
      <c r="AI974" s="94"/>
      <c r="AJ974" s="158">
        <f t="shared" si="162"/>
        <v>0</v>
      </c>
      <c r="AK974" s="158">
        <v>877</v>
      </c>
      <c r="AL974" s="158">
        <v>20</v>
      </c>
      <c r="AM974" s="158"/>
      <c r="AN974" s="158"/>
      <c r="AO974" s="23"/>
      <c r="AP974" s="23"/>
      <c r="AQ974" s="23"/>
      <c r="AR974" s="23"/>
      <c r="AS974" s="24">
        <v>1</v>
      </c>
      <c r="AT974" s="58" t="s">
        <v>646</v>
      </c>
      <c r="AU974" s="388" t="s">
        <v>1954</v>
      </c>
      <c r="AV974" s="23"/>
      <c r="AW974" s="23"/>
      <c r="AX974" s="23"/>
      <c r="AY974" s="23">
        <v>1</v>
      </c>
      <c r="AZ974" s="23"/>
      <c r="BA974" s="23"/>
      <c r="BB974" s="223">
        <v>1</v>
      </c>
      <c r="BC974" s="223"/>
      <c r="BD974" s="270">
        <v>2019</v>
      </c>
      <c r="BE974" s="270">
        <v>2019</v>
      </c>
      <c r="BF974" s="271"/>
    </row>
    <row r="975" spans="1:58" s="204" customFormat="1" ht="18" customHeight="1">
      <c r="A975" s="160" t="s">
        <v>1</v>
      </c>
      <c r="B975" s="58" t="s">
        <v>320</v>
      </c>
      <c r="C975" s="122" t="s">
        <v>576</v>
      </c>
      <c r="D975" s="33" t="s">
        <v>438</v>
      </c>
      <c r="E975" s="33"/>
      <c r="F975" s="33"/>
      <c r="G975" s="33"/>
      <c r="H975" s="30" t="s">
        <v>630</v>
      </c>
      <c r="I975" s="228" t="s">
        <v>1485</v>
      </c>
      <c r="J975" s="215" t="s">
        <v>1484</v>
      </c>
      <c r="K975" s="23"/>
      <c r="L975" s="23"/>
      <c r="M975" s="23">
        <v>1</v>
      </c>
      <c r="N975" s="23">
        <v>1</v>
      </c>
      <c r="O975" s="23"/>
      <c r="P975" s="23">
        <v>74651266</v>
      </c>
      <c r="Q975" s="23"/>
      <c r="R975" s="23"/>
      <c r="S975" s="23"/>
      <c r="T975" s="586"/>
      <c r="U975" s="23"/>
      <c r="V975" s="311"/>
      <c r="W975" s="311"/>
      <c r="X975" s="311"/>
      <c r="Y975" s="94"/>
      <c r="Z975" s="223"/>
      <c r="AA975" s="223"/>
      <c r="AB975" s="223"/>
      <c r="AC975" s="223"/>
      <c r="AD975" s="158"/>
      <c r="AE975" s="158">
        <f t="shared" si="161"/>
        <v>74651266</v>
      </c>
      <c r="AF975" s="158"/>
      <c r="AG975" s="94">
        <v>0</v>
      </c>
      <c r="AH975" s="94"/>
      <c r="AI975" s="94"/>
      <c r="AJ975" s="158">
        <f t="shared" si="162"/>
        <v>74651266</v>
      </c>
      <c r="AK975" s="158">
        <v>877</v>
      </c>
      <c r="AL975" s="158">
        <v>10</v>
      </c>
      <c r="AM975" s="158">
        <v>1</v>
      </c>
      <c r="AN975" s="158"/>
      <c r="AO975" s="23"/>
      <c r="AP975" s="23"/>
      <c r="AQ975" s="23"/>
      <c r="AR975" s="23"/>
      <c r="AS975" s="2">
        <v>0</v>
      </c>
      <c r="AT975" s="58" t="s">
        <v>521</v>
      </c>
      <c r="AU975" s="386"/>
      <c r="AV975" s="23"/>
      <c r="AW975" s="23"/>
      <c r="AX975" s="23"/>
      <c r="AY975" s="23"/>
      <c r="AZ975" s="23"/>
      <c r="BA975" s="23"/>
      <c r="BB975" s="223"/>
      <c r="BC975" s="223"/>
      <c r="BD975" s="271"/>
      <c r="BE975" s="271">
        <v>2019</v>
      </c>
      <c r="BF975" s="271">
        <v>2020</v>
      </c>
    </row>
    <row r="976" spans="1:58" ht="18" hidden="1" customHeight="1">
      <c r="A976" s="243" t="s">
        <v>1</v>
      </c>
      <c r="B976" s="58" t="s">
        <v>320</v>
      </c>
      <c r="C976" s="267" t="s">
        <v>577</v>
      </c>
      <c r="D976" s="33" t="s">
        <v>387</v>
      </c>
      <c r="E976" s="33"/>
      <c r="F976" s="33"/>
      <c r="G976" s="33"/>
      <c r="H976" s="30" t="s">
        <v>630</v>
      </c>
      <c r="I976" s="30">
        <v>1260</v>
      </c>
      <c r="J976" s="212">
        <v>42909</v>
      </c>
      <c r="K976" s="23"/>
      <c r="L976" s="23">
        <v>1</v>
      </c>
      <c r="M976" s="23"/>
      <c r="N976" s="23"/>
      <c r="O976" s="23"/>
      <c r="P976" s="23">
        <v>56106320</v>
      </c>
      <c r="Q976" s="23"/>
      <c r="R976" s="23"/>
      <c r="S976" s="23"/>
      <c r="T976" s="586">
        <v>25247844</v>
      </c>
      <c r="U976" s="23"/>
      <c r="V976" s="311"/>
      <c r="W976" s="311"/>
      <c r="X976" s="311"/>
      <c r="Y976" s="94">
        <v>30858476</v>
      </c>
      <c r="Z976" s="23"/>
      <c r="AA976" s="80"/>
      <c r="AB976" s="80"/>
      <c r="AC976" s="80"/>
      <c r="AD976" s="158"/>
      <c r="AE976" s="158">
        <f t="shared" si="161"/>
        <v>0</v>
      </c>
      <c r="AF976" s="158"/>
      <c r="AG976" s="94">
        <v>0</v>
      </c>
      <c r="AH976" s="94"/>
      <c r="AI976" s="94"/>
      <c r="AJ976" s="158">
        <f t="shared" si="162"/>
        <v>0</v>
      </c>
      <c r="AK976" s="158"/>
      <c r="AL976" s="158"/>
      <c r="AM976" s="158"/>
      <c r="AN976" s="158"/>
      <c r="AO976" s="23"/>
      <c r="AP976" s="23"/>
      <c r="AQ976" s="23"/>
      <c r="AR976" s="23"/>
      <c r="AS976" s="2">
        <v>1</v>
      </c>
      <c r="AT976" s="58" t="s">
        <v>646</v>
      </c>
      <c r="AU976" s="388" t="s">
        <v>1850</v>
      </c>
      <c r="AV976" s="23"/>
      <c r="AW976" s="23"/>
      <c r="AX976" s="23"/>
      <c r="AY976" s="23">
        <v>1</v>
      </c>
      <c r="AZ976" s="23"/>
      <c r="BA976" s="23"/>
      <c r="BB976" s="223">
        <v>1</v>
      </c>
      <c r="BC976" s="223"/>
      <c r="BD976" s="270">
        <v>2019</v>
      </c>
      <c r="BE976" s="270">
        <v>2019</v>
      </c>
      <c r="BF976" s="271"/>
    </row>
    <row r="977" spans="1:58" s="204" customFormat="1" ht="18" customHeight="1">
      <c r="A977" s="160" t="s">
        <v>1</v>
      </c>
      <c r="B977" s="58" t="s">
        <v>320</v>
      </c>
      <c r="C977" s="122" t="s">
        <v>914</v>
      </c>
      <c r="D977" s="33" t="s">
        <v>387</v>
      </c>
      <c r="E977" s="33"/>
      <c r="F977" s="33"/>
      <c r="G977" s="33"/>
      <c r="H977" s="30" t="s">
        <v>630</v>
      </c>
      <c r="I977" s="228" t="s">
        <v>1518</v>
      </c>
      <c r="J977" s="215" t="s">
        <v>1498</v>
      </c>
      <c r="K977" s="23"/>
      <c r="L977" s="23"/>
      <c r="M977" s="23">
        <v>1</v>
      </c>
      <c r="N977" s="23">
        <v>1</v>
      </c>
      <c r="O977" s="23"/>
      <c r="P977" s="23">
        <v>61214038</v>
      </c>
      <c r="Q977" s="23"/>
      <c r="R977" s="23"/>
      <c r="S977" s="23"/>
      <c r="T977" s="586"/>
      <c r="U977" s="23"/>
      <c r="V977" s="311"/>
      <c r="W977" s="311"/>
      <c r="X977" s="311"/>
      <c r="Y977" s="94"/>
      <c r="Z977" s="223"/>
      <c r="AA977" s="223"/>
      <c r="AB977" s="223"/>
      <c r="AC977" s="223"/>
      <c r="AD977" s="158"/>
      <c r="AE977" s="158">
        <f t="shared" si="161"/>
        <v>61214038</v>
      </c>
      <c r="AF977" s="158"/>
      <c r="AG977" s="94">
        <v>0</v>
      </c>
      <c r="AH977" s="94"/>
      <c r="AI977" s="94"/>
      <c r="AJ977" s="158">
        <f t="shared" si="162"/>
        <v>61214038</v>
      </c>
      <c r="AK977" s="158">
        <v>877</v>
      </c>
      <c r="AL977" s="158">
        <v>10</v>
      </c>
      <c r="AM977" s="158">
        <v>1</v>
      </c>
      <c r="AN977" s="158"/>
      <c r="AO977" s="23"/>
      <c r="AP977" s="23"/>
      <c r="AQ977" s="23"/>
      <c r="AR977" s="23"/>
      <c r="AS977" s="2">
        <v>0</v>
      </c>
      <c r="AT977" s="58" t="s">
        <v>521</v>
      </c>
      <c r="AU977" s="386"/>
      <c r="AV977" s="23"/>
      <c r="AW977" s="23"/>
      <c r="AX977" s="23"/>
      <c r="AY977" s="23"/>
      <c r="AZ977" s="23"/>
      <c r="BA977" s="23"/>
      <c r="BB977" s="223"/>
      <c r="BC977" s="223"/>
      <c r="BD977" s="271"/>
      <c r="BE977" s="271">
        <v>2019</v>
      </c>
      <c r="BF977" s="271">
        <v>2020</v>
      </c>
    </row>
    <row r="978" spans="1:58" ht="15" hidden="1" customHeight="1">
      <c r="A978" s="248" t="s">
        <v>1</v>
      </c>
      <c r="B978" s="58" t="s">
        <v>320</v>
      </c>
      <c r="C978" s="258" t="s">
        <v>580</v>
      </c>
      <c r="D978" s="33" t="s">
        <v>588</v>
      </c>
      <c r="E978" s="33"/>
      <c r="F978" s="33"/>
      <c r="G978" s="33"/>
      <c r="H978" s="30" t="s">
        <v>661</v>
      </c>
      <c r="I978" s="30"/>
      <c r="J978" s="212"/>
      <c r="K978" s="23"/>
      <c r="L978" s="23"/>
      <c r="M978" s="23"/>
      <c r="N978" s="23"/>
      <c r="O978" s="23"/>
      <c r="P978" s="23"/>
      <c r="Q978" s="23"/>
      <c r="R978" s="23"/>
      <c r="S978" s="23"/>
      <c r="T978" s="586"/>
      <c r="U978" s="23"/>
      <c r="V978" s="311"/>
      <c r="W978" s="311"/>
      <c r="X978" s="311"/>
      <c r="Y978" s="94"/>
      <c r="Z978" s="23"/>
      <c r="AA978" s="265"/>
      <c r="AB978" s="265"/>
      <c r="AC978" s="265"/>
      <c r="AD978" s="158"/>
      <c r="AE978" s="158"/>
      <c r="AF978" s="158"/>
      <c r="AG978" s="158"/>
      <c r="AH978" s="158"/>
      <c r="AI978" s="158"/>
      <c r="AJ978" s="158"/>
      <c r="AK978" s="158"/>
      <c r="AL978" s="158"/>
      <c r="AM978" s="158"/>
      <c r="AN978" s="158"/>
      <c r="AO978" s="23"/>
      <c r="AP978" s="23"/>
      <c r="AQ978" s="23"/>
      <c r="AR978" s="23"/>
      <c r="AS978" s="2">
        <v>1</v>
      </c>
      <c r="AT978" s="58" t="s">
        <v>646</v>
      </c>
      <c r="AU978" s="105"/>
      <c r="AV978" s="23"/>
      <c r="AW978" s="23">
        <v>1</v>
      </c>
      <c r="AX978" s="23"/>
      <c r="AY978" s="23"/>
      <c r="AZ978" s="23"/>
      <c r="BA978" s="23"/>
      <c r="BB978" s="223"/>
      <c r="BC978" s="223"/>
      <c r="BD978" s="270">
        <v>2017</v>
      </c>
      <c r="BE978" s="270"/>
      <c r="BF978" s="268"/>
    </row>
    <row r="979" spans="1:58" ht="15" hidden="1" customHeight="1">
      <c r="A979" s="160" t="s">
        <v>1</v>
      </c>
      <c r="B979" s="58" t="s">
        <v>320</v>
      </c>
      <c r="C979" s="122" t="s">
        <v>582</v>
      </c>
      <c r="D979" s="33" t="s">
        <v>588</v>
      </c>
      <c r="E979" s="33"/>
      <c r="F979" s="33"/>
      <c r="G979" s="33"/>
      <c r="H979" s="30" t="s">
        <v>661</v>
      </c>
      <c r="I979" s="30"/>
      <c r="J979" s="212"/>
      <c r="K979" s="23"/>
      <c r="L979" s="23"/>
      <c r="M979" s="23"/>
      <c r="N979" s="23"/>
      <c r="O979" s="23"/>
      <c r="P979" s="23"/>
      <c r="Q979" s="23"/>
      <c r="R979" s="23"/>
      <c r="S979" s="23"/>
      <c r="T979" s="586"/>
      <c r="U979" s="23"/>
      <c r="V979" s="311"/>
      <c r="W979" s="311"/>
      <c r="X979" s="311"/>
      <c r="Y979" s="94"/>
      <c r="Z979" s="23"/>
      <c r="AA979" s="23"/>
      <c r="AB979" s="23"/>
      <c r="AC979" s="23"/>
      <c r="AD979" s="158"/>
      <c r="AE979" s="158"/>
      <c r="AF979" s="158"/>
      <c r="AG979" s="158"/>
      <c r="AH979" s="158"/>
      <c r="AI979" s="158"/>
      <c r="AJ979" s="158"/>
      <c r="AK979" s="158"/>
      <c r="AL979" s="158"/>
      <c r="AM979" s="158"/>
      <c r="AN979" s="158"/>
      <c r="AO979" s="23"/>
      <c r="AP979" s="50"/>
      <c r="AQ979" s="50"/>
      <c r="AR979" s="50"/>
      <c r="AS979" s="2">
        <v>1</v>
      </c>
      <c r="AT979" s="58" t="s">
        <v>646</v>
      </c>
      <c r="AU979" s="58" t="s">
        <v>581</v>
      </c>
      <c r="AV979" s="23"/>
      <c r="AW979" s="50"/>
      <c r="AX979" s="23">
        <v>1</v>
      </c>
      <c r="AY979" s="23"/>
      <c r="AZ979" s="23"/>
      <c r="BA979" s="23">
        <v>1</v>
      </c>
      <c r="BB979" s="223"/>
      <c r="BC979" s="223"/>
      <c r="BD979" s="270">
        <v>2018</v>
      </c>
      <c r="BE979" s="270"/>
      <c r="BF979" s="269"/>
    </row>
    <row r="980" spans="1:58" ht="15" hidden="1" customHeight="1">
      <c r="A980" s="160" t="s">
        <v>1</v>
      </c>
      <c r="B980" s="58" t="s">
        <v>320</v>
      </c>
      <c r="C980" s="122" t="s">
        <v>583</v>
      </c>
      <c r="D980" s="33" t="s">
        <v>588</v>
      </c>
      <c r="E980" s="33"/>
      <c r="F980" s="33"/>
      <c r="G980" s="33"/>
      <c r="H980" s="30" t="s">
        <v>661</v>
      </c>
      <c r="I980" s="30"/>
      <c r="J980" s="212"/>
      <c r="K980" s="23"/>
      <c r="L980" s="23"/>
      <c r="M980" s="23"/>
      <c r="N980" s="23"/>
      <c r="O980" s="23"/>
      <c r="P980" s="23"/>
      <c r="Q980" s="23"/>
      <c r="R980" s="23"/>
      <c r="S980" s="23"/>
      <c r="T980" s="586"/>
      <c r="U980" s="23"/>
      <c r="V980" s="311"/>
      <c r="W980" s="311"/>
      <c r="X980" s="311"/>
      <c r="Y980" s="94"/>
      <c r="Z980" s="23"/>
      <c r="AA980" s="23"/>
      <c r="AB980" s="23"/>
      <c r="AC980" s="23"/>
      <c r="AD980" s="158"/>
      <c r="AE980" s="158"/>
      <c r="AF980" s="158"/>
      <c r="AG980" s="158"/>
      <c r="AH980" s="158"/>
      <c r="AI980" s="158"/>
      <c r="AJ980" s="158"/>
      <c r="AK980" s="158"/>
      <c r="AL980" s="158"/>
      <c r="AM980" s="158"/>
      <c r="AN980" s="158"/>
      <c r="AO980" s="23"/>
      <c r="AP980" s="50"/>
      <c r="AQ980" s="50"/>
      <c r="AR980" s="50"/>
      <c r="AS980" s="2">
        <v>1</v>
      </c>
      <c r="AT980" s="58" t="s">
        <v>646</v>
      </c>
      <c r="AU980" s="110" t="s">
        <v>638</v>
      </c>
      <c r="AV980" s="23"/>
      <c r="AW980" s="23"/>
      <c r="AX980" s="23">
        <v>1</v>
      </c>
      <c r="AY980" s="23"/>
      <c r="AZ980" s="23"/>
      <c r="BA980" s="23">
        <v>1</v>
      </c>
      <c r="BB980" s="223"/>
      <c r="BC980" s="223"/>
      <c r="BD980" s="270">
        <v>2018</v>
      </c>
      <c r="BE980" s="270"/>
      <c r="BF980" s="269"/>
    </row>
    <row r="981" spans="1:58" ht="15" hidden="1" customHeight="1">
      <c r="A981" s="160" t="s">
        <v>1</v>
      </c>
      <c r="B981" s="58" t="s">
        <v>320</v>
      </c>
      <c r="C981" s="122" t="s">
        <v>584</v>
      </c>
      <c r="D981" s="33" t="s">
        <v>588</v>
      </c>
      <c r="E981" s="33"/>
      <c r="F981" s="33"/>
      <c r="G981" s="33"/>
      <c r="H981" s="30" t="s">
        <v>661</v>
      </c>
      <c r="I981" s="30"/>
      <c r="J981" s="212"/>
      <c r="K981" s="23"/>
      <c r="L981" s="23"/>
      <c r="M981" s="23"/>
      <c r="N981" s="23"/>
      <c r="O981" s="23"/>
      <c r="P981" s="23"/>
      <c r="Q981" s="23"/>
      <c r="R981" s="23"/>
      <c r="S981" s="23"/>
      <c r="T981" s="586"/>
      <c r="U981" s="23"/>
      <c r="V981" s="311"/>
      <c r="W981" s="311"/>
      <c r="X981" s="311"/>
      <c r="Y981" s="94"/>
      <c r="Z981" s="23"/>
      <c r="AA981" s="23"/>
      <c r="AB981" s="23"/>
      <c r="AC981" s="23"/>
      <c r="AD981" s="158"/>
      <c r="AE981" s="158"/>
      <c r="AF981" s="158"/>
      <c r="AG981" s="158"/>
      <c r="AH981" s="158"/>
      <c r="AI981" s="158"/>
      <c r="AJ981" s="158"/>
      <c r="AK981" s="158"/>
      <c r="AL981" s="158"/>
      <c r="AM981" s="158"/>
      <c r="AN981" s="158"/>
      <c r="AO981" s="50"/>
      <c r="AP981" s="50"/>
      <c r="AQ981" s="50"/>
      <c r="AR981" s="50"/>
      <c r="AS981" s="2">
        <v>1</v>
      </c>
      <c r="AT981" s="58" t="s">
        <v>646</v>
      </c>
      <c r="AU981" s="110" t="s">
        <v>810</v>
      </c>
      <c r="AV981" s="23"/>
      <c r="AW981" s="23">
        <v>1</v>
      </c>
      <c r="AX981" s="50"/>
      <c r="AY981" s="50"/>
      <c r="AZ981" s="50"/>
      <c r="BA981" s="50"/>
      <c r="BB981" s="293"/>
      <c r="BC981" s="293"/>
      <c r="BD981" s="270">
        <v>2017</v>
      </c>
      <c r="BE981" s="270"/>
      <c r="BF981" s="269"/>
    </row>
    <row r="982" spans="1:58" ht="15" hidden="1" customHeight="1">
      <c r="A982" s="160" t="s">
        <v>1</v>
      </c>
      <c r="B982" s="58" t="s">
        <v>320</v>
      </c>
      <c r="C982" s="122" t="s">
        <v>585</v>
      </c>
      <c r="D982" s="33" t="s">
        <v>588</v>
      </c>
      <c r="E982" s="33"/>
      <c r="F982" s="33"/>
      <c r="G982" s="33"/>
      <c r="H982" s="30" t="s">
        <v>663</v>
      </c>
      <c r="I982" s="30"/>
      <c r="J982" s="212"/>
      <c r="K982" s="23"/>
      <c r="L982" s="23"/>
      <c r="M982" s="23"/>
      <c r="N982" s="23"/>
      <c r="O982" s="23"/>
      <c r="P982" s="23"/>
      <c r="Q982" s="23"/>
      <c r="R982" s="23"/>
      <c r="S982" s="23"/>
      <c r="T982" s="586"/>
      <c r="U982" s="23"/>
      <c r="V982" s="311"/>
      <c r="W982" s="311"/>
      <c r="X982" s="311"/>
      <c r="Y982" s="94"/>
      <c r="Z982" s="23"/>
      <c r="AA982" s="23"/>
      <c r="AB982" s="23"/>
      <c r="AC982" s="23"/>
      <c r="AD982" s="158"/>
      <c r="AE982" s="158"/>
      <c r="AF982" s="158"/>
      <c r="AG982" s="158"/>
      <c r="AH982" s="158"/>
      <c r="AI982" s="158"/>
      <c r="AJ982" s="158"/>
      <c r="AK982" s="158"/>
      <c r="AL982" s="158"/>
      <c r="AM982" s="158"/>
      <c r="AN982" s="158"/>
      <c r="AO982" s="50"/>
      <c r="AP982" s="50"/>
      <c r="AQ982" s="50"/>
      <c r="AR982" s="50"/>
      <c r="AS982" s="2">
        <v>1</v>
      </c>
      <c r="AT982" s="58" t="s">
        <v>646</v>
      </c>
      <c r="AU982" s="105"/>
      <c r="AV982" s="23"/>
      <c r="AW982" s="23">
        <v>1</v>
      </c>
      <c r="AX982" s="50"/>
      <c r="AY982" s="50"/>
      <c r="AZ982" s="50"/>
      <c r="BA982" s="50"/>
      <c r="BB982" s="293"/>
      <c r="BC982" s="293"/>
      <c r="BD982" s="270">
        <v>2017</v>
      </c>
      <c r="BE982" s="270"/>
      <c r="BF982" s="269"/>
    </row>
    <row r="983" spans="1:58" ht="15" hidden="1" customHeight="1">
      <c r="A983" s="160" t="s">
        <v>1</v>
      </c>
      <c r="B983" s="58" t="s">
        <v>320</v>
      </c>
      <c r="C983" s="122" t="s">
        <v>802</v>
      </c>
      <c r="D983" s="33" t="s">
        <v>588</v>
      </c>
      <c r="E983" s="33"/>
      <c r="F983" s="33"/>
      <c r="G983" s="33"/>
      <c r="H983" s="30" t="s">
        <v>657</v>
      </c>
      <c r="I983" s="30"/>
      <c r="J983" s="212"/>
      <c r="K983" s="23"/>
      <c r="L983" s="23"/>
      <c r="M983" s="23"/>
      <c r="N983" s="23"/>
      <c r="O983" s="23"/>
      <c r="P983" s="23"/>
      <c r="Q983" s="23"/>
      <c r="R983" s="23"/>
      <c r="S983" s="23"/>
      <c r="T983" s="586"/>
      <c r="U983" s="23"/>
      <c r="V983" s="311"/>
      <c r="W983" s="311"/>
      <c r="X983" s="311"/>
      <c r="Y983" s="94"/>
      <c r="Z983" s="23"/>
      <c r="AA983" s="23"/>
      <c r="AB983" s="23"/>
      <c r="AC983" s="23"/>
      <c r="AD983" s="158"/>
      <c r="AE983" s="158"/>
      <c r="AF983" s="158"/>
      <c r="AG983" s="158"/>
      <c r="AH983" s="158"/>
      <c r="AI983" s="158"/>
      <c r="AJ983" s="158"/>
      <c r="AK983" s="158"/>
      <c r="AL983" s="158"/>
      <c r="AM983" s="158"/>
      <c r="AN983" s="158"/>
      <c r="AO983" s="50"/>
      <c r="AP983" s="50"/>
      <c r="AQ983" s="50"/>
      <c r="AR983" s="50"/>
      <c r="AS983" s="2">
        <v>1</v>
      </c>
      <c r="AT983" s="58" t="s">
        <v>646</v>
      </c>
      <c r="AU983" s="105"/>
      <c r="AV983" s="23"/>
      <c r="AW983" s="23">
        <v>1</v>
      </c>
      <c r="AX983" s="50"/>
      <c r="AY983" s="50"/>
      <c r="AZ983" s="50"/>
      <c r="BA983" s="50"/>
      <c r="BB983" s="293"/>
      <c r="BC983" s="293"/>
      <c r="BD983" s="270">
        <v>2017</v>
      </c>
      <c r="BE983" s="270"/>
      <c r="BF983" s="269"/>
    </row>
    <row r="984" spans="1:58" ht="15" hidden="1" customHeight="1">
      <c r="A984" s="160" t="s">
        <v>1</v>
      </c>
      <c r="B984" s="58" t="s">
        <v>320</v>
      </c>
      <c r="C984" s="122" t="s">
        <v>811</v>
      </c>
      <c r="D984" s="33" t="s">
        <v>588</v>
      </c>
      <c r="E984" s="33"/>
      <c r="F984" s="33"/>
      <c r="G984" s="33"/>
      <c r="H984" s="30" t="s">
        <v>659</v>
      </c>
      <c r="I984" s="30"/>
      <c r="J984" s="212"/>
      <c r="K984" s="23"/>
      <c r="L984" s="23"/>
      <c r="M984" s="23"/>
      <c r="N984" s="23"/>
      <c r="O984" s="23"/>
      <c r="P984" s="23"/>
      <c r="Q984" s="23"/>
      <c r="R984" s="23"/>
      <c r="S984" s="23"/>
      <c r="T984" s="586"/>
      <c r="U984" s="23"/>
      <c r="V984" s="311"/>
      <c r="W984" s="311"/>
      <c r="X984" s="311"/>
      <c r="Y984" s="94"/>
      <c r="Z984" s="23"/>
      <c r="AA984" s="23"/>
      <c r="AB984" s="23"/>
      <c r="AC984" s="23"/>
      <c r="AD984" s="158"/>
      <c r="AE984" s="158"/>
      <c r="AF984" s="158"/>
      <c r="AG984" s="158"/>
      <c r="AH984" s="158"/>
      <c r="AI984" s="158"/>
      <c r="AJ984" s="158"/>
      <c r="AK984" s="158"/>
      <c r="AL984" s="158"/>
      <c r="AM984" s="158"/>
      <c r="AN984" s="158"/>
      <c r="AO984" s="50"/>
      <c r="AP984" s="50"/>
      <c r="AQ984" s="50"/>
      <c r="AR984" s="50"/>
      <c r="AS984" s="2">
        <v>1</v>
      </c>
      <c r="AT984" s="58" t="s">
        <v>646</v>
      </c>
      <c r="AU984" s="105"/>
      <c r="AV984" s="23"/>
      <c r="AW984" s="23">
        <v>1</v>
      </c>
      <c r="AX984" s="50"/>
      <c r="AY984" s="50"/>
      <c r="AZ984" s="50"/>
      <c r="BA984" s="50"/>
      <c r="BB984" s="293"/>
      <c r="BC984" s="293"/>
      <c r="BD984" s="270">
        <v>2017</v>
      </c>
      <c r="BE984" s="270"/>
      <c r="BF984" s="269"/>
    </row>
    <row r="985" spans="1:58" ht="15" hidden="1" customHeight="1">
      <c r="A985" s="160" t="s">
        <v>1</v>
      </c>
      <c r="B985" s="58" t="s">
        <v>320</v>
      </c>
      <c r="C985" s="122" t="s">
        <v>586</v>
      </c>
      <c r="D985" s="33" t="s">
        <v>588</v>
      </c>
      <c r="E985" s="33"/>
      <c r="F985" s="33"/>
      <c r="G985" s="33"/>
      <c r="H985" s="30" t="s">
        <v>663</v>
      </c>
      <c r="I985" s="30"/>
      <c r="J985" s="212"/>
      <c r="K985" s="23"/>
      <c r="L985" s="23"/>
      <c r="M985" s="23"/>
      <c r="N985" s="23"/>
      <c r="O985" s="23"/>
      <c r="P985" s="23"/>
      <c r="Q985" s="23"/>
      <c r="R985" s="23"/>
      <c r="S985" s="23"/>
      <c r="T985" s="586"/>
      <c r="U985" s="23"/>
      <c r="V985" s="311"/>
      <c r="W985" s="311"/>
      <c r="X985" s="311"/>
      <c r="Y985" s="94"/>
      <c r="Z985" s="23"/>
      <c r="AA985" s="23"/>
      <c r="AB985" s="23"/>
      <c r="AC985" s="23"/>
      <c r="AD985" s="158"/>
      <c r="AE985" s="158"/>
      <c r="AF985" s="158"/>
      <c r="AG985" s="158"/>
      <c r="AH985" s="158"/>
      <c r="AI985" s="158"/>
      <c r="AJ985" s="158"/>
      <c r="AK985" s="158"/>
      <c r="AL985" s="158"/>
      <c r="AM985" s="158"/>
      <c r="AN985" s="158"/>
      <c r="AO985" s="50"/>
      <c r="AP985" s="50"/>
      <c r="AQ985" s="50"/>
      <c r="AR985" s="50"/>
      <c r="AS985" s="2">
        <v>1</v>
      </c>
      <c r="AT985" s="58" t="s">
        <v>646</v>
      </c>
      <c r="AU985" s="105"/>
      <c r="AV985" s="23"/>
      <c r="AW985" s="23">
        <v>1</v>
      </c>
      <c r="AX985" s="50"/>
      <c r="AY985" s="50"/>
      <c r="AZ985" s="50"/>
      <c r="BA985" s="50"/>
      <c r="BB985" s="293"/>
      <c r="BC985" s="293"/>
      <c r="BD985" s="270">
        <v>2017</v>
      </c>
      <c r="BE985" s="270"/>
      <c r="BF985" s="269"/>
    </row>
    <row r="986" spans="1:58" ht="15" hidden="1" customHeight="1">
      <c r="A986" s="160" t="s">
        <v>1</v>
      </c>
      <c r="B986" s="58" t="s">
        <v>320</v>
      </c>
      <c r="C986" s="122" t="s">
        <v>812</v>
      </c>
      <c r="D986" s="33" t="s">
        <v>588</v>
      </c>
      <c r="E986" s="33"/>
      <c r="F986" s="33"/>
      <c r="G986" s="33"/>
      <c r="H986" s="30" t="s">
        <v>657</v>
      </c>
      <c r="I986" s="30"/>
      <c r="J986" s="212"/>
      <c r="K986" s="23"/>
      <c r="L986" s="23"/>
      <c r="M986" s="23"/>
      <c r="N986" s="23"/>
      <c r="O986" s="23"/>
      <c r="P986" s="23"/>
      <c r="Q986" s="23"/>
      <c r="R986" s="23"/>
      <c r="S986" s="23"/>
      <c r="T986" s="586"/>
      <c r="U986" s="23"/>
      <c r="V986" s="311"/>
      <c r="W986" s="311"/>
      <c r="X986" s="311"/>
      <c r="Y986" s="94"/>
      <c r="Z986" s="23"/>
      <c r="AA986" s="23"/>
      <c r="AB986" s="23"/>
      <c r="AC986" s="23"/>
      <c r="AD986" s="158"/>
      <c r="AE986" s="158"/>
      <c r="AF986" s="158"/>
      <c r="AG986" s="158"/>
      <c r="AH986" s="158"/>
      <c r="AI986" s="158"/>
      <c r="AJ986" s="158"/>
      <c r="AK986" s="158"/>
      <c r="AL986" s="158"/>
      <c r="AM986" s="158"/>
      <c r="AN986" s="158"/>
      <c r="AO986" s="50"/>
      <c r="AP986" s="50"/>
      <c r="AQ986" s="50"/>
      <c r="AR986" s="50"/>
      <c r="AS986" s="2">
        <v>1</v>
      </c>
      <c r="AT986" s="58" t="s">
        <v>646</v>
      </c>
      <c r="AU986" s="105" t="s">
        <v>675</v>
      </c>
      <c r="AV986" s="23"/>
      <c r="AW986" s="23">
        <v>1</v>
      </c>
      <c r="AX986" s="50"/>
      <c r="AY986" s="50"/>
      <c r="AZ986" s="50"/>
      <c r="BA986" s="50"/>
      <c r="BB986" s="293"/>
      <c r="BC986" s="293"/>
      <c r="BD986" s="270">
        <v>2017</v>
      </c>
      <c r="BE986" s="270"/>
      <c r="BF986" s="269"/>
    </row>
    <row r="987" spans="1:58" ht="15" hidden="1" customHeight="1">
      <c r="A987" s="160" t="s">
        <v>1</v>
      </c>
      <c r="B987" s="58" t="s">
        <v>320</v>
      </c>
      <c r="C987" s="122" t="s">
        <v>813</v>
      </c>
      <c r="D987" s="33" t="s">
        <v>387</v>
      </c>
      <c r="E987" s="33"/>
      <c r="F987" s="33"/>
      <c r="G987" s="33"/>
      <c r="H987" s="30" t="s">
        <v>663</v>
      </c>
      <c r="I987" s="30"/>
      <c r="J987" s="212"/>
      <c r="K987" s="23"/>
      <c r="L987" s="23"/>
      <c r="M987" s="23"/>
      <c r="N987" s="23"/>
      <c r="O987" s="23"/>
      <c r="P987" s="23"/>
      <c r="Q987" s="23"/>
      <c r="R987" s="23"/>
      <c r="S987" s="23"/>
      <c r="T987" s="586"/>
      <c r="U987" s="23"/>
      <c r="V987" s="311"/>
      <c r="W987" s="311"/>
      <c r="X987" s="311"/>
      <c r="Y987" s="94"/>
      <c r="Z987" s="23"/>
      <c r="AA987" s="23"/>
      <c r="AB987" s="23"/>
      <c r="AC987" s="23"/>
      <c r="AD987" s="158"/>
      <c r="AE987" s="158"/>
      <c r="AF987" s="158"/>
      <c r="AG987" s="158"/>
      <c r="AH987" s="158"/>
      <c r="AI987" s="158"/>
      <c r="AJ987" s="158"/>
      <c r="AK987" s="158"/>
      <c r="AL987" s="158"/>
      <c r="AM987" s="158"/>
      <c r="AN987" s="158"/>
      <c r="AO987" s="23"/>
      <c r="AP987" s="23"/>
      <c r="AQ987" s="23"/>
      <c r="AR987" s="23"/>
      <c r="AS987" s="2">
        <v>1</v>
      </c>
      <c r="AT987" s="58" t="s">
        <v>646</v>
      </c>
      <c r="AU987" s="105" t="s">
        <v>675</v>
      </c>
      <c r="AV987" s="23"/>
      <c r="AW987" s="23">
        <v>1</v>
      </c>
      <c r="AX987" s="23"/>
      <c r="AY987" s="23"/>
      <c r="AZ987" s="23"/>
      <c r="BA987" s="23"/>
      <c r="BB987" s="223"/>
      <c r="BC987" s="223"/>
      <c r="BD987" s="270">
        <v>2017</v>
      </c>
      <c r="BE987" s="270"/>
      <c r="BF987" s="269"/>
    </row>
    <row r="988" spans="1:58" s="204" customFormat="1" ht="18" customHeight="1">
      <c r="A988" s="160" t="s">
        <v>1</v>
      </c>
      <c r="B988" s="58" t="s">
        <v>320</v>
      </c>
      <c r="C988" s="122" t="s">
        <v>590</v>
      </c>
      <c r="D988" s="33" t="s">
        <v>387</v>
      </c>
      <c r="E988" s="33"/>
      <c r="F988" s="33"/>
      <c r="G988" s="33"/>
      <c r="H988" s="30" t="s">
        <v>663</v>
      </c>
      <c r="I988" s="30">
        <v>755</v>
      </c>
      <c r="J988" s="212">
        <v>41367</v>
      </c>
      <c r="K988" s="23"/>
      <c r="L988" s="23"/>
      <c r="M988" s="23">
        <v>1</v>
      </c>
      <c r="N988" s="23">
        <v>1</v>
      </c>
      <c r="O988" s="23"/>
      <c r="P988" s="23">
        <v>47193370</v>
      </c>
      <c r="Q988" s="23"/>
      <c r="R988" s="23"/>
      <c r="S988" s="23"/>
      <c r="T988" s="586"/>
      <c r="U988" s="23"/>
      <c r="V988" s="311"/>
      <c r="W988" s="311"/>
      <c r="X988" s="311"/>
      <c r="Y988" s="94"/>
      <c r="Z988" s="23"/>
      <c r="AA988" s="23"/>
      <c r="AB988" s="23"/>
      <c r="AC988" s="23"/>
      <c r="AD988" s="158"/>
      <c r="AE988" s="158">
        <f>P988-T988-Y988</f>
        <v>47193370</v>
      </c>
      <c r="AF988" s="158"/>
      <c r="AG988" s="94">
        <v>0</v>
      </c>
      <c r="AH988" s="94"/>
      <c r="AI988" s="94"/>
      <c r="AJ988" s="158">
        <f t="shared" ref="AJ988:AJ989" si="163">AE988+AG988</f>
        <v>47193370</v>
      </c>
      <c r="AK988" s="158"/>
      <c r="AL988" s="158"/>
      <c r="AM988" s="158">
        <v>1</v>
      </c>
      <c r="AN988" s="158"/>
      <c r="AO988" s="23"/>
      <c r="AP988" s="23"/>
      <c r="AQ988" s="23"/>
      <c r="AR988" s="23"/>
      <c r="AS988" s="2">
        <v>0</v>
      </c>
      <c r="AT988" s="58" t="s">
        <v>521</v>
      </c>
      <c r="AU988" s="398" t="s">
        <v>814</v>
      </c>
      <c r="AV988" s="23"/>
      <c r="AW988" s="23"/>
      <c r="AX988" s="23"/>
      <c r="AY988" s="23"/>
      <c r="AZ988" s="23"/>
      <c r="BA988" s="23"/>
      <c r="BB988" s="223"/>
      <c r="BC988" s="223"/>
      <c r="BD988" s="271"/>
      <c r="BE988" s="271">
        <v>2019</v>
      </c>
      <c r="BF988" s="271">
        <v>2020</v>
      </c>
    </row>
    <row r="989" spans="1:58" s="204" customFormat="1" ht="18" customHeight="1">
      <c r="A989" s="160" t="s">
        <v>1</v>
      </c>
      <c r="B989" s="58" t="s">
        <v>320</v>
      </c>
      <c r="C989" s="122" t="s">
        <v>587</v>
      </c>
      <c r="D989" s="33" t="s">
        <v>387</v>
      </c>
      <c r="E989" s="33"/>
      <c r="F989" s="33"/>
      <c r="G989" s="33"/>
      <c r="H989" s="30" t="s">
        <v>663</v>
      </c>
      <c r="I989" s="30">
        <v>734</v>
      </c>
      <c r="J989" s="212">
        <v>41365</v>
      </c>
      <c r="K989" s="23"/>
      <c r="L989" s="23"/>
      <c r="M989" s="23">
        <v>1</v>
      </c>
      <c r="N989" s="23">
        <v>1</v>
      </c>
      <c r="O989" s="23"/>
      <c r="P989" s="158">
        <v>42424207</v>
      </c>
      <c r="Q989" s="23"/>
      <c r="R989" s="23"/>
      <c r="S989" s="23"/>
      <c r="T989" s="586">
        <f>42417575+6632</f>
        <v>42424207</v>
      </c>
      <c r="U989" s="23"/>
      <c r="V989" s="481"/>
      <c r="W989" s="481"/>
      <c r="X989" s="481"/>
      <c r="Y989" s="94"/>
      <c r="Z989" s="23"/>
      <c r="AA989" s="23"/>
      <c r="AB989" s="23"/>
      <c r="AC989" s="23"/>
      <c r="AD989" s="158"/>
      <c r="AE989" s="158">
        <f>P989-T989-Y989</f>
        <v>0</v>
      </c>
      <c r="AF989" s="158"/>
      <c r="AG989" s="94">
        <v>0</v>
      </c>
      <c r="AH989" s="94"/>
      <c r="AI989" s="94"/>
      <c r="AJ989" s="158">
        <f t="shared" si="163"/>
        <v>0</v>
      </c>
      <c r="AK989" s="158"/>
      <c r="AL989" s="158"/>
      <c r="AM989" s="158"/>
      <c r="AN989" s="158">
        <v>1</v>
      </c>
      <c r="AO989" s="23"/>
      <c r="AP989" s="23"/>
      <c r="AQ989" s="23"/>
      <c r="AR989" s="23"/>
      <c r="AS989" s="2">
        <v>0.45</v>
      </c>
      <c r="AT989" s="58" t="s">
        <v>38</v>
      </c>
      <c r="AU989" s="482" t="s">
        <v>2203</v>
      </c>
      <c r="AV989" s="23"/>
      <c r="AW989" s="23"/>
      <c r="AX989" s="50"/>
      <c r="AY989" s="50"/>
      <c r="AZ989" s="50"/>
      <c r="BA989" s="50"/>
      <c r="BB989" s="293"/>
      <c r="BC989" s="293"/>
      <c r="BD989" s="271"/>
      <c r="BE989" s="271">
        <v>2019</v>
      </c>
      <c r="BF989" s="271">
        <v>2020</v>
      </c>
    </row>
    <row r="990" spans="1:58" ht="15" hidden="1" customHeight="1">
      <c r="A990" s="160" t="s">
        <v>1</v>
      </c>
      <c r="B990" s="58" t="s">
        <v>320</v>
      </c>
      <c r="C990" s="122" t="s">
        <v>633</v>
      </c>
      <c r="D990" s="33" t="s">
        <v>319</v>
      </c>
      <c r="E990" s="33"/>
      <c r="F990" s="33"/>
      <c r="G990" s="33"/>
      <c r="H990" s="30" t="s">
        <v>663</v>
      </c>
      <c r="I990" s="30"/>
      <c r="J990" s="212"/>
      <c r="K990" s="23"/>
      <c r="L990" s="23"/>
      <c r="M990" s="23"/>
      <c r="N990" s="23"/>
      <c r="O990" s="23"/>
      <c r="P990" s="23"/>
      <c r="Q990" s="23"/>
      <c r="R990" s="23"/>
      <c r="S990" s="23"/>
      <c r="T990" s="586"/>
      <c r="U990" s="23"/>
      <c r="V990" s="311"/>
      <c r="W990" s="311"/>
      <c r="X990" s="311"/>
      <c r="Y990" s="94"/>
      <c r="Z990" s="23"/>
      <c r="AA990" s="23"/>
      <c r="AB990" s="23"/>
      <c r="AC990" s="23"/>
      <c r="AD990" s="158"/>
      <c r="AE990" s="158"/>
      <c r="AF990" s="158"/>
      <c r="AG990" s="158"/>
      <c r="AH990" s="158"/>
      <c r="AI990" s="158"/>
      <c r="AJ990" s="158"/>
      <c r="AK990" s="158"/>
      <c r="AL990" s="158"/>
      <c r="AM990" s="158"/>
      <c r="AN990" s="158"/>
      <c r="AO990" s="50"/>
      <c r="AP990" s="50"/>
      <c r="AQ990" s="50"/>
      <c r="AR990" s="50"/>
      <c r="AS990" s="2">
        <v>1</v>
      </c>
      <c r="AT990" s="58" t="s">
        <v>646</v>
      </c>
      <c r="AU990" s="105" t="s">
        <v>1045</v>
      </c>
      <c r="AV990" s="23"/>
      <c r="AW990" s="23">
        <v>1</v>
      </c>
      <c r="AX990" s="50"/>
      <c r="AY990" s="50"/>
      <c r="AZ990" s="50"/>
      <c r="BA990" s="50"/>
      <c r="BB990" s="293"/>
      <c r="BC990" s="293"/>
      <c r="BD990" s="270">
        <v>2017</v>
      </c>
      <c r="BE990" s="270"/>
      <c r="BF990" s="268"/>
    </row>
    <row r="991" spans="1:58" ht="15" hidden="1" customHeight="1">
      <c r="A991" s="160" t="s">
        <v>1</v>
      </c>
      <c r="B991" s="58" t="s">
        <v>320</v>
      </c>
      <c r="C991" s="122" t="s">
        <v>597</v>
      </c>
      <c r="D991" s="33" t="s">
        <v>519</v>
      </c>
      <c r="E991" s="33"/>
      <c r="F991" s="33"/>
      <c r="G991" s="33"/>
      <c r="H991" s="30" t="s">
        <v>647</v>
      </c>
      <c r="I991" s="30"/>
      <c r="J991" s="212"/>
      <c r="K991" s="23"/>
      <c r="L991" s="23"/>
      <c r="M991" s="23"/>
      <c r="N991" s="23"/>
      <c r="O991" s="23"/>
      <c r="P991" s="23"/>
      <c r="Q991" s="23"/>
      <c r="R991" s="23"/>
      <c r="S991" s="23"/>
      <c r="T991" s="586"/>
      <c r="U991" s="23"/>
      <c r="V991" s="311"/>
      <c r="W991" s="311"/>
      <c r="X991" s="311"/>
      <c r="Y991" s="94"/>
      <c r="Z991" s="23"/>
      <c r="AA991" s="23"/>
      <c r="AB991" s="23"/>
      <c r="AC991" s="23"/>
      <c r="AD991" s="158"/>
      <c r="AE991" s="158"/>
      <c r="AF991" s="158"/>
      <c r="AG991" s="158"/>
      <c r="AH991" s="158"/>
      <c r="AI991" s="158"/>
      <c r="AJ991" s="158"/>
      <c r="AK991" s="158"/>
      <c r="AL991" s="158"/>
      <c r="AM991" s="158"/>
      <c r="AN991" s="158"/>
      <c r="AO991" s="23"/>
      <c r="AP991" s="23"/>
      <c r="AQ991" s="23"/>
      <c r="AR991" s="23"/>
      <c r="AS991" s="2">
        <v>1</v>
      </c>
      <c r="AT991" s="58" t="s">
        <v>646</v>
      </c>
      <c r="AU991" s="105"/>
      <c r="AV991" s="23"/>
      <c r="AW991" s="23">
        <v>1</v>
      </c>
      <c r="AX991" s="23"/>
      <c r="AY991" s="23"/>
      <c r="AZ991" s="23"/>
      <c r="BA991" s="23"/>
      <c r="BB991" s="223"/>
      <c r="BC991" s="223"/>
      <c r="BD991" s="270">
        <v>2017</v>
      </c>
      <c r="BE991" s="270"/>
      <c r="BF991" s="268"/>
    </row>
    <row r="992" spans="1:58" ht="15" hidden="1" customHeight="1">
      <c r="A992" s="160" t="s">
        <v>1</v>
      </c>
      <c r="B992" s="58" t="s">
        <v>320</v>
      </c>
      <c r="C992" s="122" t="s">
        <v>598</v>
      </c>
      <c r="D992" s="33" t="s">
        <v>519</v>
      </c>
      <c r="E992" s="33"/>
      <c r="F992" s="33"/>
      <c r="G992" s="33"/>
      <c r="H992" s="30" t="s">
        <v>647</v>
      </c>
      <c r="I992" s="30"/>
      <c r="J992" s="212"/>
      <c r="K992" s="23"/>
      <c r="L992" s="23"/>
      <c r="M992" s="23"/>
      <c r="N992" s="23"/>
      <c r="O992" s="23"/>
      <c r="P992" s="23"/>
      <c r="Q992" s="23"/>
      <c r="R992" s="23"/>
      <c r="S992" s="23"/>
      <c r="T992" s="586"/>
      <c r="U992" s="23"/>
      <c r="V992" s="311"/>
      <c r="W992" s="311"/>
      <c r="X992" s="311"/>
      <c r="Y992" s="94"/>
      <c r="Z992" s="23"/>
      <c r="AA992" s="23"/>
      <c r="AB992" s="23"/>
      <c r="AC992" s="23"/>
      <c r="AD992" s="158"/>
      <c r="AE992" s="158"/>
      <c r="AF992" s="158"/>
      <c r="AG992" s="158"/>
      <c r="AH992" s="158"/>
      <c r="AI992" s="158"/>
      <c r="AJ992" s="158"/>
      <c r="AK992" s="158"/>
      <c r="AL992" s="158"/>
      <c r="AM992" s="158"/>
      <c r="AN992" s="158"/>
      <c r="AO992" s="23"/>
      <c r="AP992" s="23"/>
      <c r="AQ992" s="23"/>
      <c r="AR992" s="23"/>
      <c r="AS992" s="2">
        <v>1</v>
      </c>
      <c r="AT992" s="58" t="s">
        <v>646</v>
      </c>
      <c r="AU992" s="105" t="s">
        <v>676</v>
      </c>
      <c r="AV992" s="23"/>
      <c r="AW992" s="23">
        <v>1</v>
      </c>
      <c r="AX992" s="23"/>
      <c r="AY992" s="23"/>
      <c r="AZ992" s="23"/>
      <c r="BA992" s="23"/>
      <c r="BB992" s="223"/>
      <c r="BC992" s="223"/>
      <c r="BD992" s="270">
        <v>2017</v>
      </c>
      <c r="BE992" s="270"/>
      <c r="BF992" s="268"/>
    </row>
    <row r="993" spans="1:58" ht="15" hidden="1" customHeight="1">
      <c r="A993" s="160" t="s">
        <v>1</v>
      </c>
      <c r="B993" s="58" t="s">
        <v>320</v>
      </c>
      <c r="C993" s="122" t="s">
        <v>599</v>
      </c>
      <c r="D993" s="33" t="s">
        <v>519</v>
      </c>
      <c r="E993" s="33"/>
      <c r="F993" s="33"/>
      <c r="G993" s="33"/>
      <c r="H993" s="30" t="s">
        <v>686</v>
      </c>
      <c r="I993" s="30"/>
      <c r="J993" s="212"/>
      <c r="K993" s="23"/>
      <c r="L993" s="23"/>
      <c r="M993" s="23"/>
      <c r="N993" s="23"/>
      <c r="O993" s="23"/>
      <c r="P993" s="23"/>
      <c r="Q993" s="23"/>
      <c r="R993" s="23"/>
      <c r="S993" s="23"/>
      <c r="T993" s="586"/>
      <c r="U993" s="23"/>
      <c r="V993" s="311"/>
      <c r="W993" s="311"/>
      <c r="X993" s="311"/>
      <c r="Y993" s="94"/>
      <c r="Z993" s="23"/>
      <c r="AA993" s="23"/>
      <c r="AB993" s="23"/>
      <c r="AC993" s="23"/>
      <c r="AD993" s="158"/>
      <c r="AE993" s="158"/>
      <c r="AF993" s="158"/>
      <c r="AG993" s="158"/>
      <c r="AH993" s="158"/>
      <c r="AI993" s="158"/>
      <c r="AJ993" s="158"/>
      <c r="AK993" s="158"/>
      <c r="AL993" s="158"/>
      <c r="AM993" s="158"/>
      <c r="AN993" s="158"/>
      <c r="AO993" s="23"/>
      <c r="AP993" s="23"/>
      <c r="AQ993" s="23"/>
      <c r="AR993" s="23"/>
      <c r="AS993" s="2">
        <v>1</v>
      </c>
      <c r="AT993" s="58" t="s">
        <v>646</v>
      </c>
      <c r="AU993" s="105"/>
      <c r="AV993" s="23"/>
      <c r="AW993" s="23">
        <v>1</v>
      </c>
      <c r="AX993" s="23"/>
      <c r="AY993" s="23"/>
      <c r="AZ993" s="23"/>
      <c r="BA993" s="23"/>
      <c r="BB993" s="223"/>
      <c r="BC993" s="223"/>
      <c r="BD993" s="270">
        <v>2017</v>
      </c>
      <c r="BE993" s="270"/>
      <c r="BF993" s="268"/>
    </row>
    <row r="994" spans="1:58" ht="15" hidden="1" customHeight="1">
      <c r="A994" s="160" t="s">
        <v>1</v>
      </c>
      <c r="B994" s="58" t="s">
        <v>320</v>
      </c>
      <c r="C994" s="122" t="s">
        <v>600</v>
      </c>
      <c r="D994" s="33" t="s">
        <v>519</v>
      </c>
      <c r="E994" s="33"/>
      <c r="F994" s="33"/>
      <c r="G994" s="33"/>
      <c r="H994" s="30" t="s">
        <v>647</v>
      </c>
      <c r="I994" s="30"/>
      <c r="J994" s="212"/>
      <c r="K994" s="23"/>
      <c r="L994" s="23"/>
      <c r="M994" s="23"/>
      <c r="N994" s="23"/>
      <c r="O994" s="23"/>
      <c r="P994" s="23"/>
      <c r="Q994" s="23"/>
      <c r="R994" s="23"/>
      <c r="S994" s="23"/>
      <c r="T994" s="586"/>
      <c r="U994" s="23"/>
      <c r="V994" s="311"/>
      <c r="W994" s="311"/>
      <c r="X994" s="311"/>
      <c r="Y994" s="94"/>
      <c r="Z994" s="23"/>
      <c r="AA994" s="23"/>
      <c r="AB994" s="23"/>
      <c r="AC994" s="23"/>
      <c r="AD994" s="158"/>
      <c r="AE994" s="158"/>
      <c r="AF994" s="158"/>
      <c r="AG994" s="158"/>
      <c r="AH994" s="158"/>
      <c r="AI994" s="158"/>
      <c r="AJ994" s="158"/>
      <c r="AK994" s="158"/>
      <c r="AL994" s="158"/>
      <c r="AM994" s="158"/>
      <c r="AN994" s="158"/>
      <c r="AO994" s="23"/>
      <c r="AP994" s="23"/>
      <c r="AQ994" s="23"/>
      <c r="AR994" s="23"/>
      <c r="AS994" s="2">
        <v>1</v>
      </c>
      <c r="AT994" s="58" t="s">
        <v>646</v>
      </c>
      <c r="AU994" s="105"/>
      <c r="AV994" s="23"/>
      <c r="AW994" s="23">
        <v>1</v>
      </c>
      <c r="AX994" s="23"/>
      <c r="AY994" s="23"/>
      <c r="AZ994" s="23"/>
      <c r="BA994" s="23"/>
      <c r="BB994" s="223"/>
      <c r="BC994" s="223"/>
      <c r="BD994" s="270">
        <v>2017</v>
      </c>
      <c r="BE994" s="270"/>
      <c r="BF994" s="268"/>
    </row>
    <row r="995" spans="1:58" ht="15" hidden="1" customHeight="1">
      <c r="A995" s="160" t="s">
        <v>1</v>
      </c>
      <c r="B995" s="58" t="s">
        <v>320</v>
      </c>
      <c r="C995" s="122" t="s">
        <v>601</v>
      </c>
      <c r="D995" s="33" t="s">
        <v>519</v>
      </c>
      <c r="E995" s="33"/>
      <c r="F995" s="33"/>
      <c r="G995" s="33"/>
      <c r="H995" s="30" t="s">
        <v>647</v>
      </c>
      <c r="I995" s="30"/>
      <c r="J995" s="212"/>
      <c r="K995" s="23"/>
      <c r="L995" s="23"/>
      <c r="M995" s="23"/>
      <c r="N995" s="23"/>
      <c r="O995" s="23"/>
      <c r="P995" s="23"/>
      <c r="Q995" s="23"/>
      <c r="R995" s="23"/>
      <c r="S995" s="23"/>
      <c r="T995" s="586"/>
      <c r="U995" s="23"/>
      <c r="V995" s="311"/>
      <c r="W995" s="311"/>
      <c r="X995" s="311"/>
      <c r="Y995" s="94"/>
      <c r="Z995" s="23"/>
      <c r="AA995" s="23"/>
      <c r="AB995" s="23"/>
      <c r="AC995" s="23"/>
      <c r="AD995" s="158"/>
      <c r="AE995" s="158"/>
      <c r="AF995" s="158"/>
      <c r="AG995" s="158"/>
      <c r="AH995" s="158"/>
      <c r="AI995" s="158"/>
      <c r="AJ995" s="158"/>
      <c r="AK995" s="158"/>
      <c r="AL995" s="158"/>
      <c r="AM995" s="158"/>
      <c r="AN995" s="158"/>
      <c r="AO995" s="23"/>
      <c r="AP995" s="23"/>
      <c r="AQ995" s="23"/>
      <c r="AR995" s="23"/>
      <c r="AS995" s="2">
        <v>1</v>
      </c>
      <c r="AT995" s="58" t="s">
        <v>646</v>
      </c>
      <c r="AU995" s="105"/>
      <c r="AV995" s="23"/>
      <c r="AW995" s="23">
        <v>1</v>
      </c>
      <c r="AX995" s="23"/>
      <c r="AY995" s="23"/>
      <c r="AZ995" s="23"/>
      <c r="BA995" s="23"/>
      <c r="BB995" s="223"/>
      <c r="BC995" s="223"/>
      <c r="BD995" s="270">
        <v>2017</v>
      </c>
      <c r="BE995" s="270"/>
      <c r="BF995" s="268"/>
    </row>
    <row r="996" spans="1:58" ht="15" hidden="1" customHeight="1">
      <c r="A996" s="160" t="s">
        <v>1</v>
      </c>
      <c r="B996" s="58" t="s">
        <v>320</v>
      </c>
      <c r="C996" s="122" t="s">
        <v>602</v>
      </c>
      <c r="D996" s="33" t="s">
        <v>519</v>
      </c>
      <c r="E996" s="33"/>
      <c r="F996" s="33"/>
      <c r="G996" s="33"/>
      <c r="H996" s="30" t="s">
        <v>647</v>
      </c>
      <c r="I996" s="30"/>
      <c r="J996" s="212"/>
      <c r="K996" s="23"/>
      <c r="L996" s="23"/>
      <c r="M996" s="23"/>
      <c r="N996" s="23"/>
      <c r="O996" s="23"/>
      <c r="P996" s="23"/>
      <c r="Q996" s="23"/>
      <c r="R996" s="23"/>
      <c r="S996" s="23"/>
      <c r="T996" s="586"/>
      <c r="U996" s="23"/>
      <c r="V996" s="311"/>
      <c r="W996" s="311"/>
      <c r="X996" s="311"/>
      <c r="Y996" s="94"/>
      <c r="Z996" s="23"/>
      <c r="AA996" s="23"/>
      <c r="AB996" s="23"/>
      <c r="AC996" s="23"/>
      <c r="AD996" s="158"/>
      <c r="AE996" s="158"/>
      <c r="AF996" s="158"/>
      <c r="AG996" s="158"/>
      <c r="AH996" s="158"/>
      <c r="AI996" s="158"/>
      <c r="AJ996" s="158"/>
      <c r="AK996" s="158"/>
      <c r="AL996" s="158"/>
      <c r="AM996" s="158"/>
      <c r="AN996" s="158"/>
      <c r="AO996" s="23"/>
      <c r="AP996" s="23"/>
      <c r="AQ996" s="23"/>
      <c r="AR996" s="23"/>
      <c r="AS996" s="2">
        <v>1</v>
      </c>
      <c r="AT996" s="58" t="s">
        <v>646</v>
      </c>
      <c r="AU996" s="105"/>
      <c r="AV996" s="23"/>
      <c r="AW996" s="23">
        <v>1</v>
      </c>
      <c r="AX996" s="23"/>
      <c r="AY996" s="23"/>
      <c r="AZ996" s="23"/>
      <c r="BA996" s="23"/>
      <c r="BB996" s="223"/>
      <c r="BC996" s="223"/>
      <c r="BD996" s="270">
        <v>2017</v>
      </c>
      <c r="BE996" s="270"/>
      <c r="BF996" s="268"/>
    </row>
    <row r="997" spans="1:58" ht="15" hidden="1" customHeight="1">
      <c r="A997" s="160" t="s">
        <v>1</v>
      </c>
      <c r="B997" s="58" t="s">
        <v>320</v>
      </c>
      <c r="C997" s="122" t="s">
        <v>603</v>
      </c>
      <c r="D997" s="33" t="s">
        <v>519</v>
      </c>
      <c r="E997" s="33"/>
      <c r="F997" s="33"/>
      <c r="G997" s="33"/>
      <c r="H997" s="30" t="s">
        <v>647</v>
      </c>
      <c r="I997" s="30"/>
      <c r="J997" s="212"/>
      <c r="K997" s="23"/>
      <c r="L997" s="23"/>
      <c r="M997" s="23"/>
      <c r="N997" s="23"/>
      <c r="O997" s="23"/>
      <c r="P997" s="23"/>
      <c r="Q997" s="23"/>
      <c r="R997" s="23"/>
      <c r="S997" s="23"/>
      <c r="T997" s="586"/>
      <c r="U997" s="23"/>
      <c r="V997" s="311"/>
      <c r="W997" s="311"/>
      <c r="X997" s="311"/>
      <c r="Y997" s="94"/>
      <c r="Z997" s="23"/>
      <c r="AA997" s="23"/>
      <c r="AB997" s="23"/>
      <c r="AC997" s="23"/>
      <c r="AD997" s="158"/>
      <c r="AE997" s="158"/>
      <c r="AF997" s="158"/>
      <c r="AG997" s="158"/>
      <c r="AH997" s="158"/>
      <c r="AI997" s="158"/>
      <c r="AJ997" s="158"/>
      <c r="AK997" s="158"/>
      <c r="AL997" s="158"/>
      <c r="AM997" s="158"/>
      <c r="AN997" s="158"/>
      <c r="AO997" s="23"/>
      <c r="AP997" s="23"/>
      <c r="AQ997" s="23"/>
      <c r="AR997" s="23"/>
      <c r="AS997" s="2">
        <v>1</v>
      </c>
      <c r="AT997" s="58" t="s">
        <v>646</v>
      </c>
      <c r="AU997" s="105"/>
      <c r="AV997" s="23"/>
      <c r="AW997" s="23">
        <v>1</v>
      </c>
      <c r="AX997" s="23"/>
      <c r="AY997" s="23"/>
      <c r="AZ997" s="23"/>
      <c r="BA997" s="23"/>
      <c r="BB997" s="223"/>
      <c r="BC997" s="223"/>
      <c r="BD997" s="270">
        <v>2017</v>
      </c>
      <c r="BE997" s="270"/>
      <c r="BF997" s="268"/>
    </row>
    <row r="998" spans="1:58" ht="15" hidden="1" customHeight="1">
      <c r="A998" s="160" t="s">
        <v>1</v>
      </c>
      <c r="B998" s="58" t="s">
        <v>320</v>
      </c>
      <c r="C998" s="122" t="s">
        <v>604</v>
      </c>
      <c r="D998" s="33" t="s">
        <v>519</v>
      </c>
      <c r="E998" s="33"/>
      <c r="F998" s="33"/>
      <c r="G998" s="33"/>
      <c r="H998" s="30" t="s">
        <v>647</v>
      </c>
      <c r="I998" s="30"/>
      <c r="J998" s="212"/>
      <c r="K998" s="23"/>
      <c r="L998" s="23"/>
      <c r="M998" s="23"/>
      <c r="N998" s="23"/>
      <c r="O998" s="23"/>
      <c r="P998" s="23"/>
      <c r="Q998" s="23"/>
      <c r="R998" s="23"/>
      <c r="S998" s="23"/>
      <c r="T998" s="586"/>
      <c r="U998" s="23"/>
      <c r="V998" s="311"/>
      <c r="W998" s="311"/>
      <c r="X998" s="311"/>
      <c r="Y998" s="94"/>
      <c r="Z998" s="23"/>
      <c r="AA998" s="23"/>
      <c r="AB998" s="23"/>
      <c r="AC998" s="23"/>
      <c r="AD998" s="158"/>
      <c r="AE998" s="158"/>
      <c r="AF998" s="158"/>
      <c r="AG998" s="158"/>
      <c r="AH998" s="158"/>
      <c r="AI998" s="158"/>
      <c r="AJ998" s="158"/>
      <c r="AK998" s="158"/>
      <c r="AL998" s="158"/>
      <c r="AM998" s="158"/>
      <c r="AN998" s="158"/>
      <c r="AO998" s="23"/>
      <c r="AP998" s="23"/>
      <c r="AQ998" s="23"/>
      <c r="AR998" s="23"/>
      <c r="AS998" s="2">
        <v>1</v>
      </c>
      <c r="AT998" s="58" t="s">
        <v>646</v>
      </c>
      <c r="AU998" s="105"/>
      <c r="AV998" s="23"/>
      <c r="AW998" s="23">
        <v>1</v>
      </c>
      <c r="AX998" s="23"/>
      <c r="AY998" s="23"/>
      <c r="AZ998" s="23"/>
      <c r="BA998" s="23"/>
      <c r="BB998" s="223"/>
      <c r="BC998" s="223"/>
      <c r="BD998" s="270">
        <v>2017</v>
      </c>
      <c r="BE998" s="270"/>
      <c r="BF998" s="268"/>
    </row>
    <row r="999" spans="1:58" ht="15" hidden="1" customHeight="1">
      <c r="A999" s="160" t="s">
        <v>1</v>
      </c>
      <c r="B999" s="58" t="s">
        <v>320</v>
      </c>
      <c r="C999" s="122" t="s">
        <v>605</v>
      </c>
      <c r="D999" s="33" t="s">
        <v>519</v>
      </c>
      <c r="E999" s="33"/>
      <c r="F999" s="33"/>
      <c r="G999" s="33"/>
      <c r="H999" s="30" t="s">
        <v>647</v>
      </c>
      <c r="I999" s="30"/>
      <c r="J999" s="212"/>
      <c r="K999" s="23"/>
      <c r="L999" s="23"/>
      <c r="M999" s="23"/>
      <c r="N999" s="23"/>
      <c r="O999" s="23"/>
      <c r="P999" s="23"/>
      <c r="Q999" s="23"/>
      <c r="R999" s="23"/>
      <c r="S999" s="23"/>
      <c r="T999" s="586"/>
      <c r="U999" s="23"/>
      <c r="V999" s="311"/>
      <c r="W999" s="311"/>
      <c r="X999" s="311"/>
      <c r="Y999" s="94"/>
      <c r="Z999" s="23"/>
      <c r="AA999" s="23"/>
      <c r="AB999" s="23"/>
      <c r="AC999" s="23"/>
      <c r="AD999" s="158"/>
      <c r="AE999" s="158"/>
      <c r="AF999" s="158"/>
      <c r="AG999" s="158"/>
      <c r="AH999" s="158"/>
      <c r="AI999" s="158"/>
      <c r="AJ999" s="158"/>
      <c r="AK999" s="158"/>
      <c r="AL999" s="158"/>
      <c r="AM999" s="158"/>
      <c r="AN999" s="158"/>
      <c r="AO999" s="23"/>
      <c r="AP999" s="23"/>
      <c r="AQ999" s="23"/>
      <c r="AR999" s="23"/>
      <c r="AS999" s="2">
        <v>1</v>
      </c>
      <c r="AT999" s="58" t="s">
        <v>646</v>
      </c>
      <c r="AU999" s="105"/>
      <c r="AV999" s="23"/>
      <c r="AW999" s="23">
        <v>1</v>
      </c>
      <c r="AX999" s="23"/>
      <c r="AY999" s="23"/>
      <c r="AZ999" s="23"/>
      <c r="BA999" s="23"/>
      <c r="BB999" s="223"/>
      <c r="BC999" s="223"/>
      <c r="BD999" s="270">
        <v>2017</v>
      </c>
      <c r="BE999" s="270"/>
      <c r="BF999" s="268"/>
    </row>
    <row r="1000" spans="1:58" ht="15" hidden="1" customHeight="1">
      <c r="A1000" s="160" t="s">
        <v>1</v>
      </c>
      <c r="B1000" s="58" t="s">
        <v>320</v>
      </c>
      <c r="C1000" s="122" t="s">
        <v>606</v>
      </c>
      <c r="D1000" s="33" t="s">
        <v>519</v>
      </c>
      <c r="E1000" s="33"/>
      <c r="F1000" s="33"/>
      <c r="G1000" s="33"/>
      <c r="H1000" s="30" t="s">
        <v>647</v>
      </c>
      <c r="I1000" s="30"/>
      <c r="J1000" s="212"/>
      <c r="K1000" s="23"/>
      <c r="L1000" s="23"/>
      <c r="M1000" s="23"/>
      <c r="N1000" s="23"/>
      <c r="O1000" s="23"/>
      <c r="P1000" s="23"/>
      <c r="Q1000" s="23"/>
      <c r="R1000" s="23"/>
      <c r="S1000" s="23"/>
      <c r="T1000" s="586"/>
      <c r="U1000" s="23"/>
      <c r="V1000" s="311"/>
      <c r="W1000" s="311"/>
      <c r="X1000" s="311"/>
      <c r="Y1000" s="94"/>
      <c r="Z1000" s="23"/>
      <c r="AA1000" s="23"/>
      <c r="AB1000" s="23"/>
      <c r="AC1000" s="23"/>
      <c r="AD1000" s="158"/>
      <c r="AE1000" s="158"/>
      <c r="AF1000" s="158"/>
      <c r="AG1000" s="158"/>
      <c r="AH1000" s="158"/>
      <c r="AI1000" s="158"/>
      <c r="AJ1000" s="158"/>
      <c r="AK1000" s="158"/>
      <c r="AL1000" s="158"/>
      <c r="AM1000" s="158"/>
      <c r="AN1000" s="158"/>
      <c r="AO1000" s="23"/>
      <c r="AP1000" s="23"/>
      <c r="AQ1000" s="23"/>
      <c r="AR1000" s="23"/>
      <c r="AS1000" s="2">
        <v>1</v>
      </c>
      <c r="AT1000" s="58" t="s">
        <v>646</v>
      </c>
      <c r="AU1000" s="105"/>
      <c r="AV1000" s="23"/>
      <c r="AW1000" s="23">
        <v>1</v>
      </c>
      <c r="AX1000" s="23"/>
      <c r="AY1000" s="23"/>
      <c r="AZ1000" s="23"/>
      <c r="BA1000" s="23"/>
      <c r="BB1000" s="223"/>
      <c r="BC1000" s="223"/>
      <c r="BD1000" s="270">
        <v>2017</v>
      </c>
      <c r="BE1000" s="270"/>
      <c r="BF1000" s="268"/>
    </row>
    <row r="1001" spans="1:58" ht="15" hidden="1" customHeight="1">
      <c r="A1001" s="160" t="s">
        <v>1</v>
      </c>
      <c r="B1001" s="58" t="s">
        <v>320</v>
      </c>
      <c r="C1001" s="122" t="s">
        <v>607</v>
      </c>
      <c r="D1001" s="33" t="s">
        <v>519</v>
      </c>
      <c r="E1001" s="33"/>
      <c r="F1001" s="33"/>
      <c r="G1001" s="33"/>
      <c r="H1001" s="30" t="s">
        <v>647</v>
      </c>
      <c r="I1001" s="30"/>
      <c r="J1001" s="212"/>
      <c r="K1001" s="23"/>
      <c r="L1001" s="23"/>
      <c r="M1001" s="23"/>
      <c r="N1001" s="23"/>
      <c r="O1001" s="23"/>
      <c r="P1001" s="23"/>
      <c r="Q1001" s="23"/>
      <c r="R1001" s="23"/>
      <c r="S1001" s="23"/>
      <c r="T1001" s="586"/>
      <c r="U1001" s="23"/>
      <c r="V1001" s="311"/>
      <c r="W1001" s="311"/>
      <c r="X1001" s="311"/>
      <c r="Y1001" s="94"/>
      <c r="Z1001" s="23"/>
      <c r="AA1001" s="23"/>
      <c r="AB1001" s="23"/>
      <c r="AC1001" s="23"/>
      <c r="AD1001" s="158"/>
      <c r="AE1001" s="158"/>
      <c r="AF1001" s="158"/>
      <c r="AG1001" s="158"/>
      <c r="AH1001" s="158"/>
      <c r="AI1001" s="158"/>
      <c r="AJ1001" s="158"/>
      <c r="AK1001" s="158"/>
      <c r="AL1001" s="158"/>
      <c r="AM1001" s="158"/>
      <c r="AN1001" s="158"/>
      <c r="AO1001" s="23"/>
      <c r="AP1001" s="23"/>
      <c r="AQ1001" s="23"/>
      <c r="AR1001" s="23"/>
      <c r="AS1001" s="2">
        <v>1</v>
      </c>
      <c r="AT1001" s="58" t="s">
        <v>646</v>
      </c>
      <c r="AU1001" s="105"/>
      <c r="AV1001" s="23"/>
      <c r="AW1001" s="23">
        <v>1</v>
      </c>
      <c r="AX1001" s="23"/>
      <c r="AY1001" s="23"/>
      <c r="AZ1001" s="23"/>
      <c r="BA1001" s="23"/>
      <c r="BB1001" s="223"/>
      <c r="BC1001" s="223"/>
      <c r="BD1001" s="270">
        <v>2017</v>
      </c>
      <c r="BE1001" s="270"/>
      <c r="BF1001" s="268"/>
    </row>
    <row r="1002" spans="1:58" ht="15" hidden="1" customHeight="1">
      <c r="A1002" s="160" t="s">
        <v>1</v>
      </c>
      <c r="B1002" s="58" t="s">
        <v>320</v>
      </c>
      <c r="C1002" s="122" t="s">
        <v>608</v>
      </c>
      <c r="D1002" s="33" t="s">
        <v>519</v>
      </c>
      <c r="E1002" s="33"/>
      <c r="F1002" s="33"/>
      <c r="G1002" s="33"/>
      <c r="H1002" s="30" t="s">
        <v>647</v>
      </c>
      <c r="I1002" s="30"/>
      <c r="J1002" s="212"/>
      <c r="K1002" s="23"/>
      <c r="L1002" s="23"/>
      <c r="M1002" s="23"/>
      <c r="N1002" s="23"/>
      <c r="O1002" s="23"/>
      <c r="P1002" s="23"/>
      <c r="Q1002" s="23"/>
      <c r="R1002" s="23"/>
      <c r="S1002" s="23"/>
      <c r="T1002" s="586"/>
      <c r="U1002" s="23"/>
      <c r="V1002" s="311"/>
      <c r="W1002" s="311"/>
      <c r="X1002" s="311"/>
      <c r="Y1002" s="94"/>
      <c r="Z1002" s="23"/>
      <c r="AA1002" s="23"/>
      <c r="AB1002" s="23"/>
      <c r="AC1002" s="23"/>
      <c r="AD1002" s="158"/>
      <c r="AE1002" s="158"/>
      <c r="AF1002" s="158"/>
      <c r="AG1002" s="158"/>
      <c r="AH1002" s="158"/>
      <c r="AI1002" s="158"/>
      <c r="AJ1002" s="158"/>
      <c r="AK1002" s="158"/>
      <c r="AL1002" s="158"/>
      <c r="AM1002" s="158"/>
      <c r="AN1002" s="158"/>
      <c r="AO1002" s="23"/>
      <c r="AP1002" s="23"/>
      <c r="AQ1002" s="23"/>
      <c r="AR1002" s="23"/>
      <c r="AS1002" s="2">
        <v>1</v>
      </c>
      <c r="AT1002" s="58" t="s">
        <v>646</v>
      </c>
      <c r="AU1002" s="105"/>
      <c r="AV1002" s="23"/>
      <c r="AW1002" s="23">
        <v>1</v>
      </c>
      <c r="AX1002" s="23"/>
      <c r="AY1002" s="23"/>
      <c r="AZ1002" s="23"/>
      <c r="BA1002" s="23"/>
      <c r="BB1002" s="223"/>
      <c r="BC1002" s="223"/>
      <c r="BD1002" s="270">
        <v>2017</v>
      </c>
      <c r="BE1002" s="270"/>
      <c r="BF1002" s="268"/>
    </row>
    <row r="1003" spans="1:58" ht="15" hidden="1" customHeight="1">
      <c r="A1003" s="160" t="s">
        <v>1</v>
      </c>
      <c r="B1003" s="58" t="s">
        <v>320</v>
      </c>
      <c r="C1003" s="122" t="s">
        <v>609</v>
      </c>
      <c r="D1003" s="33" t="s">
        <v>387</v>
      </c>
      <c r="E1003" s="33"/>
      <c r="F1003" s="33"/>
      <c r="G1003" s="33"/>
      <c r="H1003" s="30" t="s">
        <v>647</v>
      </c>
      <c r="I1003" s="30"/>
      <c r="J1003" s="212"/>
      <c r="K1003" s="23"/>
      <c r="L1003" s="23"/>
      <c r="M1003" s="23"/>
      <c r="N1003" s="23"/>
      <c r="O1003" s="23"/>
      <c r="P1003" s="23"/>
      <c r="Q1003" s="23"/>
      <c r="R1003" s="23"/>
      <c r="S1003" s="23"/>
      <c r="T1003" s="586"/>
      <c r="U1003" s="23"/>
      <c r="V1003" s="311"/>
      <c r="W1003" s="311"/>
      <c r="X1003" s="311"/>
      <c r="Y1003" s="94"/>
      <c r="Z1003" s="23"/>
      <c r="AA1003" s="23"/>
      <c r="AB1003" s="23"/>
      <c r="AC1003" s="23"/>
      <c r="AD1003" s="158"/>
      <c r="AE1003" s="158"/>
      <c r="AF1003" s="158"/>
      <c r="AG1003" s="158"/>
      <c r="AH1003" s="158"/>
      <c r="AI1003" s="158"/>
      <c r="AJ1003" s="158"/>
      <c r="AK1003" s="158"/>
      <c r="AL1003" s="158"/>
      <c r="AM1003" s="158"/>
      <c r="AN1003" s="158"/>
      <c r="AO1003" s="23"/>
      <c r="AP1003" s="23"/>
      <c r="AQ1003" s="23"/>
      <c r="AR1003" s="23"/>
      <c r="AS1003" s="2">
        <v>1</v>
      </c>
      <c r="AT1003" s="58" t="s">
        <v>646</v>
      </c>
      <c r="AU1003" s="110" t="s">
        <v>700</v>
      </c>
      <c r="AV1003" s="23"/>
      <c r="AW1003" s="23">
        <v>1</v>
      </c>
      <c r="AX1003" s="23"/>
      <c r="AY1003" s="23"/>
      <c r="AZ1003" s="23"/>
      <c r="BA1003" s="23"/>
      <c r="BB1003" s="223"/>
      <c r="BC1003" s="223"/>
      <c r="BD1003" s="270">
        <v>2017</v>
      </c>
      <c r="BE1003" s="270"/>
      <c r="BF1003" s="268"/>
    </row>
    <row r="1004" spans="1:58" ht="15" hidden="1" customHeight="1">
      <c r="A1004" s="160" t="s">
        <v>1</v>
      </c>
      <c r="B1004" s="58" t="s">
        <v>320</v>
      </c>
      <c r="C1004" s="122" t="s">
        <v>610</v>
      </c>
      <c r="D1004" s="33" t="s">
        <v>387</v>
      </c>
      <c r="E1004" s="33"/>
      <c r="F1004" s="33"/>
      <c r="G1004" s="33"/>
      <c r="H1004" s="30" t="s">
        <v>647</v>
      </c>
      <c r="I1004" s="30"/>
      <c r="J1004" s="212"/>
      <c r="K1004" s="23"/>
      <c r="L1004" s="23"/>
      <c r="M1004" s="23"/>
      <c r="N1004" s="23"/>
      <c r="O1004" s="23"/>
      <c r="P1004" s="23"/>
      <c r="Q1004" s="23"/>
      <c r="R1004" s="23"/>
      <c r="S1004" s="23"/>
      <c r="T1004" s="586"/>
      <c r="U1004" s="23"/>
      <c r="V1004" s="311"/>
      <c r="W1004" s="311"/>
      <c r="X1004" s="311"/>
      <c r="Y1004" s="94"/>
      <c r="Z1004" s="23"/>
      <c r="AA1004" s="23"/>
      <c r="AB1004" s="23"/>
      <c r="AC1004" s="23"/>
      <c r="AD1004" s="158"/>
      <c r="AE1004" s="158"/>
      <c r="AF1004" s="158"/>
      <c r="AG1004" s="158"/>
      <c r="AH1004" s="158"/>
      <c r="AI1004" s="158"/>
      <c r="AJ1004" s="158"/>
      <c r="AK1004" s="158"/>
      <c r="AL1004" s="158"/>
      <c r="AM1004" s="158"/>
      <c r="AN1004" s="158"/>
      <c r="AO1004" s="23"/>
      <c r="AP1004" s="23"/>
      <c r="AQ1004" s="23"/>
      <c r="AR1004" s="23"/>
      <c r="AS1004" s="2">
        <v>1</v>
      </c>
      <c r="AT1004" s="58" t="s">
        <v>646</v>
      </c>
      <c r="AU1004" s="105"/>
      <c r="AV1004" s="23"/>
      <c r="AW1004" s="23">
        <v>1</v>
      </c>
      <c r="AX1004" s="23"/>
      <c r="AY1004" s="23"/>
      <c r="AZ1004" s="23"/>
      <c r="BA1004" s="23"/>
      <c r="BB1004" s="223"/>
      <c r="BC1004" s="223"/>
      <c r="BD1004" s="270">
        <v>2017</v>
      </c>
      <c r="BE1004" s="270"/>
      <c r="BF1004" s="268"/>
    </row>
    <row r="1005" spans="1:58" ht="15" hidden="1" customHeight="1">
      <c r="A1005" s="160" t="s">
        <v>1</v>
      </c>
      <c r="B1005" s="58" t="s">
        <v>320</v>
      </c>
      <c r="C1005" s="122" t="s">
        <v>611</v>
      </c>
      <c r="D1005" s="33" t="s">
        <v>588</v>
      </c>
      <c r="E1005" s="33"/>
      <c r="F1005" s="33"/>
      <c r="G1005" s="33"/>
      <c r="H1005" s="30" t="s">
        <v>647</v>
      </c>
      <c r="I1005" s="30"/>
      <c r="J1005" s="212"/>
      <c r="K1005" s="23"/>
      <c r="L1005" s="23"/>
      <c r="M1005" s="23"/>
      <c r="N1005" s="23"/>
      <c r="O1005" s="23"/>
      <c r="P1005" s="23"/>
      <c r="Q1005" s="23"/>
      <c r="R1005" s="23"/>
      <c r="S1005" s="23"/>
      <c r="T1005" s="586"/>
      <c r="U1005" s="23"/>
      <c r="V1005" s="311"/>
      <c r="W1005" s="311"/>
      <c r="X1005" s="311"/>
      <c r="Y1005" s="94"/>
      <c r="Z1005" s="23"/>
      <c r="AA1005" s="23"/>
      <c r="AB1005" s="23"/>
      <c r="AC1005" s="23"/>
      <c r="AD1005" s="158"/>
      <c r="AE1005" s="158"/>
      <c r="AF1005" s="158"/>
      <c r="AG1005" s="158"/>
      <c r="AH1005" s="158"/>
      <c r="AI1005" s="158"/>
      <c r="AJ1005" s="158"/>
      <c r="AK1005" s="158"/>
      <c r="AL1005" s="158"/>
      <c r="AM1005" s="158"/>
      <c r="AN1005" s="158"/>
      <c r="AO1005" s="23"/>
      <c r="AP1005" s="23"/>
      <c r="AQ1005" s="23"/>
      <c r="AR1005" s="23"/>
      <c r="AS1005" s="2">
        <v>1</v>
      </c>
      <c r="AT1005" s="58" t="s">
        <v>646</v>
      </c>
      <c r="AU1005" s="105"/>
      <c r="AV1005" s="23"/>
      <c r="AW1005" s="23">
        <v>1</v>
      </c>
      <c r="AX1005" s="23"/>
      <c r="AY1005" s="23"/>
      <c r="AZ1005" s="23"/>
      <c r="BA1005" s="23"/>
      <c r="BB1005" s="223"/>
      <c r="BC1005" s="223"/>
      <c r="BD1005" s="270">
        <v>2017</v>
      </c>
      <c r="BE1005" s="270"/>
      <c r="BF1005" s="268"/>
    </row>
    <row r="1006" spans="1:58" ht="15" hidden="1" customHeight="1">
      <c r="A1006" s="160" t="s">
        <v>1</v>
      </c>
      <c r="B1006" s="58" t="s">
        <v>320</v>
      </c>
      <c r="C1006" s="122" t="s">
        <v>612</v>
      </c>
      <c r="D1006" s="33" t="s">
        <v>588</v>
      </c>
      <c r="E1006" s="33"/>
      <c r="F1006" s="33"/>
      <c r="G1006" s="33"/>
      <c r="H1006" s="30" t="s">
        <v>661</v>
      </c>
      <c r="I1006" s="30"/>
      <c r="J1006" s="212"/>
      <c r="K1006" s="23"/>
      <c r="L1006" s="23"/>
      <c r="M1006" s="23"/>
      <c r="N1006" s="23"/>
      <c r="O1006" s="23"/>
      <c r="P1006" s="23"/>
      <c r="Q1006" s="23"/>
      <c r="R1006" s="23"/>
      <c r="S1006" s="23"/>
      <c r="T1006" s="586"/>
      <c r="U1006" s="23"/>
      <c r="V1006" s="311"/>
      <c r="W1006" s="311"/>
      <c r="X1006" s="311"/>
      <c r="Y1006" s="94"/>
      <c r="Z1006" s="23"/>
      <c r="AA1006" s="23"/>
      <c r="AB1006" s="23"/>
      <c r="AC1006" s="23"/>
      <c r="AD1006" s="158"/>
      <c r="AE1006" s="158"/>
      <c r="AF1006" s="158"/>
      <c r="AG1006" s="158"/>
      <c r="AH1006" s="158"/>
      <c r="AI1006" s="158"/>
      <c r="AJ1006" s="158"/>
      <c r="AK1006" s="158"/>
      <c r="AL1006" s="158"/>
      <c r="AM1006" s="158"/>
      <c r="AN1006" s="158"/>
      <c r="AO1006" s="23"/>
      <c r="AP1006" s="50"/>
      <c r="AQ1006" s="50"/>
      <c r="AR1006" s="50"/>
      <c r="AS1006" s="2">
        <v>1</v>
      </c>
      <c r="AT1006" s="58" t="s">
        <v>646</v>
      </c>
      <c r="AU1006" s="105"/>
      <c r="AV1006" s="23"/>
      <c r="AW1006" s="50"/>
      <c r="AX1006" s="23">
        <v>1</v>
      </c>
      <c r="AY1006" s="23"/>
      <c r="AZ1006" s="23"/>
      <c r="BA1006" s="23">
        <v>1</v>
      </c>
      <c r="BB1006" s="223"/>
      <c r="BC1006" s="223"/>
      <c r="BD1006" s="270">
        <v>2018</v>
      </c>
      <c r="BE1006" s="270"/>
      <c r="BF1006" s="268"/>
    </row>
    <row r="1007" spans="1:58" ht="15" hidden="1" customHeight="1">
      <c r="A1007" s="160" t="s">
        <v>1</v>
      </c>
      <c r="B1007" s="58" t="s">
        <v>320</v>
      </c>
      <c r="C1007" s="122" t="s">
        <v>613</v>
      </c>
      <c r="D1007" s="33" t="s">
        <v>387</v>
      </c>
      <c r="E1007" s="33"/>
      <c r="F1007" s="33"/>
      <c r="G1007" s="33"/>
      <c r="H1007" s="30" t="s">
        <v>647</v>
      </c>
      <c r="I1007" s="30"/>
      <c r="J1007" s="212"/>
      <c r="K1007" s="23"/>
      <c r="L1007" s="23"/>
      <c r="M1007" s="23"/>
      <c r="N1007" s="23"/>
      <c r="O1007" s="23"/>
      <c r="P1007" s="23"/>
      <c r="Q1007" s="23"/>
      <c r="R1007" s="23"/>
      <c r="S1007" s="23"/>
      <c r="T1007" s="586"/>
      <c r="U1007" s="23"/>
      <c r="V1007" s="311"/>
      <c r="W1007" s="311"/>
      <c r="X1007" s="311"/>
      <c r="Y1007" s="94"/>
      <c r="Z1007" s="23"/>
      <c r="AA1007" s="23"/>
      <c r="AB1007" s="23"/>
      <c r="AC1007" s="23"/>
      <c r="AD1007" s="158"/>
      <c r="AE1007" s="158"/>
      <c r="AF1007" s="158"/>
      <c r="AG1007" s="158"/>
      <c r="AH1007" s="158"/>
      <c r="AI1007" s="158"/>
      <c r="AJ1007" s="158"/>
      <c r="AK1007" s="158"/>
      <c r="AL1007" s="158"/>
      <c r="AM1007" s="158"/>
      <c r="AN1007" s="158"/>
      <c r="AO1007" s="23"/>
      <c r="AP1007" s="23"/>
      <c r="AQ1007" s="23"/>
      <c r="AR1007" s="23"/>
      <c r="AS1007" s="2">
        <v>1</v>
      </c>
      <c r="AT1007" s="58" t="s">
        <v>646</v>
      </c>
      <c r="AU1007" s="105" t="s">
        <v>706</v>
      </c>
      <c r="AV1007" s="23"/>
      <c r="AW1007" s="23">
        <v>1</v>
      </c>
      <c r="AX1007" s="23"/>
      <c r="AY1007" s="23"/>
      <c r="AZ1007" s="23"/>
      <c r="BA1007" s="23"/>
      <c r="BB1007" s="223"/>
      <c r="BC1007" s="223"/>
      <c r="BD1007" s="270">
        <v>2017</v>
      </c>
      <c r="BE1007" s="270"/>
      <c r="BF1007" s="268"/>
    </row>
    <row r="1008" spans="1:58" ht="15" hidden="1" customHeight="1">
      <c r="A1008" s="160" t="s">
        <v>1</v>
      </c>
      <c r="B1008" s="58" t="s">
        <v>320</v>
      </c>
      <c r="C1008" s="122" t="s">
        <v>614</v>
      </c>
      <c r="D1008" s="33" t="s">
        <v>588</v>
      </c>
      <c r="E1008" s="33"/>
      <c r="F1008" s="33"/>
      <c r="G1008" s="33"/>
      <c r="H1008" s="30" t="s">
        <v>647</v>
      </c>
      <c r="I1008" s="30"/>
      <c r="J1008" s="212"/>
      <c r="K1008" s="23"/>
      <c r="L1008" s="23"/>
      <c r="M1008" s="23"/>
      <c r="N1008" s="23"/>
      <c r="O1008" s="23"/>
      <c r="P1008" s="23"/>
      <c r="Q1008" s="23"/>
      <c r="R1008" s="23"/>
      <c r="S1008" s="23"/>
      <c r="T1008" s="586"/>
      <c r="U1008" s="23"/>
      <c r="V1008" s="311"/>
      <c r="W1008" s="311"/>
      <c r="X1008" s="311"/>
      <c r="Y1008" s="94"/>
      <c r="Z1008" s="23"/>
      <c r="AA1008" s="23"/>
      <c r="AB1008" s="23"/>
      <c r="AC1008" s="23"/>
      <c r="AD1008" s="158"/>
      <c r="AE1008" s="158"/>
      <c r="AF1008" s="158"/>
      <c r="AG1008" s="158"/>
      <c r="AH1008" s="158"/>
      <c r="AI1008" s="158"/>
      <c r="AJ1008" s="158"/>
      <c r="AK1008" s="158"/>
      <c r="AL1008" s="158"/>
      <c r="AM1008" s="158"/>
      <c r="AN1008" s="158"/>
      <c r="AO1008" s="23"/>
      <c r="AP1008" s="23"/>
      <c r="AQ1008" s="23"/>
      <c r="AR1008" s="23"/>
      <c r="AS1008" s="2">
        <v>1</v>
      </c>
      <c r="AT1008" s="58" t="s">
        <v>646</v>
      </c>
      <c r="AU1008" s="105"/>
      <c r="AV1008" s="23"/>
      <c r="AW1008" s="23">
        <v>1</v>
      </c>
      <c r="AX1008" s="23"/>
      <c r="AY1008" s="23"/>
      <c r="AZ1008" s="23"/>
      <c r="BA1008" s="23"/>
      <c r="BB1008" s="223"/>
      <c r="BC1008" s="223"/>
      <c r="BD1008" s="270">
        <v>2017</v>
      </c>
      <c r="BE1008" s="270"/>
      <c r="BF1008" s="268"/>
    </row>
    <row r="1009" spans="1:58" ht="15" hidden="1" customHeight="1">
      <c r="A1009" s="160" t="s">
        <v>1</v>
      </c>
      <c r="B1009" s="58" t="s">
        <v>320</v>
      </c>
      <c r="C1009" s="122" t="s">
        <v>615</v>
      </c>
      <c r="D1009" s="33" t="s">
        <v>519</v>
      </c>
      <c r="E1009" s="33"/>
      <c r="F1009" s="33"/>
      <c r="G1009" s="33"/>
      <c r="H1009" s="30" t="s">
        <v>647</v>
      </c>
      <c r="I1009" s="30"/>
      <c r="J1009" s="212"/>
      <c r="K1009" s="23"/>
      <c r="L1009" s="23"/>
      <c r="M1009" s="23"/>
      <c r="N1009" s="23"/>
      <c r="O1009" s="23"/>
      <c r="P1009" s="23"/>
      <c r="Q1009" s="23"/>
      <c r="R1009" s="23"/>
      <c r="S1009" s="23"/>
      <c r="T1009" s="586"/>
      <c r="U1009" s="23"/>
      <c r="V1009" s="311"/>
      <c r="W1009" s="311"/>
      <c r="X1009" s="311"/>
      <c r="Y1009" s="94"/>
      <c r="Z1009" s="23"/>
      <c r="AA1009" s="23"/>
      <c r="AB1009" s="23"/>
      <c r="AC1009" s="23"/>
      <c r="AD1009" s="158"/>
      <c r="AE1009" s="158"/>
      <c r="AF1009" s="158"/>
      <c r="AG1009" s="158"/>
      <c r="AH1009" s="158"/>
      <c r="AI1009" s="158"/>
      <c r="AJ1009" s="158"/>
      <c r="AK1009" s="158"/>
      <c r="AL1009" s="158"/>
      <c r="AM1009" s="158"/>
      <c r="AN1009" s="158"/>
      <c r="AO1009" s="23"/>
      <c r="AP1009" s="23"/>
      <c r="AQ1009" s="23"/>
      <c r="AR1009" s="23"/>
      <c r="AS1009" s="2">
        <v>1</v>
      </c>
      <c r="AT1009" s="58" t="s">
        <v>646</v>
      </c>
      <c r="AU1009" s="105"/>
      <c r="AV1009" s="23"/>
      <c r="AW1009" s="23">
        <v>1</v>
      </c>
      <c r="AX1009" s="23"/>
      <c r="AY1009" s="23"/>
      <c r="AZ1009" s="23"/>
      <c r="BA1009" s="23"/>
      <c r="BB1009" s="223"/>
      <c r="BC1009" s="223"/>
      <c r="BD1009" s="270">
        <v>2017</v>
      </c>
      <c r="BE1009" s="270"/>
      <c r="BF1009" s="268"/>
    </row>
    <row r="1010" spans="1:58" ht="15" hidden="1" customHeight="1">
      <c r="A1010" s="160" t="s">
        <v>1</v>
      </c>
      <c r="B1010" s="58" t="s">
        <v>320</v>
      </c>
      <c r="C1010" s="122" t="s">
        <v>616</v>
      </c>
      <c r="D1010" s="33" t="s">
        <v>519</v>
      </c>
      <c r="E1010" s="33"/>
      <c r="F1010" s="33"/>
      <c r="G1010" s="33"/>
      <c r="H1010" s="30" t="s">
        <v>647</v>
      </c>
      <c r="I1010" s="30"/>
      <c r="J1010" s="212"/>
      <c r="K1010" s="23"/>
      <c r="L1010" s="23"/>
      <c r="M1010" s="23"/>
      <c r="N1010" s="23"/>
      <c r="O1010" s="23"/>
      <c r="P1010" s="23"/>
      <c r="Q1010" s="23"/>
      <c r="R1010" s="23"/>
      <c r="S1010" s="23"/>
      <c r="T1010" s="586"/>
      <c r="U1010" s="23"/>
      <c r="V1010" s="311"/>
      <c r="W1010" s="311"/>
      <c r="X1010" s="311"/>
      <c r="Y1010" s="94"/>
      <c r="Z1010" s="23"/>
      <c r="AA1010" s="23"/>
      <c r="AB1010" s="23"/>
      <c r="AC1010" s="23"/>
      <c r="AD1010" s="158"/>
      <c r="AE1010" s="158"/>
      <c r="AF1010" s="158"/>
      <c r="AG1010" s="158"/>
      <c r="AH1010" s="158"/>
      <c r="AI1010" s="158"/>
      <c r="AJ1010" s="158"/>
      <c r="AK1010" s="158"/>
      <c r="AL1010" s="158"/>
      <c r="AM1010" s="158"/>
      <c r="AN1010" s="158"/>
      <c r="AO1010" s="23"/>
      <c r="AP1010" s="23"/>
      <c r="AQ1010" s="23"/>
      <c r="AR1010" s="23"/>
      <c r="AS1010" s="2">
        <v>1</v>
      </c>
      <c r="AT1010" s="58" t="s">
        <v>646</v>
      </c>
      <c r="AU1010" s="105"/>
      <c r="AV1010" s="23"/>
      <c r="AW1010" s="23">
        <v>1</v>
      </c>
      <c r="AX1010" s="23"/>
      <c r="AY1010" s="23"/>
      <c r="AZ1010" s="23"/>
      <c r="BA1010" s="23"/>
      <c r="BB1010" s="223"/>
      <c r="BC1010" s="223"/>
      <c r="BD1010" s="270">
        <v>2017</v>
      </c>
      <c r="BE1010" s="270"/>
      <c r="BF1010" s="268"/>
    </row>
    <row r="1011" spans="1:58" ht="15" hidden="1" customHeight="1">
      <c r="A1011" s="160" t="s">
        <v>1</v>
      </c>
      <c r="B1011" s="58" t="s">
        <v>320</v>
      </c>
      <c r="C1011" s="122" t="s">
        <v>617</v>
      </c>
      <c r="D1011" s="33" t="s">
        <v>519</v>
      </c>
      <c r="E1011" s="33"/>
      <c r="F1011" s="33"/>
      <c r="G1011" s="33"/>
      <c r="H1011" s="30" t="s">
        <v>647</v>
      </c>
      <c r="I1011" s="30"/>
      <c r="J1011" s="212"/>
      <c r="K1011" s="23"/>
      <c r="L1011" s="23"/>
      <c r="M1011" s="23"/>
      <c r="N1011" s="23"/>
      <c r="O1011" s="23"/>
      <c r="P1011" s="23"/>
      <c r="Q1011" s="23"/>
      <c r="R1011" s="23"/>
      <c r="S1011" s="23"/>
      <c r="T1011" s="586"/>
      <c r="U1011" s="23"/>
      <c r="V1011" s="311"/>
      <c r="W1011" s="311"/>
      <c r="X1011" s="311"/>
      <c r="Y1011" s="94"/>
      <c r="Z1011" s="23"/>
      <c r="AA1011" s="23"/>
      <c r="AB1011" s="23"/>
      <c r="AC1011" s="23"/>
      <c r="AD1011" s="158"/>
      <c r="AE1011" s="158"/>
      <c r="AF1011" s="158"/>
      <c r="AG1011" s="158"/>
      <c r="AH1011" s="158"/>
      <c r="AI1011" s="158"/>
      <c r="AJ1011" s="158"/>
      <c r="AK1011" s="158"/>
      <c r="AL1011" s="158"/>
      <c r="AM1011" s="158"/>
      <c r="AN1011" s="158"/>
      <c r="AO1011" s="23"/>
      <c r="AP1011" s="23"/>
      <c r="AQ1011" s="23"/>
      <c r="AR1011" s="23"/>
      <c r="AS1011" s="2">
        <v>1</v>
      </c>
      <c r="AT1011" s="58" t="s">
        <v>646</v>
      </c>
      <c r="AU1011" s="105"/>
      <c r="AV1011" s="23"/>
      <c r="AW1011" s="23">
        <v>1</v>
      </c>
      <c r="AX1011" s="23"/>
      <c r="AY1011" s="23"/>
      <c r="AZ1011" s="23"/>
      <c r="BA1011" s="23"/>
      <c r="BB1011" s="223"/>
      <c r="BC1011" s="223"/>
      <c r="BD1011" s="270">
        <v>2017</v>
      </c>
      <c r="BE1011" s="270"/>
      <c r="BF1011" s="268"/>
    </row>
    <row r="1012" spans="1:58" ht="15" hidden="1" customHeight="1">
      <c r="A1012" s="160" t="s">
        <v>1</v>
      </c>
      <c r="B1012" s="58" t="s">
        <v>320</v>
      </c>
      <c r="C1012" s="122" t="s">
        <v>618</v>
      </c>
      <c r="D1012" s="33" t="s">
        <v>519</v>
      </c>
      <c r="E1012" s="33"/>
      <c r="F1012" s="33"/>
      <c r="G1012" s="33"/>
      <c r="H1012" s="30" t="s">
        <v>647</v>
      </c>
      <c r="I1012" s="30"/>
      <c r="J1012" s="212"/>
      <c r="K1012" s="23"/>
      <c r="L1012" s="23"/>
      <c r="M1012" s="23"/>
      <c r="N1012" s="23"/>
      <c r="O1012" s="23"/>
      <c r="P1012" s="23"/>
      <c r="Q1012" s="23"/>
      <c r="R1012" s="23"/>
      <c r="S1012" s="23"/>
      <c r="T1012" s="586"/>
      <c r="U1012" s="23"/>
      <c r="V1012" s="311"/>
      <c r="W1012" s="311"/>
      <c r="X1012" s="311"/>
      <c r="Y1012" s="94"/>
      <c r="Z1012" s="23"/>
      <c r="AA1012" s="23"/>
      <c r="AB1012" s="23"/>
      <c r="AC1012" s="23"/>
      <c r="AD1012" s="158"/>
      <c r="AE1012" s="158"/>
      <c r="AF1012" s="158"/>
      <c r="AG1012" s="158"/>
      <c r="AH1012" s="158"/>
      <c r="AI1012" s="158"/>
      <c r="AJ1012" s="158"/>
      <c r="AK1012" s="158"/>
      <c r="AL1012" s="158"/>
      <c r="AM1012" s="158"/>
      <c r="AN1012" s="158"/>
      <c r="AO1012" s="23"/>
      <c r="AP1012" s="23"/>
      <c r="AQ1012" s="23"/>
      <c r="AR1012" s="23"/>
      <c r="AS1012" s="2">
        <v>1</v>
      </c>
      <c r="AT1012" s="58" t="s">
        <v>646</v>
      </c>
      <c r="AU1012" s="105"/>
      <c r="AV1012" s="23"/>
      <c r="AW1012" s="23">
        <v>1</v>
      </c>
      <c r="AX1012" s="23"/>
      <c r="AY1012" s="23"/>
      <c r="AZ1012" s="23"/>
      <c r="BA1012" s="23"/>
      <c r="BB1012" s="223"/>
      <c r="BC1012" s="223"/>
      <c r="BD1012" s="270">
        <v>2017</v>
      </c>
      <c r="BE1012" s="270"/>
      <c r="BF1012" s="268"/>
    </row>
    <row r="1013" spans="1:58" ht="15" hidden="1" customHeight="1">
      <c r="A1013" s="160" t="s">
        <v>1</v>
      </c>
      <c r="B1013" s="58" t="s">
        <v>320</v>
      </c>
      <c r="C1013" s="122" t="s">
        <v>619</v>
      </c>
      <c r="D1013" s="33" t="s">
        <v>519</v>
      </c>
      <c r="E1013" s="33"/>
      <c r="F1013" s="33"/>
      <c r="G1013" s="33"/>
      <c r="H1013" s="30" t="s">
        <v>647</v>
      </c>
      <c r="I1013" s="30"/>
      <c r="J1013" s="212"/>
      <c r="K1013" s="23"/>
      <c r="L1013" s="23"/>
      <c r="M1013" s="23"/>
      <c r="N1013" s="23"/>
      <c r="O1013" s="23"/>
      <c r="P1013" s="23"/>
      <c r="Q1013" s="23"/>
      <c r="R1013" s="23"/>
      <c r="S1013" s="23"/>
      <c r="T1013" s="586"/>
      <c r="U1013" s="23"/>
      <c r="V1013" s="311"/>
      <c r="W1013" s="311"/>
      <c r="X1013" s="311"/>
      <c r="Y1013" s="94"/>
      <c r="Z1013" s="23"/>
      <c r="AA1013" s="23"/>
      <c r="AB1013" s="23"/>
      <c r="AC1013" s="23"/>
      <c r="AD1013" s="158"/>
      <c r="AE1013" s="158"/>
      <c r="AF1013" s="158"/>
      <c r="AG1013" s="158"/>
      <c r="AH1013" s="158"/>
      <c r="AI1013" s="158"/>
      <c r="AJ1013" s="158"/>
      <c r="AK1013" s="158"/>
      <c r="AL1013" s="158"/>
      <c r="AM1013" s="158"/>
      <c r="AN1013" s="158"/>
      <c r="AO1013" s="23"/>
      <c r="AP1013" s="23"/>
      <c r="AQ1013" s="23"/>
      <c r="AR1013" s="23"/>
      <c r="AS1013" s="2">
        <v>1</v>
      </c>
      <c r="AT1013" s="58" t="s">
        <v>646</v>
      </c>
      <c r="AU1013" s="105"/>
      <c r="AV1013" s="23"/>
      <c r="AW1013" s="23">
        <v>1</v>
      </c>
      <c r="AX1013" s="23"/>
      <c r="AY1013" s="23"/>
      <c r="AZ1013" s="23"/>
      <c r="BA1013" s="23"/>
      <c r="BB1013" s="223"/>
      <c r="BC1013" s="223"/>
      <c r="BD1013" s="270">
        <v>2017</v>
      </c>
      <c r="BE1013" s="270"/>
      <c r="BF1013" s="268"/>
    </row>
    <row r="1014" spans="1:58" ht="15" hidden="1" customHeight="1">
      <c r="A1014" s="160" t="s">
        <v>1</v>
      </c>
      <c r="B1014" s="58" t="s">
        <v>320</v>
      </c>
      <c r="C1014" s="122" t="s">
        <v>620</v>
      </c>
      <c r="D1014" s="33" t="s">
        <v>519</v>
      </c>
      <c r="E1014" s="33"/>
      <c r="F1014" s="33"/>
      <c r="G1014" s="33"/>
      <c r="H1014" s="30" t="s">
        <v>647</v>
      </c>
      <c r="I1014" s="30"/>
      <c r="J1014" s="212"/>
      <c r="K1014" s="23"/>
      <c r="L1014" s="23"/>
      <c r="M1014" s="23"/>
      <c r="N1014" s="23"/>
      <c r="O1014" s="23"/>
      <c r="P1014" s="23"/>
      <c r="Q1014" s="23"/>
      <c r="R1014" s="23"/>
      <c r="S1014" s="23"/>
      <c r="T1014" s="586"/>
      <c r="U1014" s="23"/>
      <c r="V1014" s="311"/>
      <c r="W1014" s="311"/>
      <c r="X1014" s="311"/>
      <c r="Y1014" s="94"/>
      <c r="Z1014" s="23"/>
      <c r="AA1014" s="23"/>
      <c r="AB1014" s="23"/>
      <c r="AC1014" s="23"/>
      <c r="AD1014" s="158"/>
      <c r="AE1014" s="158"/>
      <c r="AF1014" s="158"/>
      <c r="AG1014" s="158"/>
      <c r="AH1014" s="158"/>
      <c r="AI1014" s="158"/>
      <c r="AJ1014" s="158"/>
      <c r="AK1014" s="158"/>
      <c r="AL1014" s="158"/>
      <c r="AM1014" s="158"/>
      <c r="AN1014" s="158"/>
      <c r="AO1014" s="23"/>
      <c r="AP1014" s="23"/>
      <c r="AQ1014" s="23"/>
      <c r="AR1014" s="23"/>
      <c r="AS1014" s="2">
        <v>1</v>
      </c>
      <c r="AT1014" s="58" t="s">
        <v>646</v>
      </c>
      <c r="AU1014" s="105"/>
      <c r="AV1014" s="23"/>
      <c r="AW1014" s="23">
        <v>1</v>
      </c>
      <c r="AX1014" s="23"/>
      <c r="AY1014" s="23"/>
      <c r="AZ1014" s="23"/>
      <c r="BA1014" s="23"/>
      <c r="BB1014" s="223"/>
      <c r="BC1014" s="223"/>
      <c r="BD1014" s="270">
        <v>2017</v>
      </c>
      <c r="BE1014" s="270"/>
      <c r="BF1014" s="268"/>
    </row>
    <row r="1015" spans="1:58" ht="15" hidden="1" customHeight="1">
      <c r="A1015" s="160" t="s">
        <v>1</v>
      </c>
      <c r="B1015" s="58" t="s">
        <v>320</v>
      </c>
      <c r="C1015" s="122" t="s">
        <v>621</v>
      </c>
      <c r="D1015" s="33" t="s">
        <v>519</v>
      </c>
      <c r="E1015" s="33"/>
      <c r="F1015" s="33"/>
      <c r="G1015" s="33"/>
      <c r="H1015" s="30" t="s">
        <v>647</v>
      </c>
      <c r="I1015" s="30"/>
      <c r="J1015" s="212"/>
      <c r="K1015" s="23"/>
      <c r="L1015" s="23"/>
      <c r="M1015" s="23"/>
      <c r="N1015" s="23"/>
      <c r="O1015" s="23"/>
      <c r="P1015" s="23"/>
      <c r="Q1015" s="23"/>
      <c r="R1015" s="23"/>
      <c r="S1015" s="23"/>
      <c r="T1015" s="586"/>
      <c r="U1015" s="23"/>
      <c r="V1015" s="311"/>
      <c r="W1015" s="311"/>
      <c r="X1015" s="311"/>
      <c r="Y1015" s="94"/>
      <c r="Z1015" s="23"/>
      <c r="AA1015" s="23"/>
      <c r="AB1015" s="23"/>
      <c r="AC1015" s="23"/>
      <c r="AD1015" s="158"/>
      <c r="AE1015" s="158"/>
      <c r="AF1015" s="158"/>
      <c r="AG1015" s="158"/>
      <c r="AH1015" s="158"/>
      <c r="AI1015" s="158"/>
      <c r="AJ1015" s="158"/>
      <c r="AK1015" s="158"/>
      <c r="AL1015" s="158"/>
      <c r="AM1015" s="158"/>
      <c r="AN1015" s="158"/>
      <c r="AO1015" s="23"/>
      <c r="AP1015" s="23"/>
      <c r="AQ1015" s="23"/>
      <c r="AR1015" s="23"/>
      <c r="AS1015" s="2">
        <v>1</v>
      </c>
      <c r="AT1015" s="58" t="s">
        <v>646</v>
      </c>
      <c r="AU1015" s="105"/>
      <c r="AV1015" s="23"/>
      <c r="AW1015" s="23">
        <v>1</v>
      </c>
      <c r="AX1015" s="23"/>
      <c r="AY1015" s="23"/>
      <c r="AZ1015" s="23"/>
      <c r="BA1015" s="23"/>
      <c r="BB1015" s="223"/>
      <c r="BC1015" s="223"/>
      <c r="BD1015" s="270">
        <v>2017</v>
      </c>
      <c r="BE1015" s="270"/>
      <c r="BF1015" s="268"/>
    </row>
    <row r="1016" spans="1:58" ht="15" hidden="1" customHeight="1">
      <c r="A1016" s="160" t="s">
        <v>1</v>
      </c>
      <c r="B1016" s="58" t="s">
        <v>320</v>
      </c>
      <c r="C1016" s="122" t="s">
        <v>622</v>
      </c>
      <c r="D1016" s="33" t="s">
        <v>519</v>
      </c>
      <c r="E1016" s="33"/>
      <c r="F1016" s="33"/>
      <c r="G1016" s="33"/>
      <c r="H1016" s="30" t="s">
        <v>647</v>
      </c>
      <c r="I1016" s="30"/>
      <c r="J1016" s="212"/>
      <c r="K1016" s="23"/>
      <c r="L1016" s="23"/>
      <c r="M1016" s="23"/>
      <c r="N1016" s="23"/>
      <c r="O1016" s="23"/>
      <c r="P1016" s="23"/>
      <c r="Q1016" s="23"/>
      <c r="R1016" s="23"/>
      <c r="S1016" s="23"/>
      <c r="T1016" s="586"/>
      <c r="U1016" s="23"/>
      <c r="V1016" s="311"/>
      <c r="W1016" s="311"/>
      <c r="X1016" s="311"/>
      <c r="Y1016" s="94"/>
      <c r="Z1016" s="23"/>
      <c r="AA1016" s="23"/>
      <c r="AB1016" s="23"/>
      <c r="AC1016" s="23"/>
      <c r="AD1016" s="158"/>
      <c r="AE1016" s="158"/>
      <c r="AF1016" s="158"/>
      <c r="AG1016" s="158"/>
      <c r="AH1016" s="158"/>
      <c r="AI1016" s="158"/>
      <c r="AJ1016" s="158"/>
      <c r="AK1016" s="158"/>
      <c r="AL1016" s="158"/>
      <c r="AM1016" s="158"/>
      <c r="AN1016" s="158"/>
      <c r="AO1016" s="23"/>
      <c r="AP1016" s="23"/>
      <c r="AQ1016" s="23"/>
      <c r="AR1016" s="23"/>
      <c r="AS1016" s="2">
        <v>1</v>
      </c>
      <c r="AT1016" s="58" t="s">
        <v>646</v>
      </c>
      <c r="AU1016" s="105"/>
      <c r="AV1016" s="23"/>
      <c r="AW1016" s="23">
        <v>1</v>
      </c>
      <c r="AX1016" s="23"/>
      <c r="AY1016" s="23"/>
      <c r="AZ1016" s="23"/>
      <c r="BA1016" s="23"/>
      <c r="BB1016" s="223"/>
      <c r="BC1016" s="223"/>
      <c r="BD1016" s="270">
        <v>2017</v>
      </c>
      <c r="BE1016" s="270"/>
      <c r="BF1016" s="268"/>
    </row>
    <row r="1017" spans="1:58" s="204" customFormat="1" ht="18" customHeight="1">
      <c r="A1017" s="160" t="s">
        <v>1</v>
      </c>
      <c r="B1017" s="58" t="s">
        <v>320</v>
      </c>
      <c r="C1017" s="122" t="s">
        <v>1219</v>
      </c>
      <c r="D1017" s="33" t="s">
        <v>387</v>
      </c>
      <c r="E1017" s="33"/>
      <c r="F1017" s="33"/>
      <c r="G1017" s="33"/>
      <c r="H1017" s="30" t="s">
        <v>647</v>
      </c>
      <c r="I1017" s="30">
        <v>1188</v>
      </c>
      <c r="J1017" s="212">
        <v>41740</v>
      </c>
      <c r="K1017" s="23"/>
      <c r="L1017" s="23"/>
      <c r="M1017" s="23">
        <v>1</v>
      </c>
      <c r="N1017" s="23">
        <v>1</v>
      </c>
      <c r="O1017" s="23"/>
      <c r="P1017" s="23">
        <v>56837553</v>
      </c>
      <c r="Q1017" s="23"/>
      <c r="R1017" s="23"/>
      <c r="S1017" s="23"/>
      <c r="T1017" s="586">
        <v>25576899</v>
      </c>
      <c r="U1017" s="23">
        <v>20</v>
      </c>
      <c r="V1017" s="311"/>
      <c r="W1017" s="311"/>
      <c r="X1017" s="311"/>
      <c r="Y1017" s="23">
        <v>31260654</v>
      </c>
      <c r="Z1017" s="23">
        <v>10</v>
      </c>
      <c r="AA1017" s="311">
        <v>43497</v>
      </c>
      <c r="AB1017" s="311"/>
      <c r="AC1017" s="23"/>
      <c r="AD1017" s="158"/>
      <c r="AE1017" s="158">
        <f>P1017-T1017-Y1017</f>
        <v>0</v>
      </c>
      <c r="AF1017" s="158"/>
      <c r="AG1017" s="94">
        <v>0</v>
      </c>
      <c r="AH1017" s="94"/>
      <c r="AI1017" s="94"/>
      <c r="AJ1017" s="158">
        <f t="shared" ref="AJ1017" si="164">AE1017+AG1017</f>
        <v>0</v>
      </c>
      <c r="AK1017" s="158">
        <v>877</v>
      </c>
      <c r="AL1017" s="158">
        <v>10</v>
      </c>
      <c r="AM1017" s="158"/>
      <c r="AN1017" s="158">
        <v>1</v>
      </c>
      <c r="AO1017" s="23"/>
      <c r="AP1017" s="23"/>
      <c r="AQ1017" s="23"/>
      <c r="AR1017" s="23"/>
      <c r="AS1017" s="2">
        <v>0.45</v>
      </c>
      <c r="AT1017" s="58" t="s">
        <v>38</v>
      </c>
      <c r="AU1017" s="386"/>
      <c r="AV1017" s="23"/>
      <c r="AW1017" s="23"/>
      <c r="AX1017" s="23"/>
      <c r="AY1017" s="23"/>
      <c r="AZ1017" s="23"/>
      <c r="BA1017" s="23"/>
      <c r="BB1017" s="223"/>
      <c r="BC1017" s="223"/>
      <c r="BD1017" s="271"/>
      <c r="BE1017" s="271">
        <v>2019</v>
      </c>
      <c r="BF1017" s="271">
        <v>2020</v>
      </c>
    </row>
    <row r="1018" spans="1:58" ht="15" hidden="1" customHeight="1">
      <c r="A1018" s="160" t="s">
        <v>1</v>
      </c>
      <c r="B1018" s="58" t="s">
        <v>320</v>
      </c>
      <c r="C1018" s="58" t="s">
        <v>623</v>
      </c>
      <c r="D1018" s="33" t="s">
        <v>387</v>
      </c>
      <c r="E1018" s="33"/>
      <c r="F1018" s="33"/>
      <c r="G1018" s="33"/>
      <c r="H1018" s="30" t="s">
        <v>647</v>
      </c>
      <c r="I1018" s="30"/>
      <c r="J1018" s="212"/>
      <c r="K1018" s="23"/>
      <c r="L1018" s="23"/>
      <c r="M1018" s="23"/>
      <c r="N1018" s="23"/>
      <c r="O1018" s="23"/>
      <c r="P1018" s="23"/>
      <c r="Q1018" s="23"/>
      <c r="R1018" s="23"/>
      <c r="S1018" s="23"/>
      <c r="T1018" s="586"/>
      <c r="U1018" s="23"/>
      <c r="V1018" s="311"/>
      <c r="W1018" s="311"/>
      <c r="X1018" s="311"/>
      <c r="Y1018" s="23"/>
      <c r="Z1018" s="23"/>
      <c r="AA1018" s="23"/>
      <c r="AB1018" s="23"/>
      <c r="AC1018" s="23"/>
      <c r="AD1018" s="158"/>
      <c r="AE1018" s="158"/>
      <c r="AF1018" s="158"/>
      <c r="AG1018" s="158"/>
      <c r="AH1018" s="158"/>
      <c r="AI1018" s="158"/>
      <c r="AJ1018" s="158"/>
      <c r="AK1018" s="158"/>
      <c r="AL1018" s="158"/>
      <c r="AM1018" s="158"/>
      <c r="AN1018" s="158"/>
      <c r="AO1018" s="23"/>
      <c r="AP1018" s="23"/>
      <c r="AQ1018" s="23"/>
      <c r="AR1018" s="23"/>
      <c r="AS1018" s="2">
        <v>1</v>
      </c>
      <c r="AT1018" s="58" t="s">
        <v>646</v>
      </c>
      <c r="AU1018" s="105" t="s">
        <v>677</v>
      </c>
      <c r="AV1018" s="23"/>
      <c r="AW1018" s="23"/>
      <c r="AX1018" s="23">
        <v>1</v>
      </c>
      <c r="AY1018" s="23"/>
      <c r="AZ1018" s="23"/>
      <c r="BA1018" s="23">
        <v>1</v>
      </c>
      <c r="BB1018" s="223"/>
      <c r="BC1018" s="223"/>
      <c r="BD1018" s="270">
        <v>2018</v>
      </c>
      <c r="BE1018" s="270"/>
      <c r="BF1018" s="268"/>
    </row>
    <row r="1019" spans="1:58" ht="18" hidden="1" customHeight="1">
      <c r="A1019" s="160" t="s">
        <v>1</v>
      </c>
      <c r="B1019" s="58" t="s">
        <v>320</v>
      </c>
      <c r="C1019" s="122" t="s">
        <v>624</v>
      </c>
      <c r="D1019" s="33" t="s">
        <v>387</v>
      </c>
      <c r="E1019" s="33"/>
      <c r="F1019" s="33"/>
      <c r="G1019" s="33"/>
      <c r="H1019" s="30" t="s">
        <v>655</v>
      </c>
      <c r="I1019" s="30">
        <v>1237</v>
      </c>
      <c r="J1019" s="212">
        <v>42906</v>
      </c>
      <c r="K1019" s="23"/>
      <c r="L1019" s="23">
        <v>1</v>
      </c>
      <c r="M1019" s="23"/>
      <c r="N1019" s="23"/>
      <c r="O1019" s="23"/>
      <c r="P1019" s="23">
        <v>51670509</v>
      </c>
      <c r="Q1019" s="23"/>
      <c r="R1019" s="23"/>
      <c r="S1019" s="23"/>
      <c r="T1019" s="586">
        <v>23251729</v>
      </c>
      <c r="U1019" s="23"/>
      <c r="V1019" s="311"/>
      <c r="W1019" s="311"/>
      <c r="X1019" s="311"/>
      <c r="Y1019" s="23">
        <v>28418780</v>
      </c>
      <c r="Z1019" s="23"/>
      <c r="AA1019" s="23"/>
      <c r="AB1019" s="23"/>
      <c r="AC1019" s="23"/>
      <c r="AD1019" s="158"/>
      <c r="AE1019" s="158">
        <f>P1019-T1019-Y1019</f>
        <v>0</v>
      </c>
      <c r="AF1019" s="158"/>
      <c r="AG1019" s="94">
        <v>0</v>
      </c>
      <c r="AH1019" s="94"/>
      <c r="AI1019" s="94"/>
      <c r="AJ1019" s="158">
        <f t="shared" ref="AJ1019" si="165">AE1019+AG1019</f>
        <v>0</v>
      </c>
      <c r="AK1019" s="158"/>
      <c r="AL1019" s="158"/>
      <c r="AM1019" s="158"/>
      <c r="AN1019" s="158"/>
      <c r="AO1019" s="23"/>
      <c r="AP1019" s="23"/>
      <c r="AQ1019" s="23"/>
      <c r="AR1019" s="23"/>
      <c r="AS1019" s="2">
        <v>1</v>
      </c>
      <c r="AT1019" s="58" t="s">
        <v>646</v>
      </c>
      <c r="AU1019" s="401" t="s">
        <v>1857</v>
      </c>
      <c r="AV1019" s="23"/>
      <c r="AW1019" s="23"/>
      <c r="AX1019" s="23"/>
      <c r="AY1019" s="23">
        <v>1</v>
      </c>
      <c r="AZ1019" s="23"/>
      <c r="BA1019" s="23"/>
      <c r="BB1019" s="223">
        <v>1</v>
      </c>
      <c r="BC1019" s="223"/>
      <c r="BD1019" s="270">
        <v>2019</v>
      </c>
      <c r="BE1019" s="270">
        <v>2019</v>
      </c>
      <c r="BF1019" s="271"/>
    </row>
    <row r="1020" spans="1:58" ht="15" hidden="1" customHeight="1">
      <c r="A1020" s="160" t="s">
        <v>1</v>
      </c>
      <c r="B1020" s="58" t="s">
        <v>320</v>
      </c>
      <c r="C1020" s="122" t="s">
        <v>625</v>
      </c>
      <c r="D1020" s="33" t="s">
        <v>519</v>
      </c>
      <c r="E1020" s="33"/>
      <c r="F1020" s="33"/>
      <c r="G1020" s="33"/>
      <c r="H1020" s="30" t="s">
        <v>647</v>
      </c>
      <c r="I1020" s="30"/>
      <c r="J1020" s="212"/>
      <c r="K1020" s="23"/>
      <c r="L1020" s="23"/>
      <c r="M1020" s="23"/>
      <c r="N1020" s="23"/>
      <c r="O1020" s="23"/>
      <c r="P1020" s="23"/>
      <c r="Q1020" s="23"/>
      <c r="R1020" s="23"/>
      <c r="S1020" s="23"/>
      <c r="T1020" s="586"/>
      <c r="U1020" s="23"/>
      <c r="V1020" s="311"/>
      <c r="W1020" s="311"/>
      <c r="X1020" s="311"/>
      <c r="Y1020" s="23"/>
      <c r="Z1020" s="23"/>
      <c r="AA1020" s="23"/>
      <c r="AB1020" s="23"/>
      <c r="AC1020" s="23"/>
      <c r="AD1020" s="158"/>
      <c r="AE1020" s="158"/>
      <c r="AF1020" s="158"/>
      <c r="AG1020" s="158"/>
      <c r="AH1020" s="158"/>
      <c r="AI1020" s="158"/>
      <c r="AJ1020" s="158"/>
      <c r="AK1020" s="158"/>
      <c r="AL1020" s="158"/>
      <c r="AM1020" s="158"/>
      <c r="AN1020" s="158"/>
      <c r="AO1020" s="23"/>
      <c r="AP1020" s="23"/>
      <c r="AQ1020" s="23"/>
      <c r="AR1020" s="23"/>
      <c r="AS1020" s="2">
        <v>1</v>
      </c>
      <c r="AT1020" s="58" t="s">
        <v>646</v>
      </c>
      <c r="AU1020" s="105" t="s">
        <v>677</v>
      </c>
      <c r="AV1020" s="23"/>
      <c r="AW1020" s="23">
        <v>1</v>
      </c>
      <c r="AX1020" s="23"/>
      <c r="AY1020" s="23"/>
      <c r="AZ1020" s="23"/>
      <c r="BA1020" s="23"/>
      <c r="BB1020" s="223"/>
      <c r="BC1020" s="223"/>
      <c r="BD1020" s="270">
        <v>2017</v>
      </c>
      <c r="BE1020" s="270"/>
      <c r="BF1020" s="268"/>
    </row>
    <row r="1021" spans="1:58" ht="18" hidden="1" customHeight="1">
      <c r="A1021" s="160" t="s">
        <v>1</v>
      </c>
      <c r="B1021" s="58" t="s">
        <v>320</v>
      </c>
      <c r="C1021" s="122" t="s">
        <v>626</v>
      </c>
      <c r="D1021" s="33" t="s">
        <v>387</v>
      </c>
      <c r="E1021" s="33"/>
      <c r="F1021" s="33"/>
      <c r="G1021" s="33"/>
      <c r="H1021" s="30" t="s">
        <v>647</v>
      </c>
      <c r="I1021" s="30">
        <v>747</v>
      </c>
      <c r="J1021" s="212">
        <v>41782</v>
      </c>
      <c r="K1021" s="23"/>
      <c r="L1021" s="23">
        <v>1</v>
      </c>
      <c r="M1021" s="23"/>
      <c r="N1021" s="23"/>
      <c r="O1021" s="23"/>
      <c r="P1021" s="23">
        <v>56747504</v>
      </c>
      <c r="Q1021" s="23"/>
      <c r="R1021" s="23"/>
      <c r="S1021" s="23"/>
      <c r="T1021" s="586">
        <v>25536377</v>
      </c>
      <c r="U1021" s="23"/>
      <c r="V1021" s="311"/>
      <c r="W1021" s="311"/>
      <c r="X1021" s="311"/>
      <c r="Y1021" s="23">
        <v>31211127</v>
      </c>
      <c r="Z1021" s="23"/>
      <c r="AA1021" s="23"/>
      <c r="AB1021" s="23"/>
      <c r="AC1021" s="23"/>
      <c r="AD1021" s="158"/>
      <c r="AE1021" s="158">
        <f>P1021-T1021-Y1021</f>
        <v>0</v>
      </c>
      <c r="AF1021" s="158"/>
      <c r="AG1021" s="94">
        <v>0</v>
      </c>
      <c r="AH1021" s="94"/>
      <c r="AI1021" s="94"/>
      <c r="AJ1021" s="158">
        <f t="shared" ref="AJ1021" si="166">AE1021+AG1021</f>
        <v>0</v>
      </c>
      <c r="AK1021" s="158"/>
      <c r="AL1021" s="158"/>
      <c r="AM1021" s="158"/>
      <c r="AN1021" s="158"/>
      <c r="AO1021" s="23"/>
      <c r="AP1021" s="23"/>
      <c r="AQ1021" s="23"/>
      <c r="AR1021" s="23"/>
      <c r="AS1021" s="2">
        <v>1</v>
      </c>
      <c r="AT1021" s="58" t="s">
        <v>646</v>
      </c>
      <c r="AU1021" s="388" t="s">
        <v>1864</v>
      </c>
      <c r="AV1021" s="23"/>
      <c r="AW1021" s="23"/>
      <c r="AX1021" s="23"/>
      <c r="AY1021" s="23">
        <v>1</v>
      </c>
      <c r="AZ1021" s="23"/>
      <c r="BA1021" s="23"/>
      <c r="BB1021" s="223">
        <v>1</v>
      </c>
      <c r="BC1021" s="223"/>
      <c r="BD1021" s="270">
        <v>2019</v>
      </c>
      <c r="BE1021" s="270">
        <v>2019</v>
      </c>
      <c r="BF1021" s="271"/>
    </row>
    <row r="1022" spans="1:58" ht="15" hidden="1" customHeight="1">
      <c r="A1022" s="160" t="s">
        <v>1</v>
      </c>
      <c r="B1022" s="58" t="s">
        <v>320</v>
      </c>
      <c r="C1022" s="58" t="s">
        <v>627</v>
      </c>
      <c r="D1022" s="33" t="s">
        <v>387</v>
      </c>
      <c r="E1022" s="33"/>
      <c r="F1022" s="33"/>
      <c r="G1022" s="33"/>
      <c r="H1022" s="30" t="s">
        <v>647</v>
      </c>
      <c r="I1022" s="30"/>
      <c r="J1022" s="212"/>
      <c r="K1022" s="23"/>
      <c r="L1022" s="23"/>
      <c r="M1022" s="23"/>
      <c r="N1022" s="23"/>
      <c r="O1022" s="23"/>
      <c r="P1022" s="23"/>
      <c r="Q1022" s="23"/>
      <c r="R1022" s="23"/>
      <c r="S1022" s="23"/>
      <c r="T1022" s="586"/>
      <c r="U1022" s="23"/>
      <c r="V1022" s="311"/>
      <c r="W1022" s="311"/>
      <c r="X1022" s="311"/>
      <c r="Y1022" s="23"/>
      <c r="Z1022" s="23"/>
      <c r="AA1022" s="23"/>
      <c r="AB1022" s="23"/>
      <c r="AC1022" s="23"/>
      <c r="AD1022" s="158"/>
      <c r="AE1022" s="158"/>
      <c r="AF1022" s="158"/>
      <c r="AG1022" s="158"/>
      <c r="AH1022" s="158"/>
      <c r="AI1022" s="158"/>
      <c r="AJ1022" s="158"/>
      <c r="AK1022" s="158"/>
      <c r="AL1022" s="158"/>
      <c r="AM1022" s="158"/>
      <c r="AN1022" s="158"/>
      <c r="AO1022" s="23"/>
      <c r="AP1022" s="23"/>
      <c r="AQ1022" s="23"/>
      <c r="AR1022" s="23"/>
      <c r="AS1022" s="2">
        <v>1</v>
      </c>
      <c r="AT1022" s="58" t="s">
        <v>646</v>
      </c>
      <c r="AU1022" s="105"/>
      <c r="AV1022" s="23"/>
      <c r="AW1022" s="23"/>
      <c r="AX1022" s="23">
        <v>1</v>
      </c>
      <c r="AY1022" s="23"/>
      <c r="AZ1022" s="23"/>
      <c r="BA1022" s="23">
        <v>1</v>
      </c>
      <c r="BB1022" s="223"/>
      <c r="BC1022" s="223"/>
      <c r="BD1022" s="270">
        <v>2018</v>
      </c>
      <c r="BE1022" s="270"/>
      <c r="BF1022" s="268"/>
    </row>
    <row r="1023" spans="1:58" ht="27" hidden="1" customHeight="1">
      <c r="A1023" s="160" t="s">
        <v>1</v>
      </c>
      <c r="B1023" s="58" t="s">
        <v>320</v>
      </c>
      <c r="C1023" s="122" t="s">
        <v>628</v>
      </c>
      <c r="D1023" s="33" t="s">
        <v>519</v>
      </c>
      <c r="E1023" s="33"/>
      <c r="F1023" s="33"/>
      <c r="G1023" s="33"/>
      <c r="H1023" s="30" t="s">
        <v>647</v>
      </c>
      <c r="I1023" s="30"/>
      <c r="J1023" s="212"/>
      <c r="K1023" s="23"/>
      <c r="L1023" s="23"/>
      <c r="M1023" s="23"/>
      <c r="N1023" s="23"/>
      <c r="O1023" s="23"/>
      <c r="P1023" s="23"/>
      <c r="Q1023" s="23"/>
      <c r="R1023" s="23"/>
      <c r="S1023" s="23"/>
      <c r="T1023" s="586"/>
      <c r="U1023" s="23"/>
      <c r="V1023" s="311"/>
      <c r="W1023" s="311"/>
      <c r="X1023" s="311"/>
      <c r="Y1023" s="23"/>
      <c r="Z1023" s="23"/>
      <c r="AA1023" s="23"/>
      <c r="AB1023" s="23"/>
      <c r="AC1023" s="23"/>
      <c r="AD1023" s="158"/>
      <c r="AE1023" s="158"/>
      <c r="AF1023" s="158"/>
      <c r="AG1023" s="158"/>
      <c r="AH1023" s="158"/>
      <c r="AI1023" s="158"/>
      <c r="AJ1023" s="158"/>
      <c r="AK1023" s="158"/>
      <c r="AL1023" s="158"/>
      <c r="AM1023" s="158"/>
      <c r="AN1023" s="158"/>
      <c r="AO1023" s="23"/>
      <c r="AP1023" s="23"/>
      <c r="AQ1023" s="23"/>
      <c r="AR1023" s="23"/>
      <c r="AS1023" s="2">
        <v>1</v>
      </c>
      <c r="AT1023" s="58" t="s">
        <v>646</v>
      </c>
      <c r="AU1023" s="154" t="s">
        <v>705</v>
      </c>
      <c r="AV1023" s="23"/>
      <c r="AW1023" s="23">
        <v>1</v>
      </c>
      <c r="AX1023" s="23"/>
      <c r="AY1023" s="23"/>
      <c r="AZ1023" s="23"/>
      <c r="BA1023" s="23"/>
      <c r="BB1023" s="223"/>
      <c r="BC1023" s="223"/>
      <c r="BD1023" s="270">
        <v>2017</v>
      </c>
      <c r="BE1023" s="270"/>
      <c r="BF1023" s="268"/>
    </row>
    <row r="1024" spans="1:58" ht="15" hidden="1" customHeight="1">
      <c r="A1024" s="160" t="s">
        <v>1</v>
      </c>
      <c r="B1024" s="58" t="s">
        <v>320</v>
      </c>
      <c r="C1024" s="122" t="s">
        <v>707</v>
      </c>
      <c r="D1024" s="33" t="s">
        <v>588</v>
      </c>
      <c r="E1024" s="33"/>
      <c r="F1024" s="33"/>
      <c r="G1024" s="33"/>
      <c r="H1024" s="30" t="s">
        <v>661</v>
      </c>
      <c r="I1024" s="30"/>
      <c r="J1024" s="212"/>
      <c r="K1024" s="23"/>
      <c r="L1024" s="23"/>
      <c r="M1024" s="23"/>
      <c r="N1024" s="23"/>
      <c r="O1024" s="23"/>
      <c r="P1024" s="23"/>
      <c r="Q1024" s="23"/>
      <c r="R1024" s="23"/>
      <c r="S1024" s="23"/>
      <c r="T1024" s="586"/>
      <c r="U1024" s="23"/>
      <c r="V1024" s="311"/>
      <c r="W1024" s="311"/>
      <c r="X1024" s="311"/>
      <c r="Y1024" s="94"/>
      <c r="Z1024" s="23"/>
      <c r="AA1024" s="23"/>
      <c r="AB1024" s="23"/>
      <c r="AC1024" s="23"/>
      <c r="AD1024" s="158"/>
      <c r="AE1024" s="158"/>
      <c r="AF1024" s="158"/>
      <c r="AG1024" s="158"/>
      <c r="AH1024" s="158"/>
      <c r="AI1024" s="158"/>
      <c r="AJ1024" s="158"/>
      <c r="AK1024" s="158"/>
      <c r="AL1024" s="158"/>
      <c r="AM1024" s="158"/>
      <c r="AN1024" s="158"/>
      <c r="AO1024" s="50"/>
      <c r="AP1024" s="50"/>
      <c r="AQ1024" s="50"/>
      <c r="AR1024" s="50"/>
      <c r="AS1024" s="2">
        <v>1</v>
      </c>
      <c r="AT1024" s="58" t="s">
        <v>646</v>
      </c>
      <c r="AU1024" s="105"/>
      <c r="AV1024" s="23"/>
      <c r="AW1024" s="50">
        <v>1</v>
      </c>
      <c r="AX1024" s="50"/>
      <c r="AY1024" s="50"/>
      <c r="AZ1024" s="50"/>
      <c r="BA1024" s="50"/>
      <c r="BB1024" s="293"/>
      <c r="BC1024" s="293"/>
      <c r="BD1024" s="270">
        <v>2017</v>
      </c>
      <c r="BE1024" s="270"/>
      <c r="BF1024" s="268"/>
    </row>
    <row r="1025" spans="1:58" ht="15" hidden="1" customHeight="1">
      <c r="A1025" s="160" t="s">
        <v>1</v>
      </c>
      <c r="B1025" s="58" t="s">
        <v>320</v>
      </c>
      <c r="C1025" s="122" t="s">
        <v>792</v>
      </c>
      <c r="D1025" s="33" t="s">
        <v>519</v>
      </c>
      <c r="E1025" s="33"/>
      <c r="F1025" s="33"/>
      <c r="G1025" s="33"/>
      <c r="H1025" s="30" t="s">
        <v>647</v>
      </c>
      <c r="I1025" s="30"/>
      <c r="J1025" s="212"/>
      <c r="K1025" s="23"/>
      <c r="L1025" s="23"/>
      <c r="M1025" s="23"/>
      <c r="N1025" s="23"/>
      <c r="O1025" s="23"/>
      <c r="P1025" s="23"/>
      <c r="Q1025" s="23"/>
      <c r="R1025" s="23"/>
      <c r="S1025" s="23"/>
      <c r="T1025" s="586"/>
      <c r="U1025" s="23"/>
      <c r="V1025" s="311"/>
      <c r="W1025" s="311"/>
      <c r="X1025" s="311"/>
      <c r="Y1025" s="94"/>
      <c r="Z1025" s="23"/>
      <c r="AA1025" s="23"/>
      <c r="AB1025" s="23"/>
      <c r="AC1025" s="23"/>
      <c r="AD1025" s="158"/>
      <c r="AE1025" s="158"/>
      <c r="AF1025" s="158"/>
      <c r="AG1025" s="158"/>
      <c r="AH1025" s="158"/>
      <c r="AI1025" s="158"/>
      <c r="AJ1025" s="158"/>
      <c r="AK1025" s="158"/>
      <c r="AL1025" s="158"/>
      <c r="AM1025" s="158"/>
      <c r="AN1025" s="158"/>
      <c r="AO1025" s="23"/>
      <c r="AP1025" s="23"/>
      <c r="AQ1025" s="23"/>
      <c r="AR1025" s="23"/>
      <c r="AS1025" s="2">
        <v>1</v>
      </c>
      <c r="AT1025" s="58" t="s">
        <v>646</v>
      </c>
      <c r="AU1025" s="105"/>
      <c r="AV1025" s="23"/>
      <c r="AW1025" s="23">
        <v>1</v>
      </c>
      <c r="AX1025" s="23"/>
      <c r="AY1025" s="23"/>
      <c r="AZ1025" s="23"/>
      <c r="BA1025" s="23"/>
      <c r="BB1025" s="223"/>
      <c r="BC1025" s="223"/>
      <c r="BD1025" s="270">
        <v>2017</v>
      </c>
      <c r="BE1025" s="270"/>
      <c r="BF1025" s="268"/>
    </row>
    <row r="1026" spans="1:58" ht="15" hidden="1" customHeight="1">
      <c r="A1026" s="160" t="s">
        <v>1</v>
      </c>
      <c r="B1026" s="58" t="s">
        <v>320</v>
      </c>
      <c r="C1026" s="122" t="s">
        <v>793</v>
      </c>
      <c r="D1026" s="33" t="s">
        <v>519</v>
      </c>
      <c r="E1026" s="33"/>
      <c r="F1026" s="33"/>
      <c r="G1026" s="33"/>
      <c r="H1026" s="30" t="s">
        <v>647</v>
      </c>
      <c r="I1026" s="30"/>
      <c r="J1026" s="212"/>
      <c r="K1026" s="23"/>
      <c r="L1026" s="23"/>
      <c r="M1026" s="23"/>
      <c r="N1026" s="23"/>
      <c r="O1026" s="23"/>
      <c r="P1026" s="23"/>
      <c r="Q1026" s="23"/>
      <c r="R1026" s="23"/>
      <c r="S1026" s="23"/>
      <c r="T1026" s="586"/>
      <c r="U1026" s="23"/>
      <c r="V1026" s="311"/>
      <c r="W1026" s="311"/>
      <c r="X1026" s="311"/>
      <c r="Y1026" s="94"/>
      <c r="Z1026" s="23"/>
      <c r="AA1026" s="23"/>
      <c r="AB1026" s="23"/>
      <c r="AC1026" s="23"/>
      <c r="AD1026" s="158"/>
      <c r="AE1026" s="158"/>
      <c r="AF1026" s="158"/>
      <c r="AG1026" s="158"/>
      <c r="AH1026" s="158"/>
      <c r="AI1026" s="158"/>
      <c r="AJ1026" s="158"/>
      <c r="AK1026" s="158"/>
      <c r="AL1026" s="158"/>
      <c r="AM1026" s="158"/>
      <c r="AN1026" s="158"/>
      <c r="AO1026" s="23"/>
      <c r="AP1026" s="23"/>
      <c r="AQ1026" s="23"/>
      <c r="AR1026" s="23"/>
      <c r="AS1026" s="2">
        <v>1</v>
      </c>
      <c r="AT1026" s="58" t="s">
        <v>646</v>
      </c>
      <c r="AU1026" s="105"/>
      <c r="AV1026" s="23"/>
      <c r="AW1026" s="23">
        <v>1</v>
      </c>
      <c r="AX1026" s="23"/>
      <c r="AY1026" s="23"/>
      <c r="AZ1026" s="23"/>
      <c r="BA1026" s="23"/>
      <c r="BB1026" s="223"/>
      <c r="BC1026" s="223"/>
      <c r="BD1026" s="270">
        <v>2017</v>
      </c>
      <c r="BE1026" s="270"/>
      <c r="BF1026" s="268"/>
    </row>
    <row r="1027" spans="1:58" ht="15" hidden="1" customHeight="1">
      <c r="A1027" s="160" t="s">
        <v>1</v>
      </c>
      <c r="B1027" s="58" t="s">
        <v>320</v>
      </c>
      <c r="C1027" s="122" t="s">
        <v>794</v>
      </c>
      <c r="D1027" s="33" t="s">
        <v>519</v>
      </c>
      <c r="E1027" s="33"/>
      <c r="F1027" s="33"/>
      <c r="G1027" s="33"/>
      <c r="H1027" s="30" t="s">
        <v>647</v>
      </c>
      <c r="I1027" s="30"/>
      <c r="J1027" s="212"/>
      <c r="K1027" s="23"/>
      <c r="L1027" s="23"/>
      <c r="M1027" s="23"/>
      <c r="N1027" s="23"/>
      <c r="O1027" s="23"/>
      <c r="P1027" s="23"/>
      <c r="Q1027" s="23"/>
      <c r="R1027" s="23"/>
      <c r="S1027" s="23"/>
      <c r="T1027" s="586"/>
      <c r="U1027" s="23"/>
      <c r="V1027" s="311"/>
      <c r="W1027" s="311"/>
      <c r="X1027" s="311"/>
      <c r="Y1027" s="94"/>
      <c r="Z1027" s="23"/>
      <c r="AA1027" s="23"/>
      <c r="AB1027" s="23"/>
      <c r="AC1027" s="23"/>
      <c r="AD1027" s="158"/>
      <c r="AE1027" s="158"/>
      <c r="AF1027" s="158"/>
      <c r="AG1027" s="158"/>
      <c r="AH1027" s="158"/>
      <c r="AI1027" s="158"/>
      <c r="AJ1027" s="158"/>
      <c r="AK1027" s="158"/>
      <c r="AL1027" s="158"/>
      <c r="AM1027" s="158"/>
      <c r="AN1027" s="158"/>
      <c r="AO1027" s="23"/>
      <c r="AP1027" s="23"/>
      <c r="AQ1027" s="23"/>
      <c r="AR1027" s="23"/>
      <c r="AS1027" s="2">
        <v>1</v>
      </c>
      <c r="AT1027" s="58" t="s">
        <v>646</v>
      </c>
      <c r="AU1027" s="105"/>
      <c r="AV1027" s="23"/>
      <c r="AW1027" s="23">
        <v>1</v>
      </c>
      <c r="AX1027" s="23"/>
      <c r="AY1027" s="23"/>
      <c r="AZ1027" s="23"/>
      <c r="BA1027" s="23"/>
      <c r="BB1027" s="223"/>
      <c r="BC1027" s="223"/>
      <c r="BD1027" s="270">
        <v>2017</v>
      </c>
      <c r="BE1027" s="270"/>
      <c r="BF1027" s="268"/>
    </row>
    <row r="1028" spans="1:58" ht="15" hidden="1" customHeight="1">
      <c r="A1028" s="160" t="s">
        <v>1</v>
      </c>
      <c r="B1028" s="58" t="s">
        <v>320</v>
      </c>
      <c r="C1028" s="122" t="s">
        <v>795</v>
      </c>
      <c r="D1028" s="33" t="s">
        <v>387</v>
      </c>
      <c r="E1028" s="33"/>
      <c r="F1028" s="33"/>
      <c r="G1028" s="33"/>
      <c r="H1028" s="30" t="s">
        <v>647</v>
      </c>
      <c r="I1028" s="30"/>
      <c r="J1028" s="212"/>
      <c r="K1028" s="23"/>
      <c r="L1028" s="23"/>
      <c r="M1028" s="23"/>
      <c r="N1028" s="23"/>
      <c r="O1028" s="23"/>
      <c r="P1028" s="23"/>
      <c r="Q1028" s="23"/>
      <c r="R1028" s="23"/>
      <c r="S1028" s="23"/>
      <c r="T1028" s="586"/>
      <c r="U1028" s="23"/>
      <c r="V1028" s="311"/>
      <c r="W1028" s="311"/>
      <c r="X1028" s="311"/>
      <c r="Y1028" s="94"/>
      <c r="Z1028" s="23"/>
      <c r="AA1028" s="23"/>
      <c r="AB1028" s="23"/>
      <c r="AC1028" s="23"/>
      <c r="AD1028" s="158"/>
      <c r="AE1028" s="158"/>
      <c r="AF1028" s="158"/>
      <c r="AG1028" s="158"/>
      <c r="AH1028" s="158"/>
      <c r="AI1028" s="158"/>
      <c r="AJ1028" s="158"/>
      <c r="AK1028" s="158"/>
      <c r="AL1028" s="158"/>
      <c r="AM1028" s="158"/>
      <c r="AN1028" s="158"/>
      <c r="AO1028" s="23"/>
      <c r="AP1028" s="23"/>
      <c r="AQ1028" s="23"/>
      <c r="AR1028" s="23"/>
      <c r="AS1028" s="2">
        <v>1</v>
      </c>
      <c r="AT1028" s="58" t="s">
        <v>646</v>
      </c>
      <c r="AU1028" s="105"/>
      <c r="AV1028" s="23"/>
      <c r="AW1028" s="23">
        <v>1</v>
      </c>
      <c r="AX1028" s="23"/>
      <c r="AY1028" s="23"/>
      <c r="AZ1028" s="23"/>
      <c r="BA1028" s="23"/>
      <c r="BB1028" s="223"/>
      <c r="BC1028" s="223"/>
      <c r="BD1028" s="270">
        <v>2017</v>
      </c>
      <c r="BE1028" s="270"/>
      <c r="BF1028" s="268"/>
    </row>
    <row r="1029" spans="1:58" ht="15" hidden="1" customHeight="1">
      <c r="A1029" s="160" t="s">
        <v>1</v>
      </c>
      <c r="B1029" s="58" t="s">
        <v>320</v>
      </c>
      <c r="C1029" s="122" t="s">
        <v>796</v>
      </c>
      <c r="D1029" s="33" t="s">
        <v>797</v>
      </c>
      <c r="E1029" s="33"/>
      <c r="F1029" s="33"/>
      <c r="G1029" s="33"/>
      <c r="H1029" s="30" t="s">
        <v>647</v>
      </c>
      <c r="I1029" s="30"/>
      <c r="J1029" s="212"/>
      <c r="K1029" s="23"/>
      <c r="L1029" s="23"/>
      <c r="M1029" s="23"/>
      <c r="N1029" s="23"/>
      <c r="O1029" s="23"/>
      <c r="P1029" s="23"/>
      <c r="Q1029" s="23"/>
      <c r="R1029" s="23"/>
      <c r="S1029" s="23"/>
      <c r="T1029" s="586"/>
      <c r="U1029" s="23"/>
      <c r="V1029" s="311"/>
      <c r="W1029" s="311"/>
      <c r="X1029" s="311"/>
      <c r="Y1029" s="94"/>
      <c r="Z1029" s="23"/>
      <c r="AA1029" s="23"/>
      <c r="AB1029" s="23"/>
      <c r="AC1029" s="23"/>
      <c r="AD1029" s="158"/>
      <c r="AE1029" s="158"/>
      <c r="AF1029" s="158"/>
      <c r="AG1029" s="158"/>
      <c r="AH1029" s="158"/>
      <c r="AI1029" s="158"/>
      <c r="AJ1029" s="158"/>
      <c r="AK1029" s="158"/>
      <c r="AL1029" s="158"/>
      <c r="AM1029" s="158"/>
      <c r="AN1029" s="158"/>
      <c r="AO1029" s="23"/>
      <c r="AP1029" s="23"/>
      <c r="AQ1029" s="23"/>
      <c r="AR1029" s="23"/>
      <c r="AS1029" s="2">
        <v>1</v>
      </c>
      <c r="AT1029" s="58" t="s">
        <v>646</v>
      </c>
      <c r="AU1029" s="105"/>
      <c r="AV1029" s="23"/>
      <c r="AW1029" s="23">
        <v>1</v>
      </c>
      <c r="AX1029" s="23"/>
      <c r="AY1029" s="23"/>
      <c r="AZ1029" s="23"/>
      <c r="BA1029" s="23"/>
      <c r="BB1029" s="223"/>
      <c r="BC1029" s="223"/>
      <c r="BD1029" s="270">
        <v>2017</v>
      </c>
      <c r="BE1029" s="270"/>
      <c r="BF1029" s="268"/>
    </row>
    <row r="1030" spans="1:58" ht="15" hidden="1" customHeight="1">
      <c r="A1030" s="160" t="s">
        <v>1</v>
      </c>
      <c r="B1030" s="58" t="s">
        <v>320</v>
      </c>
      <c r="C1030" s="122" t="s">
        <v>798</v>
      </c>
      <c r="D1030" s="33" t="s">
        <v>797</v>
      </c>
      <c r="E1030" s="33"/>
      <c r="F1030" s="33"/>
      <c r="G1030" s="33"/>
      <c r="H1030" s="30" t="s">
        <v>647</v>
      </c>
      <c r="I1030" s="30"/>
      <c r="J1030" s="212"/>
      <c r="K1030" s="23"/>
      <c r="L1030" s="23"/>
      <c r="M1030" s="23"/>
      <c r="N1030" s="23"/>
      <c r="O1030" s="23"/>
      <c r="P1030" s="23"/>
      <c r="Q1030" s="23"/>
      <c r="R1030" s="23"/>
      <c r="S1030" s="23"/>
      <c r="T1030" s="586"/>
      <c r="U1030" s="23"/>
      <c r="V1030" s="311"/>
      <c r="W1030" s="311"/>
      <c r="X1030" s="311"/>
      <c r="Y1030" s="94"/>
      <c r="Z1030" s="23"/>
      <c r="AA1030" s="23"/>
      <c r="AB1030" s="23"/>
      <c r="AC1030" s="23"/>
      <c r="AD1030" s="158"/>
      <c r="AE1030" s="158"/>
      <c r="AF1030" s="158"/>
      <c r="AG1030" s="158"/>
      <c r="AH1030" s="158"/>
      <c r="AI1030" s="158"/>
      <c r="AJ1030" s="158"/>
      <c r="AK1030" s="158"/>
      <c r="AL1030" s="158"/>
      <c r="AM1030" s="158"/>
      <c r="AN1030" s="158"/>
      <c r="AO1030" s="23"/>
      <c r="AP1030" s="23"/>
      <c r="AQ1030" s="23"/>
      <c r="AR1030" s="23"/>
      <c r="AS1030" s="2">
        <v>1</v>
      </c>
      <c r="AT1030" s="58" t="s">
        <v>646</v>
      </c>
      <c r="AU1030" s="105"/>
      <c r="AV1030" s="23"/>
      <c r="AW1030" s="23">
        <v>1</v>
      </c>
      <c r="AX1030" s="23"/>
      <c r="AY1030" s="23"/>
      <c r="AZ1030" s="23"/>
      <c r="BA1030" s="23"/>
      <c r="BB1030" s="223"/>
      <c r="BC1030" s="223"/>
      <c r="BD1030" s="270">
        <v>2017</v>
      </c>
      <c r="BE1030" s="270"/>
      <c r="BF1030" s="268"/>
    </row>
    <row r="1031" spans="1:58" ht="15" hidden="1" customHeight="1">
      <c r="A1031" s="160" t="s">
        <v>1</v>
      </c>
      <c r="B1031" s="58" t="s">
        <v>320</v>
      </c>
      <c r="C1031" s="122" t="s">
        <v>799</v>
      </c>
      <c r="D1031" s="33" t="s">
        <v>797</v>
      </c>
      <c r="E1031" s="33"/>
      <c r="F1031" s="33"/>
      <c r="G1031" s="33"/>
      <c r="H1031" s="30" t="s">
        <v>647</v>
      </c>
      <c r="I1031" s="30"/>
      <c r="J1031" s="212"/>
      <c r="K1031" s="23"/>
      <c r="L1031" s="23"/>
      <c r="M1031" s="23"/>
      <c r="N1031" s="23"/>
      <c r="O1031" s="23"/>
      <c r="P1031" s="23"/>
      <c r="Q1031" s="23"/>
      <c r="R1031" s="23"/>
      <c r="S1031" s="23"/>
      <c r="T1031" s="586"/>
      <c r="U1031" s="23"/>
      <c r="V1031" s="311"/>
      <c r="W1031" s="311"/>
      <c r="X1031" s="311"/>
      <c r="Y1031" s="94"/>
      <c r="Z1031" s="23"/>
      <c r="AA1031" s="23"/>
      <c r="AB1031" s="23"/>
      <c r="AC1031" s="23"/>
      <c r="AD1031" s="158"/>
      <c r="AE1031" s="158"/>
      <c r="AF1031" s="158"/>
      <c r="AG1031" s="158"/>
      <c r="AH1031" s="158"/>
      <c r="AI1031" s="158"/>
      <c r="AJ1031" s="158"/>
      <c r="AK1031" s="158"/>
      <c r="AL1031" s="158"/>
      <c r="AM1031" s="158"/>
      <c r="AN1031" s="158"/>
      <c r="AO1031" s="23"/>
      <c r="AP1031" s="23"/>
      <c r="AQ1031" s="23"/>
      <c r="AR1031" s="23"/>
      <c r="AS1031" s="2">
        <v>1</v>
      </c>
      <c r="AT1031" s="58" t="s">
        <v>646</v>
      </c>
      <c r="AU1031" s="105"/>
      <c r="AV1031" s="23"/>
      <c r="AW1031" s="23">
        <v>1</v>
      </c>
      <c r="AX1031" s="23"/>
      <c r="AY1031" s="23"/>
      <c r="AZ1031" s="23"/>
      <c r="BA1031" s="23"/>
      <c r="BB1031" s="223"/>
      <c r="BC1031" s="223"/>
      <c r="BD1031" s="270">
        <v>2017</v>
      </c>
      <c r="BE1031" s="270"/>
      <c r="BF1031" s="268"/>
    </row>
    <row r="1032" spans="1:58" ht="15" hidden="1" customHeight="1">
      <c r="A1032" s="160" t="s">
        <v>1</v>
      </c>
      <c r="B1032" s="58" t="s">
        <v>320</v>
      </c>
      <c r="C1032" s="122" t="s">
        <v>930</v>
      </c>
      <c r="D1032" s="33" t="s">
        <v>797</v>
      </c>
      <c r="E1032" s="33"/>
      <c r="F1032" s="33"/>
      <c r="G1032" s="33"/>
      <c r="H1032" s="30" t="s">
        <v>664</v>
      </c>
      <c r="I1032" s="30">
        <v>602</v>
      </c>
      <c r="J1032" s="212">
        <v>42458</v>
      </c>
      <c r="K1032" s="23"/>
      <c r="L1032" s="23"/>
      <c r="M1032" s="23"/>
      <c r="N1032" s="23"/>
      <c r="O1032" s="23"/>
      <c r="P1032" s="23"/>
      <c r="Q1032" s="23"/>
      <c r="R1032" s="23"/>
      <c r="S1032" s="23"/>
      <c r="T1032" s="586"/>
      <c r="U1032" s="23"/>
      <c r="V1032" s="311"/>
      <c r="W1032" s="311"/>
      <c r="X1032" s="311"/>
      <c r="Y1032" s="94"/>
      <c r="Z1032" s="23"/>
      <c r="AA1032" s="23"/>
      <c r="AB1032" s="23"/>
      <c r="AC1032" s="23"/>
      <c r="AD1032" s="158"/>
      <c r="AE1032" s="158"/>
      <c r="AF1032" s="158"/>
      <c r="AG1032" s="158"/>
      <c r="AH1032" s="158"/>
      <c r="AI1032" s="158"/>
      <c r="AJ1032" s="158"/>
      <c r="AK1032" s="158"/>
      <c r="AL1032" s="158"/>
      <c r="AM1032" s="158"/>
      <c r="AN1032" s="158"/>
      <c r="AO1032" s="23"/>
      <c r="AP1032" s="23"/>
      <c r="AQ1032" s="23"/>
      <c r="AR1032" s="23"/>
      <c r="AS1032" s="2">
        <v>1</v>
      </c>
      <c r="AT1032" s="58" t="s">
        <v>646</v>
      </c>
      <c r="AU1032" s="105"/>
      <c r="AV1032" s="23"/>
      <c r="AW1032" s="23">
        <v>1</v>
      </c>
      <c r="AX1032" s="23"/>
      <c r="AY1032" s="23"/>
      <c r="AZ1032" s="23"/>
      <c r="BA1032" s="23"/>
      <c r="BB1032" s="223"/>
      <c r="BC1032" s="223"/>
      <c r="BD1032" s="270">
        <v>2017</v>
      </c>
      <c r="BE1032" s="270"/>
      <c r="BF1032" s="268"/>
    </row>
    <row r="1033" spans="1:58" ht="15" hidden="1" customHeight="1">
      <c r="A1033" s="160" t="s">
        <v>1</v>
      </c>
      <c r="B1033" s="58" t="s">
        <v>320</v>
      </c>
      <c r="C1033" s="122" t="s">
        <v>800</v>
      </c>
      <c r="D1033" s="33" t="s">
        <v>797</v>
      </c>
      <c r="E1033" s="33"/>
      <c r="F1033" s="33"/>
      <c r="G1033" s="33"/>
      <c r="H1033" s="30" t="s">
        <v>647</v>
      </c>
      <c r="I1033" s="30"/>
      <c r="J1033" s="212"/>
      <c r="K1033" s="23"/>
      <c r="L1033" s="23"/>
      <c r="M1033" s="23"/>
      <c r="N1033" s="23"/>
      <c r="O1033" s="23"/>
      <c r="P1033" s="23"/>
      <c r="Q1033" s="23"/>
      <c r="R1033" s="23"/>
      <c r="S1033" s="23"/>
      <c r="T1033" s="586"/>
      <c r="U1033" s="23"/>
      <c r="V1033" s="311"/>
      <c r="W1033" s="311"/>
      <c r="X1033" s="311"/>
      <c r="Y1033" s="94"/>
      <c r="Z1033" s="23"/>
      <c r="AA1033" s="23"/>
      <c r="AB1033" s="23"/>
      <c r="AC1033" s="23"/>
      <c r="AD1033" s="158"/>
      <c r="AE1033" s="158"/>
      <c r="AF1033" s="158"/>
      <c r="AG1033" s="158"/>
      <c r="AH1033" s="158"/>
      <c r="AI1033" s="158"/>
      <c r="AJ1033" s="158"/>
      <c r="AK1033" s="158"/>
      <c r="AL1033" s="158"/>
      <c r="AM1033" s="158"/>
      <c r="AN1033" s="158"/>
      <c r="AO1033" s="23"/>
      <c r="AP1033" s="23"/>
      <c r="AQ1033" s="23"/>
      <c r="AR1033" s="23"/>
      <c r="AS1033" s="2">
        <v>1</v>
      </c>
      <c r="AT1033" s="58" t="s">
        <v>646</v>
      </c>
      <c r="AU1033" s="105"/>
      <c r="AV1033" s="23"/>
      <c r="AW1033" s="23">
        <v>1</v>
      </c>
      <c r="AX1033" s="23"/>
      <c r="AY1033" s="23"/>
      <c r="AZ1033" s="23"/>
      <c r="BA1033" s="23"/>
      <c r="BB1033" s="223"/>
      <c r="BC1033" s="223"/>
      <c r="BD1033" s="270">
        <v>2017</v>
      </c>
      <c r="BE1033" s="270"/>
      <c r="BF1033" s="268"/>
    </row>
    <row r="1034" spans="1:58" ht="15" hidden="1" customHeight="1">
      <c r="A1034" s="160" t="s">
        <v>1</v>
      </c>
      <c r="B1034" s="58" t="s">
        <v>320</v>
      </c>
      <c r="C1034" s="122" t="s">
        <v>931</v>
      </c>
      <c r="D1034" s="33" t="s">
        <v>588</v>
      </c>
      <c r="E1034" s="33"/>
      <c r="F1034" s="33"/>
      <c r="G1034" s="33"/>
      <c r="H1034" s="30" t="s">
        <v>659</v>
      </c>
      <c r="I1034" s="30"/>
      <c r="J1034" s="212"/>
      <c r="K1034" s="23"/>
      <c r="L1034" s="23"/>
      <c r="M1034" s="23"/>
      <c r="N1034" s="23"/>
      <c r="O1034" s="23"/>
      <c r="P1034" s="23"/>
      <c r="Q1034" s="23"/>
      <c r="R1034" s="23"/>
      <c r="S1034" s="23"/>
      <c r="T1034" s="586"/>
      <c r="U1034" s="23"/>
      <c r="V1034" s="311"/>
      <c r="W1034" s="311"/>
      <c r="X1034" s="311"/>
      <c r="Y1034" s="94"/>
      <c r="Z1034" s="23"/>
      <c r="AA1034" s="23"/>
      <c r="AB1034" s="23"/>
      <c r="AC1034" s="23"/>
      <c r="AD1034" s="158"/>
      <c r="AE1034" s="158"/>
      <c r="AF1034" s="158"/>
      <c r="AG1034" s="158"/>
      <c r="AH1034" s="158"/>
      <c r="AI1034" s="158"/>
      <c r="AJ1034" s="158"/>
      <c r="AK1034" s="158"/>
      <c r="AL1034" s="158"/>
      <c r="AM1034" s="158"/>
      <c r="AN1034" s="158"/>
      <c r="AO1034" s="50"/>
      <c r="AP1034" s="50"/>
      <c r="AQ1034" s="50"/>
      <c r="AR1034" s="50"/>
      <c r="AS1034" s="2">
        <v>1</v>
      </c>
      <c r="AT1034" s="58" t="s">
        <v>646</v>
      </c>
      <c r="AU1034" s="105"/>
      <c r="AV1034" s="23"/>
      <c r="AW1034" s="50">
        <v>1</v>
      </c>
      <c r="AX1034" s="50"/>
      <c r="AY1034" s="50"/>
      <c r="AZ1034" s="50"/>
      <c r="BA1034" s="50"/>
      <c r="BB1034" s="293"/>
      <c r="BC1034" s="293"/>
      <c r="BD1034" s="270">
        <v>2017</v>
      </c>
      <c r="BE1034" s="270"/>
      <c r="BF1034" s="268"/>
    </row>
    <row r="1035" spans="1:58" ht="15" hidden="1" customHeight="1">
      <c r="A1035" s="160" t="s">
        <v>1</v>
      </c>
      <c r="B1035" s="58" t="s">
        <v>320</v>
      </c>
      <c r="C1035" s="122" t="s">
        <v>801</v>
      </c>
      <c r="D1035" s="33" t="s">
        <v>797</v>
      </c>
      <c r="E1035" s="33"/>
      <c r="F1035" s="33"/>
      <c r="G1035" s="33"/>
      <c r="H1035" s="30" t="s">
        <v>647</v>
      </c>
      <c r="I1035" s="30"/>
      <c r="J1035" s="212"/>
      <c r="K1035" s="23"/>
      <c r="L1035" s="23"/>
      <c r="M1035" s="23"/>
      <c r="N1035" s="23"/>
      <c r="O1035" s="23"/>
      <c r="P1035" s="23"/>
      <c r="Q1035" s="23"/>
      <c r="R1035" s="23"/>
      <c r="S1035" s="23"/>
      <c r="T1035" s="586"/>
      <c r="U1035" s="23"/>
      <c r="V1035" s="311"/>
      <c r="W1035" s="311"/>
      <c r="X1035" s="311"/>
      <c r="Y1035" s="94"/>
      <c r="Z1035" s="23"/>
      <c r="AA1035" s="23"/>
      <c r="AB1035" s="23"/>
      <c r="AC1035" s="23"/>
      <c r="AD1035" s="158"/>
      <c r="AE1035" s="158"/>
      <c r="AF1035" s="158"/>
      <c r="AG1035" s="158"/>
      <c r="AH1035" s="158"/>
      <c r="AI1035" s="158"/>
      <c r="AJ1035" s="158"/>
      <c r="AK1035" s="158"/>
      <c r="AL1035" s="158"/>
      <c r="AM1035" s="158"/>
      <c r="AN1035" s="158"/>
      <c r="AO1035" s="23"/>
      <c r="AP1035" s="23"/>
      <c r="AQ1035" s="23"/>
      <c r="AR1035" s="23"/>
      <c r="AS1035" s="2">
        <v>1</v>
      </c>
      <c r="AT1035" s="58" t="s">
        <v>646</v>
      </c>
      <c r="AU1035" s="105"/>
      <c r="AV1035" s="23"/>
      <c r="AW1035" s="23">
        <v>1</v>
      </c>
      <c r="AX1035" s="23"/>
      <c r="AY1035" s="23"/>
      <c r="AZ1035" s="23"/>
      <c r="BA1035" s="23"/>
      <c r="BB1035" s="223"/>
      <c r="BC1035" s="223"/>
      <c r="BD1035" s="270">
        <v>2017</v>
      </c>
      <c r="BE1035" s="270"/>
      <c r="BF1035" s="268"/>
    </row>
    <row r="1036" spans="1:58" ht="15" hidden="1" customHeight="1">
      <c r="A1036" s="160" t="s">
        <v>1</v>
      </c>
      <c r="B1036" s="58" t="s">
        <v>320</v>
      </c>
      <c r="C1036" s="122" t="s">
        <v>803</v>
      </c>
      <c r="D1036" s="33" t="s">
        <v>588</v>
      </c>
      <c r="E1036" s="33"/>
      <c r="F1036" s="33"/>
      <c r="G1036" s="33"/>
      <c r="H1036" s="30" t="s">
        <v>664</v>
      </c>
      <c r="I1036" s="30">
        <v>602</v>
      </c>
      <c r="J1036" s="212">
        <v>42458</v>
      </c>
      <c r="K1036" s="23"/>
      <c r="L1036" s="23"/>
      <c r="M1036" s="23"/>
      <c r="N1036" s="23"/>
      <c r="O1036" s="23"/>
      <c r="P1036" s="23"/>
      <c r="Q1036" s="23"/>
      <c r="R1036" s="23"/>
      <c r="S1036" s="23"/>
      <c r="T1036" s="586"/>
      <c r="U1036" s="23"/>
      <c r="V1036" s="311"/>
      <c r="W1036" s="311"/>
      <c r="X1036" s="311"/>
      <c r="Y1036" s="94"/>
      <c r="Z1036" s="23"/>
      <c r="AA1036" s="23"/>
      <c r="AB1036" s="23"/>
      <c r="AC1036" s="23"/>
      <c r="AD1036" s="158"/>
      <c r="AE1036" s="158"/>
      <c r="AF1036" s="158"/>
      <c r="AG1036" s="158"/>
      <c r="AH1036" s="158"/>
      <c r="AI1036" s="158"/>
      <c r="AJ1036" s="158"/>
      <c r="AK1036" s="158"/>
      <c r="AL1036" s="158"/>
      <c r="AM1036" s="158"/>
      <c r="AN1036" s="158"/>
      <c r="AO1036" s="23"/>
      <c r="AP1036" s="23"/>
      <c r="AQ1036" s="23"/>
      <c r="AR1036" s="23"/>
      <c r="AS1036" s="2">
        <v>1</v>
      </c>
      <c r="AT1036" s="58" t="s">
        <v>646</v>
      </c>
      <c r="AU1036" s="105"/>
      <c r="AV1036" s="23"/>
      <c r="AW1036" s="23">
        <v>1</v>
      </c>
      <c r="AX1036" s="23"/>
      <c r="AY1036" s="23"/>
      <c r="AZ1036" s="23"/>
      <c r="BA1036" s="23"/>
      <c r="BB1036" s="223"/>
      <c r="BC1036" s="223"/>
      <c r="BD1036" s="270">
        <v>2017</v>
      </c>
      <c r="BE1036" s="270"/>
      <c r="BF1036" s="268"/>
    </row>
    <row r="1037" spans="1:58" ht="18" hidden="1" customHeight="1">
      <c r="A1037" s="160" t="s">
        <v>1</v>
      </c>
      <c r="B1037" s="58" t="s">
        <v>320</v>
      </c>
      <c r="C1037" s="122" t="s">
        <v>804</v>
      </c>
      <c r="D1037" s="33" t="s">
        <v>387</v>
      </c>
      <c r="E1037" s="33"/>
      <c r="F1037" s="33"/>
      <c r="G1037" s="33"/>
      <c r="H1037" s="30" t="s">
        <v>659</v>
      </c>
      <c r="I1037" s="30">
        <v>1188</v>
      </c>
      <c r="J1037" s="212">
        <v>41831</v>
      </c>
      <c r="K1037" s="23"/>
      <c r="L1037" s="23">
        <v>1</v>
      </c>
      <c r="M1037" s="23"/>
      <c r="N1037" s="23"/>
      <c r="O1037" s="23"/>
      <c r="P1037" s="23">
        <v>61214039</v>
      </c>
      <c r="Q1037" s="23"/>
      <c r="R1037" s="23"/>
      <c r="S1037" s="23"/>
      <c r="T1037" s="586">
        <v>27546318</v>
      </c>
      <c r="U1037" s="23"/>
      <c r="V1037" s="311"/>
      <c r="W1037" s="311"/>
      <c r="X1037" s="311"/>
      <c r="Y1037" s="94">
        <v>33667721</v>
      </c>
      <c r="Z1037" s="23"/>
      <c r="AA1037" s="23"/>
      <c r="AB1037" s="23"/>
      <c r="AC1037" s="23"/>
      <c r="AD1037" s="158"/>
      <c r="AE1037" s="158">
        <f>P1037-T1037-Y1037</f>
        <v>0</v>
      </c>
      <c r="AF1037" s="158"/>
      <c r="AG1037" s="94">
        <v>0</v>
      </c>
      <c r="AH1037" s="94"/>
      <c r="AI1037" s="94"/>
      <c r="AJ1037" s="158">
        <f t="shared" ref="AJ1037:AJ1038" si="167">AE1037+AG1037</f>
        <v>0</v>
      </c>
      <c r="AK1037" s="158"/>
      <c r="AL1037" s="158"/>
      <c r="AM1037" s="158"/>
      <c r="AN1037" s="158"/>
      <c r="AO1037" s="23"/>
      <c r="AP1037" s="23"/>
      <c r="AQ1037" s="23"/>
      <c r="AR1037" s="23"/>
      <c r="AS1037" s="2">
        <v>1</v>
      </c>
      <c r="AT1037" s="58" t="s">
        <v>646</v>
      </c>
      <c r="AU1037" s="386" t="s">
        <v>1848</v>
      </c>
      <c r="AV1037" s="23"/>
      <c r="AW1037" s="23"/>
      <c r="AX1037" s="23"/>
      <c r="AY1037" s="23">
        <v>1</v>
      </c>
      <c r="AZ1037" s="23"/>
      <c r="BA1037" s="23"/>
      <c r="BB1037" s="223">
        <v>1</v>
      </c>
      <c r="BC1037" s="223"/>
      <c r="BD1037" s="270">
        <v>2019</v>
      </c>
      <c r="BE1037" s="270">
        <v>2019</v>
      </c>
      <c r="BF1037" s="271"/>
    </row>
    <row r="1038" spans="1:58" s="204" customFormat="1" ht="18" customHeight="1">
      <c r="A1038" s="160" t="s">
        <v>1</v>
      </c>
      <c r="B1038" s="58" t="s">
        <v>320</v>
      </c>
      <c r="C1038" s="58" t="s">
        <v>1203</v>
      </c>
      <c r="D1038" s="33" t="s">
        <v>387</v>
      </c>
      <c r="E1038" s="33"/>
      <c r="F1038" s="33"/>
      <c r="G1038" s="33"/>
      <c r="H1038" s="30" t="s">
        <v>659</v>
      </c>
      <c r="I1038" s="30">
        <v>123</v>
      </c>
      <c r="J1038" s="212">
        <v>41666</v>
      </c>
      <c r="K1038" s="23"/>
      <c r="L1038" s="23"/>
      <c r="M1038" s="23">
        <v>1</v>
      </c>
      <c r="N1038" s="23">
        <v>1</v>
      </c>
      <c r="O1038" s="23"/>
      <c r="P1038" s="158">
        <v>56106320</v>
      </c>
      <c r="Q1038" s="23"/>
      <c r="R1038" s="23"/>
      <c r="S1038" s="23"/>
      <c r="T1038" s="586">
        <v>25247844</v>
      </c>
      <c r="U1038" s="23">
        <v>20</v>
      </c>
      <c r="V1038" s="311"/>
      <c r="W1038" s="311"/>
      <c r="X1038" s="311"/>
      <c r="Y1038" s="94"/>
      <c r="Z1038" s="23"/>
      <c r="AA1038" s="23"/>
      <c r="AB1038" s="23"/>
      <c r="AC1038" s="23"/>
      <c r="AD1038" s="158"/>
      <c r="AE1038" s="158">
        <f>P1038-T1038-Y1038</f>
        <v>30858476</v>
      </c>
      <c r="AF1038" s="158"/>
      <c r="AG1038" s="94">
        <v>0</v>
      </c>
      <c r="AH1038" s="94"/>
      <c r="AI1038" s="94"/>
      <c r="AJ1038" s="158">
        <f t="shared" si="167"/>
        <v>30858476</v>
      </c>
      <c r="AK1038" s="158"/>
      <c r="AL1038" s="158"/>
      <c r="AM1038" s="158"/>
      <c r="AN1038" s="158">
        <v>1</v>
      </c>
      <c r="AO1038" s="23"/>
      <c r="AP1038" s="23"/>
      <c r="AQ1038" s="23"/>
      <c r="AR1038" s="23"/>
      <c r="AS1038" s="2">
        <v>0.45</v>
      </c>
      <c r="AT1038" s="58" t="s">
        <v>38</v>
      </c>
      <c r="AU1038" s="482" t="s">
        <v>2204</v>
      </c>
      <c r="AV1038" s="23"/>
      <c r="AW1038" s="23"/>
      <c r="AX1038" s="23"/>
      <c r="AY1038" s="23"/>
      <c r="AZ1038" s="23"/>
      <c r="BA1038" s="23"/>
      <c r="BB1038" s="223"/>
      <c r="BC1038" s="223"/>
      <c r="BD1038" s="271"/>
      <c r="BE1038" s="271">
        <v>2019</v>
      </c>
      <c r="BF1038" s="271">
        <v>2020</v>
      </c>
    </row>
    <row r="1039" spans="1:58" ht="15" hidden="1" customHeight="1">
      <c r="A1039" s="160" t="s">
        <v>1</v>
      </c>
      <c r="B1039" s="58" t="s">
        <v>320</v>
      </c>
      <c r="C1039" s="122" t="s">
        <v>807</v>
      </c>
      <c r="D1039" s="33" t="s">
        <v>438</v>
      </c>
      <c r="E1039" s="33"/>
      <c r="F1039" s="33"/>
      <c r="G1039" s="33"/>
      <c r="H1039" s="30" t="s">
        <v>647</v>
      </c>
      <c r="I1039" s="30"/>
      <c r="J1039" s="212"/>
      <c r="K1039" s="23"/>
      <c r="L1039" s="23"/>
      <c r="M1039" s="23"/>
      <c r="N1039" s="23"/>
      <c r="O1039" s="23"/>
      <c r="P1039" s="23"/>
      <c r="Q1039" s="23"/>
      <c r="R1039" s="23"/>
      <c r="S1039" s="23"/>
      <c r="T1039" s="586"/>
      <c r="U1039" s="23"/>
      <c r="V1039" s="311"/>
      <c r="W1039" s="311"/>
      <c r="X1039" s="311"/>
      <c r="Y1039" s="94"/>
      <c r="Z1039" s="23"/>
      <c r="AA1039" s="23"/>
      <c r="AB1039" s="23"/>
      <c r="AC1039" s="23"/>
      <c r="AD1039" s="158"/>
      <c r="AE1039" s="158"/>
      <c r="AF1039" s="158"/>
      <c r="AG1039" s="158"/>
      <c r="AH1039" s="158"/>
      <c r="AI1039" s="158"/>
      <c r="AJ1039" s="158"/>
      <c r="AK1039" s="158"/>
      <c r="AL1039" s="158"/>
      <c r="AM1039" s="158"/>
      <c r="AN1039" s="158"/>
      <c r="AO1039" s="23"/>
      <c r="AP1039" s="23"/>
      <c r="AQ1039" s="23"/>
      <c r="AR1039" s="23"/>
      <c r="AS1039" s="2">
        <v>1</v>
      </c>
      <c r="AT1039" s="58" t="s">
        <v>646</v>
      </c>
      <c r="AU1039" s="105"/>
      <c r="AV1039" s="23"/>
      <c r="AW1039" s="23">
        <v>1</v>
      </c>
      <c r="AX1039" s="23"/>
      <c r="AY1039" s="23"/>
      <c r="AZ1039" s="23"/>
      <c r="BA1039" s="23"/>
      <c r="BB1039" s="223"/>
      <c r="BC1039" s="223"/>
      <c r="BD1039" s="270">
        <v>2017</v>
      </c>
      <c r="BE1039" s="270"/>
      <c r="BF1039" s="269"/>
    </row>
    <row r="1040" spans="1:58" ht="15" hidden="1" customHeight="1">
      <c r="A1040" s="160" t="s">
        <v>1</v>
      </c>
      <c r="B1040" s="58" t="s">
        <v>320</v>
      </c>
      <c r="C1040" s="122" t="s">
        <v>808</v>
      </c>
      <c r="D1040" s="33" t="s">
        <v>588</v>
      </c>
      <c r="E1040" s="33"/>
      <c r="F1040" s="33"/>
      <c r="G1040" s="33"/>
      <c r="H1040" s="30" t="s">
        <v>647</v>
      </c>
      <c r="I1040" s="30"/>
      <c r="J1040" s="212"/>
      <c r="K1040" s="23"/>
      <c r="L1040" s="23"/>
      <c r="M1040" s="23"/>
      <c r="N1040" s="23"/>
      <c r="O1040" s="23"/>
      <c r="P1040" s="23"/>
      <c r="Q1040" s="23"/>
      <c r="R1040" s="23"/>
      <c r="S1040" s="23"/>
      <c r="T1040" s="586"/>
      <c r="U1040" s="23"/>
      <c r="V1040" s="311"/>
      <c r="W1040" s="311"/>
      <c r="X1040" s="311"/>
      <c r="Y1040" s="94"/>
      <c r="Z1040" s="23"/>
      <c r="AA1040" s="23"/>
      <c r="AB1040" s="23"/>
      <c r="AC1040" s="23"/>
      <c r="AD1040" s="158"/>
      <c r="AE1040" s="158"/>
      <c r="AF1040" s="158"/>
      <c r="AG1040" s="158"/>
      <c r="AH1040" s="158"/>
      <c r="AI1040" s="158"/>
      <c r="AJ1040" s="158"/>
      <c r="AK1040" s="158"/>
      <c r="AL1040" s="158"/>
      <c r="AM1040" s="158"/>
      <c r="AN1040" s="158"/>
      <c r="AO1040" s="23"/>
      <c r="AP1040" s="23"/>
      <c r="AQ1040" s="23"/>
      <c r="AR1040" s="23"/>
      <c r="AS1040" s="2">
        <v>1</v>
      </c>
      <c r="AT1040" s="58" t="s">
        <v>646</v>
      </c>
      <c r="AU1040" s="105"/>
      <c r="AV1040" s="23"/>
      <c r="AW1040" s="23">
        <v>1</v>
      </c>
      <c r="AX1040" s="23"/>
      <c r="AY1040" s="23"/>
      <c r="AZ1040" s="23"/>
      <c r="BA1040" s="23"/>
      <c r="BB1040" s="223"/>
      <c r="BC1040" s="223"/>
      <c r="BD1040" s="270">
        <v>2017</v>
      </c>
      <c r="BE1040" s="270"/>
      <c r="BF1040" s="269"/>
    </row>
    <row r="1041" spans="1:58" s="204" customFormat="1" ht="18" customHeight="1">
      <c r="A1041" s="160" t="s">
        <v>1</v>
      </c>
      <c r="B1041" s="58" t="s">
        <v>320</v>
      </c>
      <c r="C1041" s="122" t="s">
        <v>1201</v>
      </c>
      <c r="D1041" s="33" t="s">
        <v>387</v>
      </c>
      <c r="E1041" s="33"/>
      <c r="F1041" s="33"/>
      <c r="G1041" s="33"/>
      <c r="H1041" s="30" t="s">
        <v>647</v>
      </c>
      <c r="I1041" s="30">
        <v>2228</v>
      </c>
      <c r="J1041" s="212">
        <v>43019</v>
      </c>
      <c r="K1041" s="23"/>
      <c r="L1041" s="23"/>
      <c r="M1041" s="23">
        <v>1</v>
      </c>
      <c r="N1041" s="23">
        <v>1</v>
      </c>
      <c r="O1041" s="23"/>
      <c r="P1041" s="23">
        <v>56863999</v>
      </c>
      <c r="Q1041" s="23"/>
      <c r="R1041" s="23"/>
      <c r="S1041" s="23"/>
      <c r="T1041" s="586">
        <v>31275199</v>
      </c>
      <c r="U1041" s="23"/>
      <c r="V1041" s="311"/>
      <c r="W1041" s="311"/>
      <c r="X1041" s="311"/>
      <c r="Y1041" s="94"/>
      <c r="Z1041" s="23"/>
      <c r="AA1041" s="23"/>
      <c r="AB1041" s="23"/>
      <c r="AC1041" s="23"/>
      <c r="AD1041" s="158"/>
      <c r="AE1041" s="158">
        <f>P1041-T1041-Y1041</f>
        <v>25588800</v>
      </c>
      <c r="AF1041" s="158"/>
      <c r="AG1041" s="94">
        <v>0</v>
      </c>
      <c r="AH1041" s="94"/>
      <c r="AI1041" s="94"/>
      <c r="AJ1041" s="158">
        <f t="shared" ref="AJ1041" si="168">AE1041+AG1041</f>
        <v>25588800</v>
      </c>
      <c r="AK1041" s="158"/>
      <c r="AL1041" s="158"/>
      <c r="AM1041" s="158"/>
      <c r="AN1041" s="158">
        <v>1</v>
      </c>
      <c r="AO1041" s="23"/>
      <c r="AP1041" s="23"/>
      <c r="AQ1041" s="23"/>
      <c r="AR1041" s="23"/>
      <c r="AS1041" s="2">
        <v>0.45</v>
      </c>
      <c r="AT1041" s="58" t="s">
        <v>38</v>
      </c>
      <c r="AU1041" s="386"/>
      <c r="AV1041" s="23"/>
      <c r="AW1041" s="23"/>
      <c r="AX1041" s="23"/>
      <c r="AY1041" s="23"/>
      <c r="AZ1041" s="23"/>
      <c r="BA1041" s="23"/>
      <c r="BB1041" s="223"/>
      <c r="BC1041" s="223"/>
      <c r="BD1041" s="271"/>
      <c r="BE1041" s="271">
        <v>2019</v>
      </c>
      <c r="BF1041" s="271">
        <v>2020</v>
      </c>
    </row>
    <row r="1042" spans="1:58" ht="15" hidden="1" customHeight="1">
      <c r="A1042" s="160" t="s">
        <v>1</v>
      </c>
      <c r="B1042" s="58" t="s">
        <v>320</v>
      </c>
      <c r="C1042" s="122" t="s">
        <v>815</v>
      </c>
      <c r="D1042" s="33" t="s">
        <v>438</v>
      </c>
      <c r="E1042" s="33"/>
      <c r="F1042" s="33"/>
      <c r="G1042" s="33"/>
      <c r="H1042" s="30" t="s">
        <v>647</v>
      </c>
      <c r="I1042" s="30"/>
      <c r="J1042" s="212"/>
      <c r="K1042" s="23"/>
      <c r="L1042" s="23"/>
      <c r="M1042" s="23"/>
      <c r="N1042" s="23"/>
      <c r="O1042" s="23"/>
      <c r="P1042" s="23"/>
      <c r="Q1042" s="23"/>
      <c r="R1042" s="23"/>
      <c r="S1042" s="23"/>
      <c r="T1042" s="586"/>
      <c r="U1042" s="23"/>
      <c r="V1042" s="311"/>
      <c r="W1042" s="311"/>
      <c r="X1042" s="311"/>
      <c r="Y1042" s="94"/>
      <c r="Z1042" s="23"/>
      <c r="AA1042" s="23"/>
      <c r="AB1042" s="23"/>
      <c r="AC1042" s="23"/>
      <c r="AD1042" s="158"/>
      <c r="AE1042" s="158"/>
      <c r="AF1042" s="158"/>
      <c r="AG1042" s="158"/>
      <c r="AH1042" s="158"/>
      <c r="AI1042" s="158"/>
      <c r="AJ1042" s="158"/>
      <c r="AK1042" s="158"/>
      <c r="AL1042" s="158"/>
      <c r="AM1042" s="158"/>
      <c r="AN1042" s="158"/>
      <c r="AO1042" s="23"/>
      <c r="AP1042" s="23"/>
      <c r="AQ1042" s="23"/>
      <c r="AR1042" s="23"/>
      <c r="AS1042" s="2">
        <v>1</v>
      </c>
      <c r="AT1042" s="58" t="s">
        <v>646</v>
      </c>
      <c r="AU1042" s="105"/>
      <c r="AV1042" s="23"/>
      <c r="AW1042" s="23"/>
      <c r="AX1042" s="23">
        <v>1</v>
      </c>
      <c r="AY1042" s="23"/>
      <c r="AZ1042" s="23"/>
      <c r="BA1042" s="23">
        <v>1</v>
      </c>
      <c r="BB1042" s="223"/>
      <c r="BC1042" s="223"/>
      <c r="BD1042" s="270">
        <v>2018</v>
      </c>
      <c r="BE1042" s="270"/>
    </row>
    <row r="1043" spans="1:58" ht="18" hidden="1" customHeight="1">
      <c r="A1043" s="160" t="s">
        <v>1</v>
      </c>
      <c r="B1043" s="58" t="s">
        <v>320</v>
      </c>
      <c r="C1043" s="122" t="s">
        <v>994</v>
      </c>
      <c r="D1043" s="33" t="s">
        <v>387</v>
      </c>
      <c r="E1043" s="33"/>
      <c r="F1043" s="33"/>
      <c r="G1043" s="33"/>
      <c r="H1043" s="30" t="s">
        <v>647</v>
      </c>
      <c r="I1043" s="30">
        <v>747</v>
      </c>
      <c r="J1043" s="212">
        <v>41782</v>
      </c>
      <c r="K1043" s="23"/>
      <c r="L1043" s="23">
        <v>1</v>
      </c>
      <c r="M1043" s="23"/>
      <c r="N1043" s="23"/>
      <c r="O1043" s="23"/>
      <c r="P1043" s="23">
        <v>58290246</v>
      </c>
      <c r="Q1043" s="23"/>
      <c r="R1043" s="23"/>
      <c r="S1043" s="23"/>
      <c r="T1043" s="586">
        <v>26230610</v>
      </c>
      <c r="U1043" s="23"/>
      <c r="V1043" s="311"/>
      <c r="W1043" s="311"/>
      <c r="X1043" s="311"/>
      <c r="Y1043" s="94">
        <v>32059636</v>
      </c>
      <c r="Z1043" s="23"/>
      <c r="AA1043" s="23"/>
      <c r="AB1043" s="23"/>
      <c r="AC1043" s="23"/>
      <c r="AD1043" s="158"/>
      <c r="AE1043" s="158">
        <f>P1043-T1043-Y1043</f>
        <v>0</v>
      </c>
      <c r="AF1043" s="158"/>
      <c r="AG1043" s="94">
        <v>0</v>
      </c>
      <c r="AH1043" s="94"/>
      <c r="AI1043" s="94"/>
      <c r="AJ1043" s="158">
        <f t="shared" ref="AJ1043" si="169">AE1043+AG1043</f>
        <v>0</v>
      </c>
      <c r="AK1043" s="158"/>
      <c r="AL1043" s="158"/>
      <c r="AM1043" s="158"/>
      <c r="AN1043" s="158"/>
      <c r="AO1043" s="23"/>
      <c r="AP1043" s="23"/>
      <c r="AQ1043" s="23"/>
      <c r="AR1043" s="23"/>
      <c r="AS1043" s="2">
        <v>1</v>
      </c>
      <c r="AT1043" s="58" t="s">
        <v>646</v>
      </c>
      <c r="AU1043" s="388" t="s">
        <v>1862</v>
      </c>
      <c r="AV1043" s="23"/>
      <c r="AW1043" s="23"/>
      <c r="AX1043" s="23"/>
      <c r="AY1043" s="23">
        <v>1</v>
      </c>
      <c r="AZ1043" s="23"/>
      <c r="BA1043" s="23"/>
      <c r="BB1043" s="223">
        <v>1</v>
      </c>
      <c r="BC1043" s="223"/>
      <c r="BD1043" s="270">
        <v>2019</v>
      </c>
      <c r="BE1043" s="270">
        <v>2019</v>
      </c>
      <c r="BF1043" s="271"/>
    </row>
    <row r="1044" spans="1:58" ht="15" hidden="1" customHeight="1">
      <c r="A1044" s="160" t="s">
        <v>1</v>
      </c>
      <c r="B1044" s="58" t="s">
        <v>320</v>
      </c>
      <c r="C1044" s="122" t="s">
        <v>892</v>
      </c>
      <c r="D1044" s="33" t="s">
        <v>438</v>
      </c>
      <c r="E1044" s="33"/>
      <c r="F1044" s="33"/>
      <c r="G1044" s="33"/>
      <c r="H1044" s="30" t="s">
        <v>647</v>
      </c>
      <c r="I1044" s="30"/>
      <c r="J1044" s="212"/>
      <c r="K1044" s="23"/>
      <c r="L1044" s="23"/>
      <c r="M1044" s="23"/>
      <c r="N1044" s="23"/>
      <c r="O1044" s="23"/>
      <c r="P1044" s="23"/>
      <c r="Q1044" s="23"/>
      <c r="R1044" s="23"/>
      <c r="S1044" s="23"/>
      <c r="T1044" s="586"/>
      <c r="U1044" s="23"/>
      <c r="V1044" s="311"/>
      <c r="W1044" s="311"/>
      <c r="X1044" s="311"/>
      <c r="Y1044" s="94"/>
      <c r="Z1044" s="23"/>
      <c r="AA1044" s="23"/>
      <c r="AB1044" s="23"/>
      <c r="AC1044" s="23"/>
      <c r="AD1044" s="158"/>
      <c r="AE1044" s="158"/>
      <c r="AF1044" s="158"/>
      <c r="AG1044" s="158"/>
      <c r="AH1044" s="158"/>
      <c r="AI1044" s="158"/>
      <c r="AJ1044" s="158"/>
      <c r="AK1044" s="158"/>
      <c r="AL1044" s="158"/>
      <c r="AM1044" s="158"/>
      <c r="AN1044" s="158"/>
      <c r="AO1044" s="23"/>
      <c r="AP1044" s="23"/>
      <c r="AQ1044" s="23"/>
      <c r="AR1044" s="23"/>
      <c r="AS1044" s="2">
        <v>1</v>
      </c>
      <c r="AT1044" s="58" t="s">
        <v>646</v>
      </c>
      <c r="AU1044" s="110" t="s">
        <v>817</v>
      </c>
      <c r="AV1044" s="23"/>
      <c r="AW1044" s="23"/>
      <c r="AX1044" s="23">
        <v>1</v>
      </c>
      <c r="AY1044" s="23"/>
      <c r="AZ1044" s="23"/>
      <c r="BA1044" s="23">
        <v>1</v>
      </c>
      <c r="BB1044" s="223"/>
      <c r="BC1044" s="223"/>
      <c r="BD1044" s="270">
        <v>2018</v>
      </c>
      <c r="BE1044" s="270"/>
      <c r="BF1044" s="268"/>
    </row>
    <row r="1045" spans="1:58" ht="15" hidden="1" customHeight="1">
      <c r="A1045" s="160" t="s">
        <v>1</v>
      </c>
      <c r="B1045" s="58" t="s">
        <v>320</v>
      </c>
      <c r="C1045" s="122" t="s">
        <v>818</v>
      </c>
      <c r="D1045" s="33" t="s">
        <v>438</v>
      </c>
      <c r="E1045" s="33"/>
      <c r="F1045" s="33"/>
      <c r="G1045" s="33"/>
      <c r="H1045" s="30" t="s">
        <v>647</v>
      </c>
      <c r="I1045" s="30"/>
      <c r="J1045" s="212"/>
      <c r="K1045" s="23"/>
      <c r="L1045" s="23"/>
      <c r="M1045" s="23"/>
      <c r="N1045" s="23"/>
      <c r="O1045" s="23"/>
      <c r="P1045" s="23"/>
      <c r="Q1045" s="23"/>
      <c r="R1045" s="23"/>
      <c r="S1045" s="23"/>
      <c r="T1045" s="586"/>
      <c r="U1045" s="23"/>
      <c r="V1045" s="311"/>
      <c r="W1045" s="311"/>
      <c r="X1045" s="311"/>
      <c r="Y1045" s="94"/>
      <c r="Z1045" s="23"/>
      <c r="AA1045" s="23"/>
      <c r="AB1045" s="23"/>
      <c r="AC1045" s="23"/>
      <c r="AD1045" s="158"/>
      <c r="AE1045" s="158"/>
      <c r="AF1045" s="158"/>
      <c r="AG1045" s="158"/>
      <c r="AH1045" s="158"/>
      <c r="AI1045" s="158"/>
      <c r="AJ1045" s="158"/>
      <c r="AK1045" s="158"/>
      <c r="AL1045" s="158"/>
      <c r="AM1045" s="158"/>
      <c r="AN1045" s="158"/>
      <c r="AO1045" s="23"/>
      <c r="AP1045" s="23"/>
      <c r="AQ1045" s="23"/>
      <c r="AR1045" s="23"/>
      <c r="AS1045" s="2">
        <v>1</v>
      </c>
      <c r="AT1045" s="58" t="s">
        <v>646</v>
      </c>
      <c r="AU1045" s="110" t="s">
        <v>911</v>
      </c>
      <c r="AV1045" s="23"/>
      <c r="AW1045" s="23"/>
      <c r="AX1045" s="23">
        <v>1</v>
      </c>
      <c r="AY1045" s="23"/>
      <c r="AZ1045" s="23"/>
      <c r="BA1045" s="23">
        <v>1</v>
      </c>
      <c r="BB1045" s="223"/>
      <c r="BC1045" s="223"/>
      <c r="BD1045" s="270">
        <v>2018</v>
      </c>
      <c r="BE1045" s="270"/>
      <c r="BF1045" s="268"/>
    </row>
    <row r="1046" spans="1:58" ht="18" hidden="1" customHeight="1">
      <c r="A1046" s="160" t="s">
        <v>1</v>
      </c>
      <c r="B1046" s="58" t="s">
        <v>320</v>
      </c>
      <c r="C1046" s="122" t="s">
        <v>1854</v>
      </c>
      <c r="D1046" s="33" t="s">
        <v>387</v>
      </c>
      <c r="E1046" s="33"/>
      <c r="F1046" s="33"/>
      <c r="G1046" s="33"/>
      <c r="H1046" s="30" t="s">
        <v>647</v>
      </c>
      <c r="I1046" s="30">
        <v>3010</v>
      </c>
      <c r="J1046" s="212">
        <v>43091</v>
      </c>
      <c r="K1046" s="23"/>
      <c r="L1046" s="23">
        <v>1</v>
      </c>
      <c r="M1046" s="23"/>
      <c r="N1046" s="23"/>
      <c r="O1046" s="23"/>
      <c r="P1046" s="23">
        <v>60837116</v>
      </c>
      <c r="Q1046" s="23"/>
      <c r="R1046" s="23"/>
      <c r="S1046" s="23"/>
      <c r="T1046" s="586">
        <v>27376702</v>
      </c>
      <c r="U1046" s="23"/>
      <c r="V1046" s="311"/>
      <c r="W1046" s="311"/>
      <c r="X1046" s="311"/>
      <c r="Y1046" s="94">
        <v>33460414</v>
      </c>
      <c r="Z1046" s="23"/>
      <c r="AA1046" s="23"/>
      <c r="AB1046" s="23"/>
      <c r="AC1046" s="23"/>
      <c r="AD1046" s="158"/>
      <c r="AE1046" s="158">
        <f>P1046-T1046-Y1046</f>
        <v>0</v>
      </c>
      <c r="AF1046" s="158"/>
      <c r="AG1046" s="94">
        <v>0</v>
      </c>
      <c r="AH1046" s="94"/>
      <c r="AI1046" s="94"/>
      <c r="AJ1046" s="158">
        <f t="shared" ref="AJ1046" si="170">AE1046+AG1046</f>
        <v>0</v>
      </c>
      <c r="AK1046" s="158"/>
      <c r="AL1046" s="158"/>
      <c r="AM1046" s="158"/>
      <c r="AN1046" s="158"/>
      <c r="AO1046" s="23"/>
      <c r="AP1046" s="23"/>
      <c r="AQ1046" s="23"/>
      <c r="AR1046" s="23"/>
      <c r="AS1046" s="2">
        <v>1</v>
      </c>
      <c r="AT1046" s="58" t="s">
        <v>646</v>
      </c>
      <c r="AU1046" s="398" t="s">
        <v>1855</v>
      </c>
      <c r="AV1046" s="23"/>
      <c r="AW1046" s="50"/>
      <c r="AX1046" s="50"/>
      <c r="AY1046" s="23">
        <v>1</v>
      </c>
      <c r="AZ1046" s="23"/>
      <c r="BA1046" s="50"/>
      <c r="BB1046" s="223">
        <v>1</v>
      </c>
      <c r="BC1046" s="223"/>
      <c r="BD1046" s="270">
        <v>2019</v>
      </c>
      <c r="BE1046" s="270">
        <v>2019</v>
      </c>
      <c r="BF1046" s="271"/>
    </row>
    <row r="1047" spans="1:58" ht="15" hidden="1" customHeight="1">
      <c r="A1047" s="160" t="s">
        <v>1</v>
      </c>
      <c r="B1047" s="58" t="s">
        <v>320</v>
      </c>
      <c r="C1047" s="122" t="s">
        <v>995</v>
      </c>
      <c r="D1047" s="33" t="s">
        <v>588</v>
      </c>
      <c r="E1047" s="33"/>
      <c r="F1047" s="33"/>
      <c r="G1047" s="33"/>
      <c r="H1047" s="30" t="s">
        <v>647</v>
      </c>
      <c r="I1047" s="30"/>
      <c r="J1047" s="212"/>
      <c r="K1047" s="23"/>
      <c r="L1047" s="23"/>
      <c r="M1047" s="23"/>
      <c r="N1047" s="23"/>
      <c r="O1047" s="23"/>
      <c r="P1047" s="23"/>
      <c r="Q1047" s="23"/>
      <c r="R1047" s="23"/>
      <c r="S1047" s="23"/>
      <c r="T1047" s="586"/>
      <c r="U1047" s="23"/>
      <c r="V1047" s="311"/>
      <c r="W1047" s="311"/>
      <c r="X1047" s="311"/>
      <c r="Y1047" s="94"/>
      <c r="Z1047" s="23"/>
      <c r="AA1047" s="23"/>
      <c r="AB1047" s="23"/>
      <c r="AC1047" s="23"/>
      <c r="AD1047" s="158"/>
      <c r="AE1047" s="158"/>
      <c r="AF1047" s="158"/>
      <c r="AG1047" s="158"/>
      <c r="AH1047" s="158"/>
      <c r="AI1047" s="158"/>
      <c r="AJ1047" s="158"/>
      <c r="AK1047" s="158"/>
      <c r="AL1047" s="158"/>
      <c r="AM1047" s="158"/>
      <c r="AN1047" s="158"/>
      <c r="AO1047" s="23"/>
      <c r="AP1047" s="23"/>
      <c r="AQ1047" s="23"/>
      <c r="AR1047" s="23"/>
      <c r="AS1047" s="2">
        <v>1</v>
      </c>
      <c r="AT1047" s="58" t="s">
        <v>646</v>
      </c>
      <c r="AU1047" s="105"/>
      <c r="AV1047" s="23"/>
      <c r="AW1047" s="23"/>
      <c r="AX1047" s="23">
        <v>1</v>
      </c>
      <c r="AY1047" s="23"/>
      <c r="AZ1047" s="23"/>
      <c r="BA1047" s="23">
        <v>1</v>
      </c>
      <c r="BB1047" s="223"/>
      <c r="BC1047" s="223"/>
      <c r="BD1047" s="270">
        <v>2018</v>
      </c>
      <c r="BE1047" s="270"/>
      <c r="BF1047" s="268"/>
    </row>
    <row r="1048" spans="1:58" ht="15" hidden="1" customHeight="1">
      <c r="A1048" s="160" t="s">
        <v>1</v>
      </c>
      <c r="B1048" s="58" t="s">
        <v>320</v>
      </c>
      <c r="C1048" s="122" t="s">
        <v>821</v>
      </c>
      <c r="D1048" s="33" t="s">
        <v>588</v>
      </c>
      <c r="E1048" s="33"/>
      <c r="F1048" s="33"/>
      <c r="G1048" s="33"/>
      <c r="H1048" s="30" t="s">
        <v>647</v>
      </c>
      <c r="I1048" s="30"/>
      <c r="J1048" s="212"/>
      <c r="K1048" s="23"/>
      <c r="L1048" s="23"/>
      <c r="M1048" s="23"/>
      <c r="N1048" s="23"/>
      <c r="O1048" s="23"/>
      <c r="P1048" s="23"/>
      <c r="Q1048" s="23"/>
      <c r="R1048" s="23"/>
      <c r="S1048" s="23"/>
      <c r="T1048" s="586"/>
      <c r="U1048" s="23"/>
      <c r="V1048" s="311"/>
      <c r="W1048" s="311"/>
      <c r="X1048" s="311"/>
      <c r="Y1048" s="94"/>
      <c r="Z1048" s="23"/>
      <c r="AA1048" s="23"/>
      <c r="AB1048" s="23"/>
      <c r="AC1048" s="23"/>
      <c r="AD1048" s="158"/>
      <c r="AE1048" s="158"/>
      <c r="AF1048" s="158"/>
      <c r="AG1048" s="158"/>
      <c r="AH1048" s="158"/>
      <c r="AI1048" s="158"/>
      <c r="AJ1048" s="158"/>
      <c r="AK1048" s="158"/>
      <c r="AL1048" s="158"/>
      <c r="AM1048" s="158"/>
      <c r="AN1048" s="158"/>
      <c r="AO1048" s="23"/>
      <c r="AP1048" s="23"/>
      <c r="AQ1048" s="23"/>
      <c r="AR1048" s="23"/>
      <c r="AS1048" s="2">
        <v>1</v>
      </c>
      <c r="AT1048" s="58" t="s">
        <v>646</v>
      </c>
      <c r="AU1048" s="105"/>
      <c r="AV1048" s="23"/>
      <c r="AW1048" s="23"/>
      <c r="AX1048" s="23">
        <v>1</v>
      </c>
      <c r="AY1048" s="23"/>
      <c r="AZ1048" s="23"/>
      <c r="BA1048" s="23">
        <v>1</v>
      </c>
      <c r="BB1048" s="223"/>
      <c r="BC1048" s="223"/>
      <c r="BD1048" s="270">
        <v>2018</v>
      </c>
      <c r="BE1048" s="270"/>
      <c r="BF1048" s="268"/>
    </row>
    <row r="1049" spans="1:58" ht="15" hidden="1" customHeight="1">
      <c r="A1049" s="160" t="s">
        <v>1</v>
      </c>
      <c r="B1049" s="58" t="s">
        <v>320</v>
      </c>
      <c r="C1049" s="122" t="s">
        <v>822</v>
      </c>
      <c r="D1049" s="33" t="s">
        <v>588</v>
      </c>
      <c r="E1049" s="33"/>
      <c r="F1049" s="33"/>
      <c r="G1049" s="33"/>
      <c r="H1049" s="30" t="s">
        <v>647</v>
      </c>
      <c r="I1049" s="30"/>
      <c r="J1049" s="212"/>
      <c r="K1049" s="23"/>
      <c r="L1049" s="23"/>
      <c r="M1049" s="23"/>
      <c r="N1049" s="23"/>
      <c r="O1049" s="23"/>
      <c r="P1049" s="23"/>
      <c r="Q1049" s="23"/>
      <c r="R1049" s="23"/>
      <c r="S1049" s="23"/>
      <c r="T1049" s="586"/>
      <c r="U1049" s="23"/>
      <c r="V1049" s="311"/>
      <c r="W1049" s="311"/>
      <c r="X1049" s="311"/>
      <c r="Y1049" s="94"/>
      <c r="Z1049" s="23"/>
      <c r="AA1049" s="23"/>
      <c r="AB1049" s="23"/>
      <c r="AC1049" s="23"/>
      <c r="AD1049" s="158"/>
      <c r="AE1049" s="158"/>
      <c r="AF1049" s="158"/>
      <c r="AG1049" s="158"/>
      <c r="AH1049" s="158"/>
      <c r="AI1049" s="158"/>
      <c r="AJ1049" s="158"/>
      <c r="AK1049" s="158"/>
      <c r="AL1049" s="158"/>
      <c r="AM1049" s="158"/>
      <c r="AN1049" s="158"/>
      <c r="AO1049" s="23"/>
      <c r="AP1049" s="23"/>
      <c r="AQ1049" s="23"/>
      <c r="AR1049" s="23"/>
      <c r="AS1049" s="2">
        <v>1</v>
      </c>
      <c r="AT1049" s="58" t="s">
        <v>646</v>
      </c>
      <c r="AU1049" s="105"/>
      <c r="AV1049" s="23"/>
      <c r="AW1049" s="23"/>
      <c r="AX1049" s="23">
        <v>1</v>
      </c>
      <c r="AY1049" s="23"/>
      <c r="AZ1049" s="23"/>
      <c r="BA1049" s="23">
        <v>1</v>
      </c>
      <c r="BB1049" s="223"/>
      <c r="BC1049" s="223"/>
      <c r="BD1049" s="270">
        <v>2018</v>
      </c>
      <c r="BE1049" s="270"/>
      <c r="BF1049" s="268"/>
    </row>
    <row r="1050" spans="1:58" ht="15" hidden="1" customHeight="1">
      <c r="A1050" s="160" t="s">
        <v>1</v>
      </c>
      <c r="B1050" s="58" t="s">
        <v>320</v>
      </c>
      <c r="C1050" s="122" t="s">
        <v>823</v>
      </c>
      <c r="D1050" s="33" t="s">
        <v>588</v>
      </c>
      <c r="E1050" s="33"/>
      <c r="F1050" s="33"/>
      <c r="G1050" s="33"/>
      <c r="H1050" s="30" t="s">
        <v>647</v>
      </c>
      <c r="I1050" s="30"/>
      <c r="J1050" s="212"/>
      <c r="K1050" s="23"/>
      <c r="L1050" s="23"/>
      <c r="M1050" s="23"/>
      <c r="N1050" s="23"/>
      <c r="O1050" s="23"/>
      <c r="P1050" s="23"/>
      <c r="Q1050" s="23"/>
      <c r="R1050" s="23"/>
      <c r="S1050" s="23"/>
      <c r="T1050" s="586"/>
      <c r="U1050" s="23"/>
      <c r="V1050" s="311"/>
      <c r="W1050" s="311"/>
      <c r="X1050" s="311"/>
      <c r="Y1050" s="94"/>
      <c r="Z1050" s="23"/>
      <c r="AA1050" s="23"/>
      <c r="AB1050" s="23"/>
      <c r="AC1050" s="23"/>
      <c r="AD1050" s="158"/>
      <c r="AE1050" s="158"/>
      <c r="AF1050" s="158"/>
      <c r="AG1050" s="158"/>
      <c r="AH1050" s="158"/>
      <c r="AI1050" s="158"/>
      <c r="AJ1050" s="158"/>
      <c r="AK1050" s="158"/>
      <c r="AL1050" s="158"/>
      <c r="AM1050" s="158"/>
      <c r="AN1050" s="158"/>
      <c r="AO1050" s="23"/>
      <c r="AP1050" s="23"/>
      <c r="AQ1050" s="23"/>
      <c r="AR1050" s="23"/>
      <c r="AS1050" s="2">
        <v>1</v>
      </c>
      <c r="AT1050" s="58" t="s">
        <v>646</v>
      </c>
      <c r="AU1050" s="105"/>
      <c r="AV1050" s="23"/>
      <c r="AW1050" s="23"/>
      <c r="AX1050" s="23">
        <v>1</v>
      </c>
      <c r="AY1050" s="23"/>
      <c r="AZ1050" s="23"/>
      <c r="BA1050" s="23">
        <v>1</v>
      </c>
      <c r="BB1050" s="223"/>
      <c r="BC1050" s="223"/>
      <c r="BD1050" s="270">
        <v>2018</v>
      </c>
      <c r="BE1050" s="270"/>
      <c r="BF1050" s="268"/>
    </row>
    <row r="1051" spans="1:58" ht="18" hidden="1" customHeight="1">
      <c r="A1051" s="160" t="s">
        <v>1</v>
      </c>
      <c r="B1051" s="58" t="s">
        <v>320</v>
      </c>
      <c r="C1051" s="122" t="s">
        <v>824</v>
      </c>
      <c r="D1051" s="33" t="s">
        <v>387</v>
      </c>
      <c r="E1051" s="33"/>
      <c r="F1051" s="33"/>
      <c r="G1051" s="33"/>
      <c r="H1051" s="30" t="s">
        <v>647</v>
      </c>
      <c r="I1051" s="30">
        <v>2190</v>
      </c>
      <c r="J1051" s="212">
        <v>42979</v>
      </c>
      <c r="K1051" s="23"/>
      <c r="L1051" s="23">
        <v>1</v>
      </c>
      <c r="M1051" s="23"/>
      <c r="N1051" s="23"/>
      <c r="O1051" s="23"/>
      <c r="P1051" s="23">
        <v>60837116</v>
      </c>
      <c r="Q1051" s="23"/>
      <c r="R1051" s="23"/>
      <c r="S1051" s="23"/>
      <c r="T1051" s="586">
        <v>27376702</v>
      </c>
      <c r="U1051" s="23"/>
      <c r="V1051" s="311"/>
      <c r="W1051" s="311"/>
      <c r="X1051" s="311"/>
      <c r="Y1051" s="94">
        <v>33460414</v>
      </c>
      <c r="Z1051" s="23"/>
      <c r="AA1051" s="23"/>
      <c r="AB1051" s="23"/>
      <c r="AC1051" s="23"/>
      <c r="AD1051" s="158"/>
      <c r="AE1051" s="158">
        <f>P1051-T1051-Y1051</f>
        <v>0</v>
      </c>
      <c r="AF1051" s="158"/>
      <c r="AG1051" s="94">
        <v>0</v>
      </c>
      <c r="AH1051" s="94"/>
      <c r="AI1051" s="94"/>
      <c r="AJ1051" s="158">
        <f t="shared" ref="AJ1051" si="171">AE1051+AG1051</f>
        <v>0</v>
      </c>
      <c r="AK1051" s="158"/>
      <c r="AL1051" s="158"/>
      <c r="AM1051" s="158"/>
      <c r="AN1051" s="158"/>
      <c r="AO1051" s="23"/>
      <c r="AP1051" s="23"/>
      <c r="AQ1051" s="23"/>
      <c r="AR1051" s="23"/>
      <c r="AS1051" s="2">
        <v>1</v>
      </c>
      <c r="AT1051" s="58" t="s">
        <v>646</v>
      </c>
      <c r="AU1051" s="388" t="s">
        <v>1851</v>
      </c>
      <c r="AV1051" s="23"/>
      <c r="AW1051" s="23"/>
      <c r="AX1051" s="23"/>
      <c r="AY1051" s="23">
        <v>1</v>
      </c>
      <c r="AZ1051" s="23"/>
      <c r="BA1051" s="23"/>
      <c r="BB1051" s="223">
        <v>1</v>
      </c>
      <c r="BC1051" s="223"/>
      <c r="BD1051" s="270">
        <v>2019</v>
      </c>
      <c r="BE1051" s="270">
        <v>2019</v>
      </c>
      <c r="BF1051" s="271"/>
    </row>
    <row r="1052" spans="1:58" ht="15" hidden="1" customHeight="1">
      <c r="A1052" s="160" t="s">
        <v>1</v>
      </c>
      <c r="B1052" s="58" t="s">
        <v>320</v>
      </c>
      <c r="C1052" s="122" t="s">
        <v>825</v>
      </c>
      <c r="D1052" s="33" t="s">
        <v>588</v>
      </c>
      <c r="E1052" s="33"/>
      <c r="F1052" s="33"/>
      <c r="G1052" s="33"/>
      <c r="H1052" s="30" t="s">
        <v>647</v>
      </c>
      <c r="I1052" s="30"/>
      <c r="J1052" s="212"/>
      <c r="K1052" s="23"/>
      <c r="L1052" s="23"/>
      <c r="M1052" s="23"/>
      <c r="N1052" s="23"/>
      <c r="O1052" s="23"/>
      <c r="P1052" s="23"/>
      <c r="Q1052" s="23"/>
      <c r="R1052" s="23"/>
      <c r="S1052" s="23"/>
      <c r="T1052" s="586"/>
      <c r="U1052" s="23"/>
      <c r="V1052" s="311"/>
      <c r="W1052" s="311"/>
      <c r="X1052" s="311"/>
      <c r="Y1052" s="94"/>
      <c r="Z1052" s="23"/>
      <c r="AA1052" s="23"/>
      <c r="AB1052" s="23"/>
      <c r="AC1052" s="23"/>
      <c r="AD1052" s="158"/>
      <c r="AE1052" s="158"/>
      <c r="AF1052" s="158"/>
      <c r="AG1052" s="158"/>
      <c r="AH1052" s="158"/>
      <c r="AI1052" s="158"/>
      <c r="AJ1052" s="158"/>
      <c r="AK1052" s="158"/>
      <c r="AL1052" s="158"/>
      <c r="AM1052" s="158"/>
      <c r="AN1052" s="158"/>
      <c r="AO1052" s="23"/>
      <c r="AP1052" s="23"/>
      <c r="AQ1052" s="23"/>
      <c r="AR1052" s="23"/>
      <c r="AS1052" s="2">
        <v>1</v>
      </c>
      <c r="AT1052" s="58" t="s">
        <v>646</v>
      </c>
      <c r="AU1052" s="105"/>
      <c r="AV1052" s="23"/>
      <c r="AW1052" s="23"/>
      <c r="AX1052" s="23">
        <v>1</v>
      </c>
      <c r="AY1052" s="23"/>
      <c r="AZ1052" s="23"/>
      <c r="BA1052" s="23">
        <v>1</v>
      </c>
      <c r="BB1052" s="223"/>
      <c r="BC1052" s="223"/>
      <c r="BD1052" s="270">
        <v>2018</v>
      </c>
      <c r="BE1052" s="270"/>
      <c r="BF1052" s="268"/>
    </row>
    <row r="1053" spans="1:58" ht="15" hidden="1" customHeight="1">
      <c r="A1053" s="160" t="s">
        <v>1</v>
      </c>
      <c r="B1053" s="58" t="s">
        <v>320</v>
      </c>
      <c r="C1053" s="122" t="s">
        <v>826</v>
      </c>
      <c r="D1053" s="33" t="s">
        <v>588</v>
      </c>
      <c r="E1053" s="33"/>
      <c r="F1053" s="33"/>
      <c r="G1053" s="33"/>
      <c r="H1053" s="30" t="s">
        <v>647</v>
      </c>
      <c r="I1053" s="30"/>
      <c r="J1053" s="212"/>
      <c r="K1053" s="23"/>
      <c r="L1053" s="23"/>
      <c r="M1053" s="23"/>
      <c r="N1053" s="23"/>
      <c r="O1053" s="23"/>
      <c r="P1053" s="23"/>
      <c r="Q1053" s="23"/>
      <c r="R1053" s="23"/>
      <c r="S1053" s="23"/>
      <c r="T1053" s="586"/>
      <c r="U1053" s="23"/>
      <c r="V1053" s="311"/>
      <c r="W1053" s="311"/>
      <c r="X1053" s="311"/>
      <c r="Y1053" s="94"/>
      <c r="Z1053" s="23"/>
      <c r="AA1053" s="23"/>
      <c r="AB1053" s="23"/>
      <c r="AC1053" s="23"/>
      <c r="AD1053" s="158"/>
      <c r="AE1053" s="158"/>
      <c r="AF1053" s="158"/>
      <c r="AG1053" s="158"/>
      <c r="AH1053" s="158"/>
      <c r="AI1053" s="158"/>
      <c r="AJ1053" s="158"/>
      <c r="AK1053" s="158"/>
      <c r="AL1053" s="158"/>
      <c r="AM1053" s="158"/>
      <c r="AN1053" s="158"/>
      <c r="AO1053" s="23"/>
      <c r="AP1053" s="23"/>
      <c r="AQ1053" s="23"/>
      <c r="AR1053" s="23"/>
      <c r="AS1053" s="2">
        <v>1</v>
      </c>
      <c r="AT1053" s="58" t="s">
        <v>646</v>
      </c>
      <c r="AU1053" s="105"/>
      <c r="AV1053" s="23"/>
      <c r="AW1053" s="23"/>
      <c r="AX1053" s="23">
        <v>1</v>
      </c>
      <c r="AY1053" s="23"/>
      <c r="AZ1053" s="23"/>
      <c r="BA1053" s="23">
        <v>1</v>
      </c>
      <c r="BB1053" s="223"/>
      <c r="BC1053" s="223"/>
      <c r="BD1053" s="270">
        <v>2018</v>
      </c>
      <c r="BE1053" s="270"/>
      <c r="BF1053" s="268"/>
    </row>
    <row r="1054" spans="1:58" ht="15" hidden="1" customHeight="1">
      <c r="A1054" s="160" t="s">
        <v>1</v>
      </c>
      <c r="B1054" s="58" t="s">
        <v>320</v>
      </c>
      <c r="C1054" s="122" t="s">
        <v>827</v>
      </c>
      <c r="D1054" s="33" t="s">
        <v>588</v>
      </c>
      <c r="E1054" s="33"/>
      <c r="F1054" s="33"/>
      <c r="G1054" s="33"/>
      <c r="H1054" s="30" t="s">
        <v>647</v>
      </c>
      <c r="I1054" s="30"/>
      <c r="J1054" s="212"/>
      <c r="K1054" s="23"/>
      <c r="L1054" s="23"/>
      <c r="M1054" s="23"/>
      <c r="N1054" s="23"/>
      <c r="O1054" s="23"/>
      <c r="P1054" s="23"/>
      <c r="Q1054" s="23"/>
      <c r="R1054" s="23"/>
      <c r="S1054" s="23"/>
      <c r="T1054" s="586"/>
      <c r="U1054" s="23"/>
      <c r="V1054" s="311"/>
      <c r="W1054" s="311"/>
      <c r="X1054" s="311"/>
      <c r="Y1054" s="94"/>
      <c r="Z1054" s="23"/>
      <c r="AA1054" s="23"/>
      <c r="AB1054" s="23"/>
      <c r="AC1054" s="23"/>
      <c r="AD1054" s="158"/>
      <c r="AE1054" s="158"/>
      <c r="AF1054" s="158"/>
      <c r="AG1054" s="158"/>
      <c r="AH1054" s="158"/>
      <c r="AI1054" s="158"/>
      <c r="AJ1054" s="158"/>
      <c r="AK1054" s="158"/>
      <c r="AL1054" s="158"/>
      <c r="AM1054" s="158"/>
      <c r="AN1054" s="158"/>
      <c r="AO1054" s="23"/>
      <c r="AP1054" s="23"/>
      <c r="AQ1054" s="23"/>
      <c r="AR1054" s="23"/>
      <c r="AS1054" s="2">
        <v>1</v>
      </c>
      <c r="AT1054" s="58" t="s">
        <v>646</v>
      </c>
      <c r="AU1054" s="105"/>
      <c r="AV1054" s="23"/>
      <c r="AW1054" s="23"/>
      <c r="AX1054" s="23">
        <v>1</v>
      </c>
      <c r="AY1054" s="23"/>
      <c r="AZ1054" s="23"/>
      <c r="BA1054" s="23">
        <v>1</v>
      </c>
      <c r="BB1054" s="223"/>
      <c r="BC1054" s="223"/>
      <c r="BD1054" s="270">
        <v>2018</v>
      </c>
      <c r="BE1054" s="270"/>
      <c r="BF1054" s="268"/>
    </row>
    <row r="1055" spans="1:58" ht="15" hidden="1" customHeight="1">
      <c r="A1055" s="160" t="s">
        <v>1</v>
      </c>
      <c r="B1055" s="58" t="s">
        <v>320</v>
      </c>
      <c r="C1055" s="122" t="s">
        <v>1205</v>
      </c>
      <c r="D1055" s="33" t="s">
        <v>588</v>
      </c>
      <c r="E1055" s="33"/>
      <c r="F1055" s="33"/>
      <c r="G1055" s="33"/>
      <c r="H1055" s="30" t="s">
        <v>647</v>
      </c>
      <c r="I1055" s="30"/>
      <c r="J1055" s="212"/>
      <c r="K1055" s="23"/>
      <c r="L1055" s="23"/>
      <c r="M1055" s="23"/>
      <c r="N1055" s="23"/>
      <c r="O1055" s="23"/>
      <c r="P1055" s="23"/>
      <c r="Q1055" s="23"/>
      <c r="R1055" s="23"/>
      <c r="S1055" s="23"/>
      <c r="T1055" s="586"/>
      <c r="U1055" s="23"/>
      <c r="V1055" s="311"/>
      <c r="W1055" s="311"/>
      <c r="X1055" s="311"/>
      <c r="Y1055" s="94"/>
      <c r="Z1055" s="23"/>
      <c r="AA1055" s="23"/>
      <c r="AB1055" s="23"/>
      <c r="AC1055" s="23"/>
      <c r="AD1055" s="158"/>
      <c r="AE1055" s="158"/>
      <c r="AF1055" s="158"/>
      <c r="AG1055" s="158"/>
      <c r="AH1055" s="158"/>
      <c r="AI1055" s="158"/>
      <c r="AJ1055" s="158"/>
      <c r="AK1055" s="158"/>
      <c r="AL1055" s="158"/>
      <c r="AM1055" s="158"/>
      <c r="AN1055" s="158"/>
      <c r="AO1055" s="23"/>
      <c r="AP1055" s="23"/>
      <c r="AQ1055" s="23"/>
      <c r="AR1055" s="23"/>
      <c r="AS1055" s="2">
        <v>1</v>
      </c>
      <c r="AT1055" s="58" t="s">
        <v>646</v>
      </c>
      <c r="AU1055" s="105"/>
      <c r="AV1055" s="23"/>
      <c r="AW1055" s="23"/>
      <c r="AX1055" s="23">
        <v>1</v>
      </c>
      <c r="AY1055" s="23"/>
      <c r="AZ1055" s="23"/>
      <c r="BA1055" s="23">
        <v>1</v>
      </c>
      <c r="BB1055" s="223"/>
      <c r="BC1055" s="223"/>
      <c r="BD1055" s="270">
        <v>2018</v>
      </c>
      <c r="BE1055" s="270"/>
      <c r="BF1055" s="268"/>
    </row>
    <row r="1056" spans="1:58" ht="15" hidden="1" customHeight="1">
      <c r="A1056" s="160" t="s">
        <v>1</v>
      </c>
      <c r="B1056" s="58" t="s">
        <v>320</v>
      </c>
      <c r="C1056" s="122" t="s">
        <v>828</v>
      </c>
      <c r="D1056" s="33" t="s">
        <v>588</v>
      </c>
      <c r="E1056" s="33"/>
      <c r="F1056" s="33"/>
      <c r="G1056" s="33"/>
      <c r="H1056" s="30" t="s">
        <v>663</v>
      </c>
      <c r="I1056" s="30"/>
      <c r="J1056" s="212"/>
      <c r="K1056" s="23"/>
      <c r="L1056" s="23"/>
      <c r="M1056" s="23"/>
      <c r="N1056" s="23"/>
      <c r="O1056" s="23"/>
      <c r="P1056" s="23"/>
      <c r="Q1056" s="23"/>
      <c r="R1056" s="23"/>
      <c r="S1056" s="23"/>
      <c r="T1056" s="586"/>
      <c r="U1056" s="23"/>
      <c r="V1056" s="311"/>
      <c r="W1056" s="311"/>
      <c r="X1056" s="311"/>
      <c r="Y1056" s="94"/>
      <c r="Z1056" s="23"/>
      <c r="AA1056" s="23"/>
      <c r="AB1056" s="23"/>
      <c r="AC1056" s="23"/>
      <c r="AD1056" s="158"/>
      <c r="AE1056" s="158"/>
      <c r="AF1056" s="158"/>
      <c r="AG1056" s="158"/>
      <c r="AH1056" s="158"/>
      <c r="AI1056" s="158"/>
      <c r="AJ1056" s="158"/>
      <c r="AK1056" s="158"/>
      <c r="AL1056" s="158"/>
      <c r="AM1056" s="158"/>
      <c r="AN1056" s="158"/>
      <c r="AO1056" s="23"/>
      <c r="AP1056" s="50"/>
      <c r="AQ1056" s="50"/>
      <c r="AR1056" s="50"/>
      <c r="AS1056" s="2">
        <v>1</v>
      </c>
      <c r="AT1056" s="58" t="s">
        <v>646</v>
      </c>
      <c r="AU1056" s="105"/>
      <c r="AV1056" s="23"/>
      <c r="AW1056" s="50"/>
      <c r="AX1056" s="23">
        <v>1</v>
      </c>
      <c r="AY1056" s="23"/>
      <c r="AZ1056" s="23"/>
      <c r="BA1056" s="23">
        <v>1</v>
      </c>
      <c r="BB1056" s="223"/>
      <c r="BC1056" s="223"/>
      <c r="BD1056" s="270">
        <v>2018</v>
      </c>
      <c r="BE1056" s="270"/>
      <c r="BF1056" s="268"/>
    </row>
    <row r="1057" spans="1:58" ht="15" hidden="1" customHeight="1">
      <c r="A1057" s="160" t="s">
        <v>1</v>
      </c>
      <c r="B1057" s="58" t="s">
        <v>320</v>
      </c>
      <c r="C1057" s="122" t="s">
        <v>829</v>
      </c>
      <c r="D1057" s="33" t="s">
        <v>387</v>
      </c>
      <c r="E1057" s="33"/>
      <c r="F1057" s="33"/>
      <c r="G1057" s="33"/>
      <c r="H1057" s="30" t="s">
        <v>663</v>
      </c>
      <c r="I1057" s="30"/>
      <c r="J1057" s="212"/>
      <c r="K1057" s="23"/>
      <c r="L1057" s="23"/>
      <c r="M1057" s="23"/>
      <c r="N1057" s="23"/>
      <c r="O1057" s="23"/>
      <c r="P1057" s="23"/>
      <c r="Q1057" s="23"/>
      <c r="R1057" s="23"/>
      <c r="S1057" s="23"/>
      <c r="T1057" s="586"/>
      <c r="U1057" s="23"/>
      <c r="V1057" s="311"/>
      <c r="W1057" s="311"/>
      <c r="X1057" s="311"/>
      <c r="Y1057" s="94"/>
      <c r="Z1057" s="23"/>
      <c r="AA1057" s="23"/>
      <c r="AB1057" s="23"/>
      <c r="AC1057" s="23"/>
      <c r="AD1057" s="158"/>
      <c r="AE1057" s="158"/>
      <c r="AF1057" s="158"/>
      <c r="AG1057" s="158"/>
      <c r="AH1057" s="158"/>
      <c r="AI1057" s="158"/>
      <c r="AJ1057" s="158"/>
      <c r="AK1057" s="158"/>
      <c r="AL1057" s="158"/>
      <c r="AM1057" s="158"/>
      <c r="AN1057" s="158"/>
      <c r="AO1057" s="23"/>
      <c r="AP1057" s="23"/>
      <c r="AQ1057" s="23"/>
      <c r="AR1057" s="23"/>
      <c r="AS1057" s="2">
        <v>1</v>
      </c>
      <c r="AT1057" s="58" t="s">
        <v>646</v>
      </c>
      <c r="AU1057" s="105"/>
      <c r="AV1057" s="23"/>
      <c r="AW1057" s="50"/>
      <c r="AX1057" s="23">
        <v>1</v>
      </c>
      <c r="AY1057" s="23"/>
      <c r="AZ1057" s="23"/>
      <c r="BA1057" s="23">
        <v>1</v>
      </c>
      <c r="BB1057" s="223"/>
      <c r="BC1057" s="223"/>
      <c r="BD1057" s="270">
        <v>2018</v>
      </c>
      <c r="BE1057" s="270"/>
      <c r="BF1057" s="268"/>
    </row>
    <row r="1058" spans="1:58" ht="15" hidden="1" customHeight="1">
      <c r="A1058" s="160" t="s">
        <v>1</v>
      </c>
      <c r="B1058" s="58" t="s">
        <v>320</v>
      </c>
      <c r="C1058" s="122" t="s">
        <v>830</v>
      </c>
      <c r="D1058" s="33" t="s">
        <v>588</v>
      </c>
      <c r="E1058" s="33"/>
      <c r="F1058" s="33"/>
      <c r="G1058" s="33"/>
      <c r="H1058" s="30" t="s">
        <v>661</v>
      </c>
      <c r="I1058" s="30"/>
      <c r="J1058" s="212"/>
      <c r="K1058" s="23"/>
      <c r="L1058" s="23"/>
      <c r="M1058" s="23"/>
      <c r="N1058" s="23"/>
      <c r="O1058" s="23"/>
      <c r="P1058" s="23"/>
      <c r="Q1058" s="23"/>
      <c r="R1058" s="23"/>
      <c r="S1058" s="23"/>
      <c r="T1058" s="586"/>
      <c r="U1058" s="23"/>
      <c r="V1058" s="311"/>
      <c r="W1058" s="311"/>
      <c r="X1058" s="311"/>
      <c r="Y1058" s="94"/>
      <c r="Z1058" s="23"/>
      <c r="AA1058" s="23"/>
      <c r="AB1058" s="23"/>
      <c r="AC1058" s="23"/>
      <c r="AD1058" s="158"/>
      <c r="AE1058" s="158"/>
      <c r="AF1058" s="158"/>
      <c r="AG1058" s="158"/>
      <c r="AH1058" s="158"/>
      <c r="AI1058" s="158"/>
      <c r="AJ1058" s="158"/>
      <c r="AK1058" s="158"/>
      <c r="AL1058" s="158"/>
      <c r="AM1058" s="158"/>
      <c r="AN1058" s="158"/>
      <c r="AO1058" s="23"/>
      <c r="AP1058" s="50"/>
      <c r="AQ1058" s="50"/>
      <c r="AR1058" s="50"/>
      <c r="AS1058" s="2">
        <v>1</v>
      </c>
      <c r="AT1058" s="58" t="s">
        <v>646</v>
      </c>
      <c r="AU1058" s="105"/>
      <c r="AV1058" s="23"/>
      <c r="AW1058" s="50"/>
      <c r="AX1058" s="23">
        <v>1</v>
      </c>
      <c r="AY1058" s="23"/>
      <c r="AZ1058" s="23"/>
      <c r="BA1058" s="23">
        <v>1</v>
      </c>
      <c r="BB1058" s="223"/>
      <c r="BC1058" s="223"/>
      <c r="BD1058" s="270">
        <v>2018</v>
      </c>
      <c r="BE1058" s="270"/>
      <c r="BF1058" s="268"/>
    </row>
    <row r="1059" spans="1:58" ht="15" hidden="1" customHeight="1">
      <c r="A1059" s="160" t="s">
        <v>1</v>
      </c>
      <c r="B1059" s="58" t="s">
        <v>320</v>
      </c>
      <c r="C1059" s="122" t="s">
        <v>831</v>
      </c>
      <c r="D1059" s="33" t="s">
        <v>588</v>
      </c>
      <c r="E1059" s="33"/>
      <c r="F1059" s="33"/>
      <c r="G1059" s="33"/>
      <c r="H1059" s="30" t="s">
        <v>657</v>
      </c>
      <c r="I1059" s="30"/>
      <c r="J1059" s="212"/>
      <c r="K1059" s="23"/>
      <c r="L1059" s="23"/>
      <c r="M1059" s="23"/>
      <c r="N1059" s="23"/>
      <c r="O1059" s="23"/>
      <c r="P1059" s="23"/>
      <c r="Q1059" s="23"/>
      <c r="R1059" s="23"/>
      <c r="S1059" s="23"/>
      <c r="T1059" s="586"/>
      <c r="U1059" s="23"/>
      <c r="V1059" s="311"/>
      <c r="W1059" s="311"/>
      <c r="X1059" s="311"/>
      <c r="Y1059" s="94"/>
      <c r="Z1059" s="23"/>
      <c r="AA1059" s="23"/>
      <c r="AB1059" s="23"/>
      <c r="AC1059" s="23"/>
      <c r="AD1059" s="158"/>
      <c r="AE1059" s="158"/>
      <c r="AF1059" s="158"/>
      <c r="AG1059" s="158"/>
      <c r="AH1059" s="158"/>
      <c r="AI1059" s="158"/>
      <c r="AJ1059" s="158"/>
      <c r="AK1059" s="158"/>
      <c r="AL1059" s="158"/>
      <c r="AM1059" s="158"/>
      <c r="AN1059" s="158"/>
      <c r="AO1059" s="23"/>
      <c r="AP1059" s="50"/>
      <c r="AQ1059" s="50"/>
      <c r="AR1059" s="50"/>
      <c r="AS1059" s="2">
        <v>1</v>
      </c>
      <c r="AT1059" s="58" t="s">
        <v>646</v>
      </c>
      <c r="AU1059" s="105"/>
      <c r="AV1059" s="23"/>
      <c r="AW1059" s="50"/>
      <c r="AX1059" s="23">
        <v>1</v>
      </c>
      <c r="AY1059" s="23"/>
      <c r="AZ1059" s="23"/>
      <c r="BA1059" s="23">
        <v>1</v>
      </c>
      <c r="BB1059" s="223"/>
      <c r="BC1059" s="223"/>
      <c r="BD1059" s="270">
        <v>2018</v>
      </c>
      <c r="BE1059" s="270"/>
      <c r="BF1059" s="268"/>
    </row>
    <row r="1060" spans="1:58" ht="15" hidden="1" customHeight="1">
      <c r="A1060" s="160" t="s">
        <v>1</v>
      </c>
      <c r="B1060" s="58" t="s">
        <v>320</v>
      </c>
      <c r="C1060" s="122" t="s">
        <v>902</v>
      </c>
      <c r="D1060" s="33" t="s">
        <v>588</v>
      </c>
      <c r="E1060" s="33"/>
      <c r="F1060" s="33"/>
      <c r="G1060" s="33"/>
      <c r="H1060" s="30" t="s">
        <v>663</v>
      </c>
      <c r="I1060" s="30"/>
      <c r="J1060" s="212"/>
      <c r="K1060" s="23"/>
      <c r="L1060" s="23"/>
      <c r="M1060" s="23"/>
      <c r="N1060" s="23"/>
      <c r="O1060" s="23"/>
      <c r="P1060" s="23"/>
      <c r="Q1060" s="23"/>
      <c r="R1060" s="23"/>
      <c r="S1060" s="23"/>
      <c r="T1060" s="586"/>
      <c r="U1060" s="23"/>
      <c r="V1060" s="311"/>
      <c r="W1060" s="311"/>
      <c r="X1060" s="311"/>
      <c r="Y1060" s="94"/>
      <c r="Z1060" s="23"/>
      <c r="AA1060" s="23"/>
      <c r="AB1060" s="23"/>
      <c r="AC1060" s="23"/>
      <c r="AD1060" s="158"/>
      <c r="AE1060" s="158"/>
      <c r="AF1060" s="158"/>
      <c r="AG1060" s="158"/>
      <c r="AH1060" s="158"/>
      <c r="AI1060" s="158"/>
      <c r="AJ1060" s="158"/>
      <c r="AK1060" s="158"/>
      <c r="AL1060" s="158"/>
      <c r="AM1060" s="158"/>
      <c r="AN1060" s="158"/>
      <c r="AO1060" s="23"/>
      <c r="AP1060" s="50"/>
      <c r="AQ1060" s="50"/>
      <c r="AR1060" s="50"/>
      <c r="AS1060" s="2">
        <v>1</v>
      </c>
      <c r="AT1060" s="58" t="s">
        <v>646</v>
      </c>
      <c r="AU1060" s="105" t="s">
        <v>704</v>
      </c>
      <c r="AV1060" s="23"/>
      <c r="AW1060" s="50"/>
      <c r="AX1060" s="23">
        <v>1</v>
      </c>
      <c r="AY1060" s="23"/>
      <c r="AZ1060" s="23"/>
      <c r="BA1060" s="23">
        <v>1</v>
      </c>
      <c r="BB1060" s="223"/>
      <c r="BC1060" s="223"/>
      <c r="BD1060" s="270">
        <v>2018</v>
      </c>
      <c r="BE1060" s="270"/>
      <c r="BF1060" s="268"/>
    </row>
    <row r="1061" spans="1:58" ht="15" hidden="1" customHeight="1">
      <c r="A1061" s="160" t="s">
        <v>1</v>
      </c>
      <c r="B1061" s="58" t="s">
        <v>320</v>
      </c>
      <c r="C1061" s="122" t="s">
        <v>832</v>
      </c>
      <c r="D1061" s="33" t="s">
        <v>387</v>
      </c>
      <c r="E1061" s="33"/>
      <c r="F1061" s="33"/>
      <c r="G1061" s="33"/>
      <c r="H1061" s="30" t="s">
        <v>659</v>
      </c>
      <c r="I1061" s="30"/>
      <c r="J1061" s="212"/>
      <c r="K1061" s="23"/>
      <c r="L1061" s="23"/>
      <c r="M1061" s="23"/>
      <c r="N1061" s="23"/>
      <c r="O1061" s="23"/>
      <c r="P1061" s="23"/>
      <c r="Q1061" s="23"/>
      <c r="R1061" s="23"/>
      <c r="S1061" s="23"/>
      <c r="T1061" s="586"/>
      <c r="U1061" s="23"/>
      <c r="V1061" s="311"/>
      <c r="W1061" s="311"/>
      <c r="X1061" s="311"/>
      <c r="Y1061" s="94"/>
      <c r="Z1061" s="23"/>
      <c r="AA1061" s="23"/>
      <c r="AB1061" s="23"/>
      <c r="AC1061" s="23"/>
      <c r="AD1061" s="158"/>
      <c r="AE1061" s="158"/>
      <c r="AF1061" s="158"/>
      <c r="AG1061" s="158"/>
      <c r="AH1061" s="158"/>
      <c r="AI1061" s="158"/>
      <c r="AJ1061" s="158"/>
      <c r="AK1061" s="158"/>
      <c r="AL1061" s="158"/>
      <c r="AM1061" s="158"/>
      <c r="AN1061" s="158"/>
      <c r="AO1061" s="23"/>
      <c r="AP1061" s="50"/>
      <c r="AQ1061" s="50"/>
      <c r="AR1061" s="50"/>
      <c r="AS1061" s="2">
        <v>1</v>
      </c>
      <c r="AT1061" s="58" t="s">
        <v>646</v>
      </c>
      <c r="AU1061" s="105"/>
      <c r="AV1061" s="23"/>
      <c r="AW1061" s="50"/>
      <c r="AX1061" s="23">
        <v>1</v>
      </c>
      <c r="AY1061" s="23"/>
      <c r="AZ1061" s="23"/>
      <c r="BA1061" s="23">
        <v>1</v>
      </c>
      <c r="BB1061" s="223"/>
      <c r="BC1061" s="223"/>
      <c r="BD1061" s="270">
        <v>2018</v>
      </c>
      <c r="BE1061" s="270"/>
      <c r="BF1061" s="268"/>
    </row>
    <row r="1062" spans="1:58" ht="15" hidden="1" customHeight="1">
      <c r="A1062" s="230" t="s">
        <v>1</v>
      </c>
      <c r="B1062" s="58" t="s">
        <v>320</v>
      </c>
      <c r="C1062" s="236" t="s">
        <v>833</v>
      </c>
      <c r="D1062" s="33" t="s">
        <v>588</v>
      </c>
      <c r="E1062" s="33"/>
      <c r="F1062" s="33"/>
      <c r="G1062" s="33"/>
      <c r="H1062" s="30" t="s">
        <v>663</v>
      </c>
      <c r="I1062" s="30"/>
      <c r="J1062" s="212"/>
      <c r="K1062" s="23"/>
      <c r="L1062" s="23"/>
      <c r="M1062" s="23"/>
      <c r="N1062" s="23"/>
      <c r="O1062" s="23"/>
      <c r="P1062" s="23"/>
      <c r="Q1062" s="23"/>
      <c r="R1062" s="23"/>
      <c r="S1062" s="23"/>
      <c r="T1062" s="586"/>
      <c r="U1062" s="23"/>
      <c r="V1062" s="311"/>
      <c r="W1062" s="311"/>
      <c r="X1062" s="311"/>
      <c r="Y1062" s="94"/>
      <c r="Z1062" s="23"/>
      <c r="AA1062" s="57"/>
      <c r="AB1062" s="57"/>
      <c r="AC1062" s="57"/>
      <c r="AD1062" s="158"/>
      <c r="AE1062" s="158"/>
      <c r="AF1062" s="158"/>
      <c r="AG1062" s="158"/>
      <c r="AH1062" s="158"/>
      <c r="AI1062" s="158"/>
      <c r="AJ1062" s="158"/>
      <c r="AK1062" s="158"/>
      <c r="AL1062" s="158"/>
      <c r="AM1062" s="158"/>
      <c r="AN1062" s="158"/>
      <c r="AO1062" s="23"/>
      <c r="AP1062" s="50"/>
      <c r="AQ1062" s="50"/>
      <c r="AR1062" s="50"/>
      <c r="AS1062" s="2">
        <v>1</v>
      </c>
      <c r="AT1062" s="58" t="s">
        <v>646</v>
      </c>
      <c r="AU1062" s="105"/>
      <c r="AV1062" s="23"/>
      <c r="AW1062" s="50"/>
      <c r="AX1062" s="23">
        <v>1</v>
      </c>
      <c r="AY1062" s="23"/>
      <c r="AZ1062" s="23"/>
      <c r="BA1062" s="23">
        <v>1</v>
      </c>
      <c r="BB1062" s="223"/>
      <c r="BC1062" s="223"/>
      <c r="BD1062" s="270">
        <v>2018</v>
      </c>
      <c r="BE1062" s="270"/>
      <c r="BF1062" s="268"/>
    </row>
    <row r="1063" spans="1:58" s="204" customFormat="1" ht="18" customHeight="1">
      <c r="A1063" s="160" t="s">
        <v>1</v>
      </c>
      <c r="B1063" s="58" t="s">
        <v>320</v>
      </c>
      <c r="C1063" s="122" t="s">
        <v>1029</v>
      </c>
      <c r="D1063" s="33" t="s">
        <v>438</v>
      </c>
      <c r="E1063" s="33"/>
      <c r="F1063" s="33"/>
      <c r="G1063" s="33"/>
      <c r="H1063" s="30" t="s">
        <v>713</v>
      </c>
      <c r="I1063" s="228" t="s">
        <v>1520</v>
      </c>
      <c r="J1063" s="215" t="s">
        <v>1519</v>
      </c>
      <c r="K1063" s="23"/>
      <c r="L1063" s="23"/>
      <c r="M1063" s="23">
        <v>1</v>
      </c>
      <c r="N1063" s="23">
        <v>1</v>
      </c>
      <c r="O1063" s="23"/>
      <c r="P1063" s="23">
        <v>77562674</v>
      </c>
      <c r="Q1063" s="23"/>
      <c r="R1063" s="23"/>
      <c r="S1063" s="23"/>
      <c r="T1063" s="586"/>
      <c r="U1063" s="23"/>
      <c r="V1063" s="311"/>
      <c r="W1063" s="311"/>
      <c r="X1063" s="311"/>
      <c r="Y1063" s="94"/>
      <c r="Z1063" s="223"/>
      <c r="AA1063" s="223"/>
      <c r="AB1063" s="223"/>
      <c r="AC1063" s="223"/>
      <c r="AD1063" s="158"/>
      <c r="AE1063" s="158">
        <f t="shared" ref="AE1063:AE1068" si="172">P1063-T1063-Y1063</f>
        <v>77562674</v>
      </c>
      <c r="AF1063" s="158"/>
      <c r="AG1063" s="94">
        <v>0</v>
      </c>
      <c r="AH1063" s="94"/>
      <c r="AI1063" s="94"/>
      <c r="AJ1063" s="158">
        <f>AE1063+AG1063</f>
        <v>77562674</v>
      </c>
      <c r="AK1063" s="158">
        <v>877</v>
      </c>
      <c r="AL1063" s="158">
        <v>10</v>
      </c>
      <c r="AM1063" s="158">
        <v>1</v>
      </c>
      <c r="AN1063" s="158"/>
      <c r="AO1063" s="50"/>
      <c r="AP1063" s="50"/>
      <c r="AQ1063" s="50"/>
      <c r="AR1063" s="50"/>
      <c r="AS1063" s="2">
        <v>0</v>
      </c>
      <c r="AT1063" s="58" t="s">
        <v>521</v>
      </c>
      <c r="AU1063" s="386"/>
      <c r="AV1063" s="23"/>
      <c r="AW1063" s="50"/>
      <c r="AX1063" s="50"/>
      <c r="AY1063" s="50"/>
      <c r="AZ1063" s="50"/>
      <c r="BA1063" s="50"/>
      <c r="BB1063" s="293"/>
      <c r="BC1063" s="293"/>
      <c r="BD1063" s="271"/>
      <c r="BE1063" s="271">
        <v>2019</v>
      </c>
      <c r="BF1063" s="271">
        <v>2020</v>
      </c>
    </row>
    <row r="1064" spans="1:58" s="204" customFormat="1" ht="18" customHeight="1">
      <c r="A1064" s="160" t="s">
        <v>1</v>
      </c>
      <c r="B1064" s="58" t="s">
        <v>320</v>
      </c>
      <c r="C1064" s="122" t="s">
        <v>891</v>
      </c>
      <c r="D1064" s="33" t="s">
        <v>438</v>
      </c>
      <c r="E1064" s="33"/>
      <c r="F1064" s="33"/>
      <c r="G1064" s="33"/>
      <c r="H1064" s="30" t="s">
        <v>713</v>
      </c>
      <c r="I1064" s="228" t="s">
        <v>1521</v>
      </c>
      <c r="J1064" s="215" t="s">
        <v>1519</v>
      </c>
      <c r="K1064" s="23"/>
      <c r="L1064" s="23"/>
      <c r="M1064" s="23">
        <v>1</v>
      </c>
      <c r="N1064" s="23">
        <v>1</v>
      </c>
      <c r="O1064" s="23"/>
      <c r="P1064" s="23">
        <v>66948834</v>
      </c>
      <c r="Q1064" s="23"/>
      <c r="R1064" s="23"/>
      <c r="S1064" s="23"/>
      <c r="T1064" s="586"/>
      <c r="U1064" s="23"/>
      <c r="V1064" s="311"/>
      <c r="W1064" s="311"/>
      <c r="X1064" s="311"/>
      <c r="Y1064" s="94"/>
      <c r="Z1064" s="223"/>
      <c r="AA1064" s="223"/>
      <c r="AB1064" s="223"/>
      <c r="AC1064" s="223"/>
      <c r="AD1064" s="158"/>
      <c r="AE1064" s="158">
        <f t="shared" si="172"/>
        <v>66948834</v>
      </c>
      <c r="AF1064" s="158"/>
      <c r="AG1064" s="94">
        <v>0</v>
      </c>
      <c r="AH1064" s="94"/>
      <c r="AI1064" s="94"/>
      <c r="AJ1064" s="158">
        <f>AE1064+AG1064</f>
        <v>66948834</v>
      </c>
      <c r="AK1064" s="158">
        <v>877</v>
      </c>
      <c r="AL1064" s="158">
        <v>10</v>
      </c>
      <c r="AM1064" s="158">
        <v>1</v>
      </c>
      <c r="AN1064" s="158"/>
      <c r="AO1064" s="50"/>
      <c r="AP1064" s="50"/>
      <c r="AQ1064" s="50"/>
      <c r="AR1064" s="50"/>
      <c r="AS1064" s="2">
        <v>0</v>
      </c>
      <c r="AT1064" s="58" t="s">
        <v>521</v>
      </c>
      <c r="AU1064" s="386"/>
      <c r="AV1064" s="23"/>
      <c r="AW1064" s="50"/>
      <c r="AX1064" s="50"/>
      <c r="AY1064" s="50"/>
      <c r="AZ1064" s="50"/>
      <c r="BA1064" s="50"/>
      <c r="BB1064" s="293"/>
      <c r="BC1064" s="293"/>
      <c r="BD1064" s="271"/>
      <c r="BE1064" s="271">
        <v>2019</v>
      </c>
      <c r="BF1064" s="271">
        <v>2020</v>
      </c>
    </row>
    <row r="1065" spans="1:58" s="204" customFormat="1" ht="18" customHeight="1">
      <c r="A1065" s="160" t="s">
        <v>1</v>
      </c>
      <c r="B1065" s="58" t="s">
        <v>320</v>
      </c>
      <c r="C1065" s="122" t="s">
        <v>889</v>
      </c>
      <c r="D1065" s="33" t="s">
        <v>438</v>
      </c>
      <c r="E1065" s="33"/>
      <c r="F1065" s="33"/>
      <c r="G1065" s="33"/>
      <c r="H1065" s="30" t="s">
        <v>713</v>
      </c>
      <c r="I1065" s="228" t="s">
        <v>1522</v>
      </c>
      <c r="J1065" s="215" t="s">
        <v>1519</v>
      </c>
      <c r="K1065" s="23"/>
      <c r="L1065" s="23"/>
      <c r="M1065" s="23">
        <v>1</v>
      </c>
      <c r="N1065" s="23">
        <v>1</v>
      </c>
      <c r="O1065" s="23"/>
      <c r="P1065" s="23">
        <v>68581733</v>
      </c>
      <c r="Q1065" s="23"/>
      <c r="R1065" s="23"/>
      <c r="S1065" s="23"/>
      <c r="T1065" s="586"/>
      <c r="U1065" s="23"/>
      <c r="V1065" s="311"/>
      <c r="W1065" s="311"/>
      <c r="X1065" s="311"/>
      <c r="Y1065" s="94"/>
      <c r="Z1065" s="223"/>
      <c r="AA1065" s="223"/>
      <c r="AB1065" s="223"/>
      <c r="AC1065" s="223"/>
      <c r="AD1065" s="158"/>
      <c r="AE1065" s="158">
        <f t="shared" si="172"/>
        <v>68581733</v>
      </c>
      <c r="AF1065" s="158"/>
      <c r="AG1065" s="94">
        <v>0</v>
      </c>
      <c r="AH1065" s="94"/>
      <c r="AI1065" s="94"/>
      <c r="AJ1065" s="158">
        <f>AE1065+AG1065</f>
        <v>68581733</v>
      </c>
      <c r="AK1065" s="158">
        <v>877</v>
      </c>
      <c r="AL1065" s="158">
        <v>10</v>
      </c>
      <c r="AM1065" s="158">
        <v>1</v>
      </c>
      <c r="AN1065" s="158"/>
      <c r="AO1065" s="50"/>
      <c r="AP1065" s="50"/>
      <c r="AQ1065" s="50"/>
      <c r="AR1065" s="50"/>
      <c r="AS1065" s="2">
        <v>0</v>
      </c>
      <c r="AT1065" s="58" t="s">
        <v>521</v>
      </c>
      <c r="AU1065" s="386"/>
      <c r="AV1065" s="23"/>
      <c r="AW1065" s="50"/>
      <c r="AX1065" s="50"/>
      <c r="AY1065" s="50"/>
      <c r="AZ1065" s="50"/>
      <c r="BA1065" s="50"/>
      <c r="BB1065" s="293"/>
      <c r="BC1065" s="293"/>
      <c r="BD1065" s="271"/>
      <c r="BE1065" s="271">
        <v>2019</v>
      </c>
      <c r="BF1065" s="271">
        <v>2020</v>
      </c>
    </row>
    <row r="1066" spans="1:58" s="204" customFormat="1" ht="18" customHeight="1">
      <c r="A1066" s="160" t="s">
        <v>1</v>
      </c>
      <c r="B1066" s="58" t="s">
        <v>320</v>
      </c>
      <c r="C1066" s="122" t="s">
        <v>1075</v>
      </c>
      <c r="D1066" s="33" t="s">
        <v>438</v>
      </c>
      <c r="E1066" s="33"/>
      <c r="F1066" s="33"/>
      <c r="G1066" s="33"/>
      <c r="H1066" s="30" t="s">
        <v>713</v>
      </c>
      <c r="I1066" s="228" t="s">
        <v>1522</v>
      </c>
      <c r="J1066" s="215" t="s">
        <v>1519</v>
      </c>
      <c r="K1066" s="23"/>
      <c r="L1066" s="23"/>
      <c r="M1066" s="23">
        <v>1</v>
      </c>
      <c r="N1066" s="23">
        <v>1</v>
      </c>
      <c r="O1066" s="23"/>
      <c r="P1066" s="23">
        <v>77562674</v>
      </c>
      <c r="Q1066" s="23"/>
      <c r="R1066" s="23"/>
      <c r="S1066" s="23"/>
      <c r="T1066" s="586"/>
      <c r="U1066" s="23"/>
      <c r="V1066" s="311"/>
      <c r="W1066" s="311"/>
      <c r="X1066" s="311"/>
      <c r="Y1066" s="94"/>
      <c r="Z1066" s="223"/>
      <c r="AA1066" s="223"/>
      <c r="AB1066" s="223"/>
      <c r="AC1066" s="223"/>
      <c r="AD1066" s="158"/>
      <c r="AE1066" s="158">
        <f t="shared" si="172"/>
        <v>77562674</v>
      </c>
      <c r="AF1066" s="158">
        <v>10</v>
      </c>
      <c r="AG1066" s="94">
        <v>0</v>
      </c>
      <c r="AH1066" s="94"/>
      <c r="AI1066" s="94"/>
      <c r="AJ1066" s="158">
        <f>AE1066+AG1066</f>
        <v>77562674</v>
      </c>
      <c r="AK1066" s="158">
        <v>877</v>
      </c>
      <c r="AL1066" s="158">
        <v>10</v>
      </c>
      <c r="AM1066" s="158">
        <v>1</v>
      </c>
      <c r="AN1066" s="158"/>
      <c r="AO1066" s="50"/>
      <c r="AP1066" s="50"/>
      <c r="AQ1066" s="50"/>
      <c r="AR1066" s="50"/>
      <c r="AS1066" s="2">
        <v>0</v>
      </c>
      <c r="AT1066" s="58" t="s">
        <v>521</v>
      </c>
      <c r="AU1066" s="386"/>
      <c r="AV1066" s="23"/>
      <c r="AW1066" s="50"/>
      <c r="AX1066" s="50"/>
      <c r="AY1066" s="50"/>
      <c r="AZ1066" s="50"/>
      <c r="BA1066" s="50"/>
      <c r="BB1066" s="293"/>
      <c r="BC1066" s="293"/>
      <c r="BD1066" s="271"/>
      <c r="BE1066" s="271">
        <v>2019</v>
      </c>
      <c r="BF1066" s="271">
        <v>2020</v>
      </c>
    </row>
    <row r="1067" spans="1:58" s="204" customFormat="1" ht="18" customHeight="1">
      <c r="A1067" s="160" t="s">
        <v>1</v>
      </c>
      <c r="B1067" s="58" t="s">
        <v>320</v>
      </c>
      <c r="C1067" s="513" t="s">
        <v>2293</v>
      </c>
      <c r="D1067" s="483" t="s">
        <v>438</v>
      </c>
      <c r="E1067" s="483"/>
      <c r="F1067" s="483"/>
      <c r="G1067" s="483"/>
      <c r="H1067" s="30" t="s">
        <v>713</v>
      </c>
      <c r="I1067" s="228" t="s">
        <v>1522</v>
      </c>
      <c r="J1067" s="215" t="s">
        <v>1519</v>
      </c>
      <c r="K1067" s="23"/>
      <c r="L1067" s="23"/>
      <c r="M1067" s="23">
        <v>1</v>
      </c>
      <c r="N1067" s="23">
        <v>1</v>
      </c>
      <c r="O1067" s="23"/>
      <c r="P1067" s="23">
        <v>77562674</v>
      </c>
      <c r="Q1067" s="23"/>
      <c r="R1067" s="23"/>
      <c r="S1067" s="23"/>
      <c r="T1067" s="586">
        <f>(77562674+2714682)</f>
        <v>80277356</v>
      </c>
      <c r="U1067" s="514" t="s">
        <v>1822</v>
      </c>
      <c r="V1067" s="484">
        <v>43980</v>
      </c>
      <c r="W1067" s="484"/>
      <c r="X1067" s="484"/>
      <c r="Y1067" s="94"/>
      <c r="Z1067" s="223"/>
      <c r="AA1067" s="223"/>
      <c r="AB1067" s="223"/>
      <c r="AC1067" s="223"/>
      <c r="AD1067" s="158"/>
      <c r="AE1067" s="158">
        <f t="shared" si="172"/>
        <v>-2714682</v>
      </c>
      <c r="AF1067" s="158"/>
      <c r="AG1067" s="94">
        <v>0</v>
      </c>
      <c r="AH1067" s="94">
        <v>2714682</v>
      </c>
      <c r="AI1067" s="94">
        <v>20</v>
      </c>
      <c r="AJ1067" s="158">
        <f>AE1067+AG1067+AH1067</f>
        <v>0</v>
      </c>
      <c r="AK1067" s="158">
        <v>877</v>
      </c>
      <c r="AL1067" s="158" t="s">
        <v>1657</v>
      </c>
      <c r="AM1067" s="158"/>
      <c r="AN1067" s="158"/>
      <c r="AO1067" s="593">
        <v>1</v>
      </c>
      <c r="AP1067" s="50"/>
      <c r="AQ1067" s="50"/>
      <c r="AR1067" s="50"/>
      <c r="AS1067" s="2">
        <v>1</v>
      </c>
      <c r="AT1067" s="594" t="s">
        <v>646</v>
      </c>
      <c r="AU1067" s="591"/>
      <c r="AV1067" s="23"/>
      <c r="AW1067" s="50"/>
      <c r="AX1067" s="50"/>
      <c r="AY1067" s="50"/>
      <c r="AZ1067" s="50">
        <v>1</v>
      </c>
      <c r="BA1067" s="50"/>
      <c r="BB1067" s="293"/>
      <c r="BC1067" s="293"/>
      <c r="BD1067" s="271"/>
      <c r="BE1067" s="271">
        <v>2019</v>
      </c>
      <c r="BF1067" s="271">
        <v>2020</v>
      </c>
    </row>
    <row r="1068" spans="1:58" s="204" customFormat="1" ht="18" customHeight="1">
      <c r="A1068" s="248" t="s">
        <v>1</v>
      </c>
      <c r="B1068" s="58" t="s">
        <v>320</v>
      </c>
      <c r="C1068" s="258" t="s">
        <v>1202</v>
      </c>
      <c r="D1068" s="33" t="s">
        <v>387</v>
      </c>
      <c r="E1068" s="33"/>
      <c r="F1068" s="33"/>
      <c r="G1068" s="33"/>
      <c r="H1068" s="30" t="s">
        <v>659</v>
      </c>
      <c r="I1068" s="30">
        <v>3029</v>
      </c>
      <c r="J1068" s="212">
        <v>43091</v>
      </c>
      <c r="K1068" s="23"/>
      <c r="L1068" s="23"/>
      <c r="M1068" s="23">
        <v>1</v>
      </c>
      <c r="N1068" s="23">
        <v>1</v>
      </c>
      <c r="O1068" s="23"/>
      <c r="P1068" s="23">
        <f>47359106+8747214</f>
        <v>56106320</v>
      </c>
      <c r="Q1068" s="23"/>
      <c r="R1068" s="23"/>
      <c r="S1068" s="23"/>
      <c r="T1068" s="586"/>
      <c r="U1068" s="23"/>
      <c r="V1068" s="311"/>
      <c r="W1068" s="311"/>
      <c r="X1068" s="311"/>
      <c r="Y1068" s="94"/>
      <c r="Z1068" s="23"/>
      <c r="AA1068" s="265"/>
      <c r="AB1068" s="265"/>
      <c r="AC1068" s="265"/>
      <c r="AD1068" s="158"/>
      <c r="AE1068" s="158">
        <f t="shared" si="172"/>
        <v>56106320</v>
      </c>
      <c r="AF1068" s="158"/>
      <c r="AG1068" s="94">
        <v>0</v>
      </c>
      <c r="AH1068" s="94"/>
      <c r="AI1068" s="94"/>
      <c r="AJ1068" s="158">
        <f>AE1068+AG1068</f>
        <v>56106320</v>
      </c>
      <c r="AK1068" s="158"/>
      <c r="AL1068" s="158"/>
      <c r="AM1068" s="158"/>
      <c r="AN1068" s="158">
        <v>1</v>
      </c>
      <c r="AO1068" s="50"/>
      <c r="AP1068" s="50"/>
      <c r="AQ1068" s="50"/>
      <c r="AR1068" s="50"/>
      <c r="AS1068" s="2">
        <v>0.45</v>
      </c>
      <c r="AT1068" s="58" t="s">
        <v>38</v>
      </c>
      <c r="AU1068" s="386"/>
      <c r="AV1068" s="23"/>
      <c r="AW1068" s="50"/>
      <c r="AX1068" s="50"/>
      <c r="AY1068" s="50"/>
      <c r="AZ1068" s="50"/>
      <c r="BA1068" s="50"/>
      <c r="BB1068" s="293"/>
      <c r="BC1068" s="293"/>
      <c r="BD1068" s="271"/>
      <c r="BE1068" s="271">
        <v>2019</v>
      </c>
      <c r="BF1068" s="271">
        <v>2020</v>
      </c>
    </row>
    <row r="1069" spans="1:58" ht="15" hidden="1" customHeight="1">
      <c r="A1069" s="160" t="s">
        <v>1</v>
      </c>
      <c r="B1069" s="58" t="s">
        <v>320</v>
      </c>
      <c r="C1069" s="122" t="s">
        <v>967</v>
      </c>
      <c r="D1069" s="33" t="s">
        <v>588</v>
      </c>
      <c r="E1069" s="33"/>
      <c r="F1069" s="33"/>
      <c r="G1069" s="33"/>
      <c r="H1069" s="30" t="s">
        <v>647</v>
      </c>
      <c r="I1069" s="30"/>
      <c r="J1069" s="212"/>
      <c r="K1069" s="23"/>
      <c r="L1069" s="23"/>
      <c r="M1069" s="23"/>
      <c r="N1069" s="23"/>
      <c r="O1069" s="23"/>
      <c r="P1069" s="23"/>
      <c r="Q1069" s="23"/>
      <c r="R1069" s="23"/>
      <c r="S1069" s="23"/>
      <c r="T1069" s="586"/>
      <c r="U1069" s="23"/>
      <c r="V1069" s="311"/>
      <c r="W1069" s="311"/>
      <c r="X1069" s="311"/>
      <c r="Y1069" s="94"/>
      <c r="Z1069" s="23"/>
      <c r="AA1069" s="23"/>
      <c r="AB1069" s="23"/>
      <c r="AC1069" s="23"/>
      <c r="AD1069" s="158"/>
      <c r="AE1069" s="158"/>
      <c r="AF1069" s="158"/>
      <c r="AG1069" s="158"/>
      <c r="AH1069" s="158"/>
      <c r="AI1069" s="158"/>
      <c r="AJ1069" s="158"/>
      <c r="AK1069" s="158"/>
      <c r="AL1069" s="158"/>
      <c r="AM1069" s="158"/>
      <c r="AN1069" s="158"/>
      <c r="AO1069" s="23"/>
      <c r="AP1069" s="50"/>
      <c r="AQ1069" s="50"/>
      <c r="AR1069" s="50"/>
      <c r="AS1069" s="2">
        <v>1</v>
      </c>
      <c r="AT1069" s="58" t="s">
        <v>646</v>
      </c>
      <c r="AU1069" s="105"/>
      <c r="AV1069" s="23"/>
      <c r="AW1069" s="50"/>
      <c r="AX1069" s="23">
        <v>1</v>
      </c>
      <c r="AY1069" s="23"/>
      <c r="AZ1069" s="23"/>
      <c r="BA1069" s="23">
        <v>1</v>
      </c>
      <c r="BB1069" s="223"/>
      <c r="BC1069" s="223"/>
      <c r="BD1069" s="270">
        <v>2018</v>
      </c>
      <c r="BE1069" s="270"/>
      <c r="BF1069" s="268"/>
    </row>
    <row r="1070" spans="1:58" ht="15" hidden="1" customHeight="1">
      <c r="A1070" s="160" t="s">
        <v>1</v>
      </c>
      <c r="B1070" s="58" t="s">
        <v>320</v>
      </c>
      <c r="C1070" s="122" t="s">
        <v>893</v>
      </c>
      <c r="D1070" s="33" t="s">
        <v>588</v>
      </c>
      <c r="E1070" s="33"/>
      <c r="F1070" s="33"/>
      <c r="G1070" s="33"/>
      <c r="H1070" s="30" t="s">
        <v>647</v>
      </c>
      <c r="I1070" s="30"/>
      <c r="J1070" s="212"/>
      <c r="K1070" s="23"/>
      <c r="L1070" s="23"/>
      <c r="M1070" s="23"/>
      <c r="N1070" s="23"/>
      <c r="O1070" s="23"/>
      <c r="P1070" s="23"/>
      <c r="Q1070" s="23"/>
      <c r="R1070" s="23"/>
      <c r="S1070" s="23"/>
      <c r="T1070" s="586"/>
      <c r="U1070" s="23"/>
      <c r="V1070" s="311"/>
      <c r="W1070" s="311"/>
      <c r="X1070" s="311"/>
      <c r="Y1070" s="94"/>
      <c r="Z1070" s="23"/>
      <c r="AA1070" s="23"/>
      <c r="AB1070" s="23"/>
      <c r="AC1070" s="23"/>
      <c r="AD1070" s="158"/>
      <c r="AE1070" s="158"/>
      <c r="AF1070" s="158"/>
      <c r="AG1070" s="158"/>
      <c r="AH1070" s="158"/>
      <c r="AI1070" s="158"/>
      <c r="AJ1070" s="158"/>
      <c r="AK1070" s="158"/>
      <c r="AL1070" s="158"/>
      <c r="AM1070" s="158"/>
      <c r="AN1070" s="158"/>
      <c r="AO1070" s="23"/>
      <c r="AP1070" s="50"/>
      <c r="AQ1070" s="50"/>
      <c r="AR1070" s="50"/>
      <c r="AS1070" s="2">
        <v>1</v>
      </c>
      <c r="AT1070" s="58" t="s">
        <v>646</v>
      </c>
      <c r="AU1070" s="105"/>
      <c r="AV1070" s="23"/>
      <c r="AW1070" s="50"/>
      <c r="AX1070" s="23">
        <v>1</v>
      </c>
      <c r="AY1070" s="23"/>
      <c r="AZ1070" s="23"/>
      <c r="BA1070" s="23">
        <v>1</v>
      </c>
      <c r="BB1070" s="223"/>
      <c r="BC1070" s="223"/>
      <c r="BD1070" s="270">
        <v>2018</v>
      </c>
      <c r="BE1070" s="270"/>
      <c r="BF1070" s="268"/>
    </row>
    <row r="1071" spans="1:58" ht="15" hidden="1" customHeight="1">
      <c r="A1071" s="160" t="s">
        <v>1</v>
      </c>
      <c r="B1071" s="58" t="s">
        <v>320</v>
      </c>
      <c r="C1071" s="122" t="s">
        <v>1030</v>
      </c>
      <c r="D1071" s="33" t="s">
        <v>588</v>
      </c>
      <c r="E1071" s="33"/>
      <c r="F1071" s="33"/>
      <c r="G1071" s="33"/>
      <c r="H1071" s="30" t="s">
        <v>647</v>
      </c>
      <c r="I1071" s="30"/>
      <c r="J1071" s="212"/>
      <c r="K1071" s="23"/>
      <c r="L1071" s="23"/>
      <c r="M1071" s="23"/>
      <c r="N1071" s="23"/>
      <c r="O1071" s="23"/>
      <c r="P1071" s="23"/>
      <c r="Q1071" s="23"/>
      <c r="R1071" s="23"/>
      <c r="S1071" s="23"/>
      <c r="T1071" s="586"/>
      <c r="U1071" s="23"/>
      <c r="V1071" s="311"/>
      <c r="W1071" s="311"/>
      <c r="X1071" s="311"/>
      <c r="Y1071" s="94"/>
      <c r="Z1071" s="23"/>
      <c r="AA1071" s="23"/>
      <c r="AB1071" s="23"/>
      <c r="AC1071" s="23"/>
      <c r="AD1071" s="158"/>
      <c r="AE1071" s="158"/>
      <c r="AF1071" s="158"/>
      <c r="AG1071" s="158"/>
      <c r="AH1071" s="158"/>
      <c r="AI1071" s="158"/>
      <c r="AJ1071" s="158"/>
      <c r="AK1071" s="158"/>
      <c r="AL1071" s="158"/>
      <c r="AM1071" s="158"/>
      <c r="AN1071" s="158"/>
      <c r="AO1071" s="23"/>
      <c r="AP1071" s="50"/>
      <c r="AQ1071" s="50"/>
      <c r="AR1071" s="50"/>
      <c r="AS1071" s="2">
        <v>1</v>
      </c>
      <c r="AT1071" s="58" t="s">
        <v>646</v>
      </c>
      <c r="AU1071" s="105"/>
      <c r="AV1071" s="23"/>
      <c r="AW1071" s="50"/>
      <c r="AX1071" s="23">
        <v>1</v>
      </c>
      <c r="AY1071" s="23"/>
      <c r="AZ1071" s="23"/>
      <c r="BA1071" s="23">
        <v>1</v>
      </c>
      <c r="BB1071" s="223"/>
      <c r="BC1071" s="223"/>
      <c r="BD1071" s="270">
        <v>2018</v>
      </c>
      <c r="BE1071" s="270"/>
      <c r="BF1071" s="268"/>
    </row>
    <row r="1072" spans="1:58" ht="15" hidden="1" customHeight="1">
      <c r="A1072" s="160" t="s">
        <v>1</v>
      </c>
      <c r="B1072" s="58" t="s">
        <v>320</v>
      </c>
      <c r="C1072" s="122" t="s">
        <v>965</v>
      </c>
      <c r="D1072" s="33" t="s">
        <v>588</v>
      </c>
      <c r="E1072" s="33"/>
      <c r="F1072" s="33"/>
      <c r="G1072" s="33"/>
      <c r="H1072" s="30" t="s">
        <v>647</v>
      </c>
      <c r="I1072" s="30"/>
      <c r="J1072" s="212"/>
      <c r="K1072" s="23"/>
      <c r="L1072" s="23"/>
      <c r="M1072" s="23"/>
      <c r="N1072" s="23"/>
      <c r="O1072" s="23"/>
      <c r="P1072" s="23"/>
      <c r="Q1072" s="23"/>
      <c r="R1072" s="23"/>
      <c r="S1072" s="23"/>
      <c r="T1072" s="586"/>
      <c r="U1072" s="23"/>
      <c r="V1072" s="311"/>
      <c r="W1072" s="311"/>
      <c r="X1072" s="311"/>
      <c r="Y1072" s="94"/>
      <c r="Z1072" s="23"/>
      <c r="AA1072" s="23"/>
      <c r="AB1072" s="23"/>
      <c r="AC1072" s="23"/>
      <c r="AD1072" s="158"/>
      <c r="AE1072" s="158"/>
      <c r="AF1072" s="158"/>
      <c r="AG1072" s="158"/>
      <c r="AH1072" s="158"/>
      <c r="AI1072" s="158"/>
      <c r="AJ1072" s="158"/>
      <c r="AK1072" s="158"/>
      <c r="AL1072" s="158"/>
      <c r="AM1072" s="158"/>
      <c r="AN1072" s="158"/>
      <c r="AO1072" s="23"/>
      <c r="AP1072" s="50"/>
      <c r="AQ1072" s="50"/>
      <c r="AR1072" s="50"/>
      <c r="AS1072" s="2">
        <v>1</v>
      </c>
      <c r="AT1072" s="58" t="s">
        <v>646</v>
      </c>
      <c r="AU1072" s="105" t="s">
        <v>894</v>
      </c>
      <c r="AV1072" s="23"/>
      <c r="AW1072" s="50"/>
      <c r="AX1072" s="23">
        <v>1</v>
      </c>
      <c r="AY1072" s="23"/>
      <c r="AZ1072" s="23"/>
      <c r="BA1072" s="23">
        <v>1</v>
      </c>
      <c r="BB1072" s="223"/>
      <c r="BC1072" s="223"/>
      <c r="BD1072" s="270">
        <v>2018</v>
      </c>
      <c r="BE1072" s="270"/>
      <c r="BF1072" s="268"/>
    </row>
    <row r="1073" spans="1:58" ht="15" hidden="1" customHeight="1">
      <c r="A1073" s="160" t="s">
        <v>1</v>
      </c>
      <c r="B1073" s="58" t="s">
        <v>320</v>
      </c>
      <c r="C1073" s="122" t="s">
        <v>895</v>
      </c>
      <c r="D1073" s="33" t="s">
        <v>588</v>
      </c>
      <c r="E1073" s="33"/>
      <c r="F1073" s="33"/>
      <c r="G1073" s="33"/>
      <c r="H1073" s="30" t="s">
        <v>647</v>
      </c>
      <c r="I1073" s="30"/>
      <c r="J1073" s="212"/>
      <c r="K1073" s="23"/>
      <c r="L1073" s="23"/>
      <c r="M1073" s="23"/>
      <c r="N1073" s="23"/>
      <c r="O1073" s="23"/>
      <c r="P1073" s="23"/>
      <c r="Q1073" s="23"/>
      <c r="R1073" s="23"/>
      <c r="S1073" s="23"/>
      <c r="T1073" s="586"/>
      <c r="U1073" s="23"/>
      <c r="V1073" s="311"/>
      <c r="W1073" s="311"/>
      <c r="X1073" s="311"/>
      <c r="Y1073" s="94"/>
      <c r="Z1073" s="23"/>
      <c r="AA1073" s="23"/>
      <c r="AB1073" s="23"/>
      <c r="AC1073" s="23"/>
      <c r="AD1073" s="158"/>
      <c r="AE1073" s="158"/>
      <c r="AF1073" s="158"/>
      <c r="AG1073" s="158"/>
      <c r="AH1073" s="158"/>
      <c r="AI1073" s="158"/>
      <c r="AJ1073" s="158"/>
      <c r="AK1073" s="158"/>
      <c r="AL1073" s="158"/>
      <c r="AM1073" s="158"/>
      <c r="AN1073" s="158"/>
      <c r="AO1073" s="23"/>
      <c r="AP1073" s="50"/>
      <c r="AQ1073" s="50"/>
      <c r="AR1073" s="50"/>
      <c r="AS1073" s="2">
        <v>1</v>
      </c>
      <c r="AT1073" s="58" t="s">
        <v>646</v>
      </c>
      <c r="AU1073" s="105"/>
      <c r="AV1073" s="23"/>
      <c r="AW1073" s="50"/>
      <c r="AX1073" s="23">
        <v>1</v>
      </c>
      <c r="AY1073" s="23"/>
      <c r="AZ1073" s="23"/>
      <c r="BA1073" s="23">
        <v>1</v>
      </c>
      <c r="BB1073" s="223"/>
      <c r="BC1073" s="223"/>
      <c r="BD1073" s="270">
        <v>2018</v>
      </c>
      <c r="BE1073" s="270"/>
      <c r="BF1073" s="268"/>
    </row>
    <row r="1074" spans="1:58" ht="18" hidden="1" customHeight="1">
      <c r="A1074" s="160" t="s">
        <v>1</v>
      </c>
      <c r="B1074" s="58" t="s">
        <v>320</v>
      </c>
      <c r="C1074" s="122" t="s">
        <v>896</v>
      </c>
      <c r="D1074" s="33" t="s">
        <v>387</v>
      </c>
      <c r="E1074" s="33"/>
      <c r="F1074" s="33"/>
      <c r="G1074" s="33"/>
      <c r="H1074" s="30" t="s">
        <v>647</v>
      </c>
      <c r="I1074" s="30">
        <v>2964</v>
      </c>
      <c r="J1074" s="212">
        <v>43088</v>
      </c>
      <c r="K1074" s="23"/>
      <c r="L1074" s="23">
        <v>1</v>
      </c>
      <c r="M1074" s="23"/>
      <c r="N1074" s="23"/>
      <c r="O1074" s="23"/>
      <c r="P1074" s="23">
        <v>60837116</v>
      </c>
      <c r="Q1074" s="23"/>
      <c r="R1074" s="23"/>
      <c r="S1074" s="23"/>
      <c r="T1074" s="586">
        <v>27376702</v>
      </c>
      <c r="U1074" s="23"/>
      <c r="V1074" s="311"/>
      <c r="W1074" s="311"/>
      <c r="X1074" s="311"/>
      <c r="Y1074" s="23">
        <v>33460414</v>
      </c>
      <c r="Z1074" s="23"/>
      <c r="AA1074" s="23"/>
      <c r="AB1074" s="23"/>
      <c r="AC1074" s="23"/>
      <c r="AD1074" s="158"/>
      <c r="AE1074" s="158">
        <f>P1074-T1074-Y1074</f>
        <v>0</v>
      </c>
      <c r="AF1074" s="158"/>
      <c r="AG1074" s="94">
        <v>0</v>
      </c>
      <c r="AH1074" s="94"/>
      <c r="AI1074" s="94"/>
      <c r="AJ1074" s="158">
        <f t="shared" ref="AJ1074" si="173">AE1074+AG1074</f>
        <v>0</v>
      </c>
      <c r="AK1074" s="158"/>
      <c r="AL1074" s="158"/>
      <c r="AM1074" s="158"/>
      <c r="AN1074" s="158"/>
      <c r="AO1074" s="23"/>
      <c r="AP1074" s="23"/>
      <c r="AQ1074" s="23"/>
      <c r="AR1074" s="23"/>
      <c r="AS1074" s="2">
        <v>1</v>
      </c>
      <c r="AT1074" s="58" t="s">
        <v>646</v>
      </c>
      <c r="AU1074" s="388" t="s">
        <v>1865</v>
      </c>
      <c r="AV1074" s="23"/>
      <c r="AW1074" s="50"/>
      <c r="AX1074" s="50"/>
      <c r="AY1074" s="23">
        <v>1</v>
      </c>
      <c r="AZ1074" s="23"/>
      <c r="BA1074" s="50"/>
      <c r="BB1074" s="223">
        <v>1</v>
      </c>
      <c r="BC1074" s="223"/>
      <c r="BD1074" s="270">
        <v>2019</v>
      </c>
      <c r="BE1074" s="270">
        <v>2019</v>
      </c>
      <c r="BF1074" s="271"/>
    </row>
    <row r="1075" spans="1:58" ht="15" hidden="1" customHeight="1">
      <c r="A1075" s="160" t="s">
        <v>1</v>
      </c>
      <c r="B1075" s="58" t="s">
        <v>320</v>
      </c>
      <c r="C1075" s="122" t="s">
        <v>897</v>
      </c>
      <c r="D1075" s="33" t="s">
        <v>588</v>
      </c>
      <c r="E1075" s="33"/>
      <c r="F1075" s="33"/>
      <c r="G1075" s="33"/>
      <c r="H1075" s="30" t="s">
        <v>647</v>
      </c>
      <c r="I1075" s="30"/>
      <c r="J1075" s="212"/>
      <c r="K1075" s="23"/>
      <c r="L1075" s="23"/>
      <c r="M1075" s="23"/>
      <c r="N1075" s="23"/>
      <c r="O1075" s="23"/>
      <c r="P1075" s="23"/>
      <c r="Q1075" s="23"/>
      <c r="R1075" s="23"/>
      <c r="S1075" s="23"/>
      <c r="T1075" s="586"/>
      <c r="U1075" s="23"/>
      <c r="V1075" s="311"/>
      <c r="W1075" s="311"/>
      <c r="X1075" s="311"/>
      <c r="Y1075" s="23"/>
      <c r="Z1075" s="23"/>
      <c r="AA1075" s="23"/>
      <c r="AB1075" s="23"/>
      <c r="AC1075" s="23"/>
      <c r="AD1075" s="158"/>
      <c r="AE1075" s="158"/>
      <c r="AF1075" s="158"/>
      <c r="AG1075" s="158"/>
      <c r="AH1075" s="158"/>
      <c r="AI1075" s="158"/>
      <c r="AJ1075" s="158"/>
      <c r="AK1075" s="158"/>
      <c r="AL1075" s="158"/>
      <c r="AM1075" s="158"/>
      <c r="AN1075" s="158"/>
      <c r="AO1075" s="23"/>
      <c r="AP1075" s="50"/>
      <c r="AQ1075" s="50"/>
      <c r="AR1075" s="50"/>
      <c r="AS1075" s="2">
        <v>1</v>
      </c>
      <c r="AT1075" s="58" t="s">
        <v>646</v>
      </c>
      <c r="AU1075" s="105"/>
      <c r="AV1075" s="23"/>
      <c r="AW1075" s="50"/>
      <c r="AX1075" s="23">
        <v>1</v>
      </c>
      <c r="AY1075" s="23"/>
      <c r="AZ1075" s="23"/>
      <c r="BA1075" s="23">
        <v>1</v>
      </c>
      <c r="BB1075" s="223"/>
      <c r="BC1075" s="223"/>
      <c r="BD1075" s="270">
        <v>2018</v>
      </c>
      <c r="BE1075" s="270"/>
      <c r="BF1075" s="268"/>
    </row>
    <row r="1076" spans="1:58" ht="18" hidden="1" customHeight="1">
      <c r="A1076" s="160" t="s">
        <v>1</v>
      </c>
      <c r="B1076" s="58" t="s">
        <v>320</v>
      </c>
      <c r="C1076" s="122" t="s">
        <v>898</v>
      </c>
      <c r="D1076" s="33" t="s">
        <v>387</v>
      </c>
      <c r="E1076" s="33"/>
      <c r="F1076" s="33"/>
      <c r="G1076" s="33"/>
      <c r="H1076" s="30" t="s">
        <v>647</v>
      </c>
      <c r="I1076" s="30">
        <v>2965</v>
      </c>
      <c r="J1076" s="212">
        <v>43088</v>
      </c>
      <c r="K1076" s="23"/>
      <c r="L1076" s="23">
        <v>1</v>
      </c>
      <c r="M1076" s="23"/>
      <c r="N1076" s="23"/>
      <c r="O1076" s="23"/>
      <c r="P1076" s="23">
        <v>60837116</v>
      </c>
      <c r="Q1076" s="23"/>
      <c r="R1076" s="23"/>
      <c r="S1076" s="23"/>
      <c r="T1076" s="586">
        <v>27376702</v>
      </c>
      <c r="U1076" s="23"/>
      <c r="V1076" s="311"/>
      <c r="W1076" s="311"/>
      <c r="X1076" s="311"/>
      <c r="Y1076" s="23">
        <v>33460414</v>
      </c>
      <c r="Z1076" s="23"/>
      <c r="AA1076" s="23"/>
      <c r="AB1076" s="23"/>
      <c r="AC1076" s="23"/>
      <c r="AD1076" s="158"/>
      <c r="AE1076" s="158">
        <f>P1076-T1076-Y1076</f>
        <v>0</v>
      </c>
      <c r="AF1076" s="158"/>
      <c r="AG1076" s="94">
        <v>0</v>
      </c>
      <c r="AH1076" s="94"/>
      <c r="AI1076" s="94"/>
      <c r="AJ1076" s="158">
        <f t="shared" ref="AJ1076:AJ1077" si="174">AE1076+AG1076</f>
        <v>0</v>
      </c>
      <c r="AK1076" s="158"/>
      <c r="AL1076" s="158"/>
      <c r="AM1076" s="158"/>
      <c r="AN1076" s="158"/>
      <c r="AO1076" s="23"/>
      <c r="AP1076" s="23"/>
      <c r="AQ1076" s="23"/>
      <c r="AR1076" s="23"/>
      <c r="AS1076" s="2">
        <v>1</v>
      </c>
      <c r="AT1076" s="58" t="s">
        <v>646</v>
      </c>
      <c r="AU1076" s="388" t="s">
        <v>1856</v>
      </c>
      <c r="AV1076" s="23"/>
      <c r="AW1076" s="50"/>
      <c r="AX1076" s="50"/>
      <c r="AY1076" s="23">
        <v>1</v>
      </c>
      <c r="AZ1076" s="23"/>
      <c r="BA1076" s="50"/>
      <c r="BB1076" s="223">
        <v>1</v>
      </c>
      <c r="BC1076" s="223"/>
      <c r="BD1076" s="270">
        <v>2019</v>
      </c>
      <c r="BE1076" s="270">
        <v>2019</v>
      </c>
      <c r="BF1076" s="271"/>
    </row>
    <row r="1077" spans="1:58" ht="18" hidden="1" customHeight="1">
      <c r="A1077" s="160" t="s">
        <v>1</v>
      </c>
      <c r="B1077" s="58" t="s">
        <v>320</v>
      </c>
      <c r="C1077" s="122" t="s">
        <v>1852</v>
      </c>
      <c r="D1077" s="33" t="s">
        <v>387</v>
      </c>
      <c r="E1077" s="33"/>
      <c r="F1077" s="33"/>
      <c r="G1077" s="33"/>
      <c r="H1077" s="30" t="s">
        <v>647</v>
      </c>
      <c r="I1077" s="30">
        <v>202</v>
      </c>
      <c r="J1077" s="212">
        <v>42402</v>
      </c>
      <c r="K1077" s="23"/>
      <c r="L1077" s="23">
        <v>1</v>
      </c>
      <c r="M1077" s="23"/>
      <c r="N1077" s="23"/>
      <c r="O1077" s="23"/>
      <c r="P1077" s="23">
        <v>60837116</v>
      </c>
      <c r="Q1077" s="23"/>
      <c r="R1077" s="23"/>
      <c r="S1077" s="23"/>
      <c r="T1077" s="586">
        <v>27376702</v>
      </c>
      <c r="U1077" s="23"/>
      <c r="V1077" s="311"/>
      <c r="W1077" s="311"/>
      <c r="X1077" s="311"/>
      <c r="Y1077" s="23">
        <v>33460414</v>
      </c>
      <c r="Z1077" s="23"/>
      <c r="AA1077" s="23"/>
      <c r="AB1077" s="23"/>
      <c r="AC1077" s="23"/>
      <c r="AD1077" s="158"/>
      <c r="AE1077" s="158">
        <f>P1077-T1077-Y1077</f>
        <v>0</v>
      </c>
      <c r="AF1077" s="158"/>
      <c r="AG1077" s="94">
        <v>0</v>
      </c>
      <c r="AH1077" s="94"/>
      <c r="AI1077" s="94"/>
      <c r="AJ1077" s="158">
        <f t="shared" si="174"/>
        <v>0</v>
      </c>
      <c r="AK1077" s="158"/>
      <c r="AL1077" s="158"/>
      <c r="AM1077" s="158"/>
      <c r="AN1077" s="158"/>
      <c r="AO1077" s="23"/>
      <c r="AP1077" s="23"/>
      <c r="AQ1077" s="23"/>
      <c r="AR1077" s="23"/>
      <c r="AS1077" s="2">
        <v>1</v>
      </c>
      <c r="AT1077" s="58" t="s">
        <v>646</v>
      </c>
      <c r="AU1077" s="388" t="s">
        <v>1853</v>
      </c>
      <c r="AV1077" s="23"/>
      <c r="AW1077" s="50"/>
      <c r="AX1077" s="50"/>
      <c r="AY1077" s="23">
        <v>1</v>
      </c>
      <c r="AZ1077" s="23"/>
      <c r="BA1077" s="50"/>
      <c r="BB1077" s="223">
        <v>1</v>
      </c>
      <c r="BC1077" s="223"/>
      <c r="BD1077" s="270">
        <v>2019</v>
      </c>
      <c r="BE1077" s="270">
        <v>2019</v>
      </c>
      <c r="BF1077" s="271"/>
    </row>
    <row r="1078" spans="1:58" ht="15" hidden="1" customHeight="1">
      <c r="A1078" s="230" t="s">
        <v>1</v>
      </c>
      <c r="B1078" s="58" t="s">
        <v>320</v>
      </c>
      <c r="C1078" s="28" t="s">
        <v>966</v>
      </c>
      <c r="D1078" s="33" t="s">
        <v>588</v>
      </c>
      <c r="E1078" s="33"/>
      <c r="F1078" s="33"/>
      <c r="G1078" s="33"/>
      <c r="H1078" s="30" t="s">
        <v>647</v>
      </c>
      <c r="I1078" s="30"/>
      <c r="J1078" s="212"/>
      <c r="K1078" s="23"/>
      <c r="L1078" s="23"/>
      <c r="M1078" s="23"/>
      <c r="N1078" s="23"/>
      <c r="O1078" s="23"/>
      <c r="P1078" s="23"/>
      <c r="Q1078" s="23"/>
      <c r="R1078" s="23"/>
      <c r="S1078" s="23"/>
      <c r="T1078" s="586"/>
      <c r="U1078" s="23"/>
      <c r="V1078" s="311"/>
      <c r="W1078" s="311"/>
      <c r="X1078" s="311"/>
      <c r="Y1078" s="23"/>
      <c r="Z1078" s="23"/>
      <c r="AA1078" s="57"/>
      <c r="AB1078" s="57"/>
      <c r="AC1078" s="57"/>
      <c r="AD1078" s="158"/>
      <c r="AE1078" s="158"/>
      <c r="AF1078" s="158"/>
      <c r="AG1078" s="158"/>
      <c r="AH1078" s="158"/>
      <c r="AI1078" s="158"/>
      <c r="AJ1078" s="158"/>
      <c r="AK1078" s="158"/>
      <c r="AL1078" s="158"/>
      <c r="AM1078" s="158"/>
      <c r="AN1078" s="158"/>
      <c r="AO1078" s="23"/>
      <c r="AP1078" s="50"/>
      <c r="AQ1078" s="50"/>
      <c r="AR1078" s="50"/>
      <c r="AS1078" s="2">
        <v>1</v>
      </c>
      <c r="AT1078" s="58" t="s">
        <v>646</v>
      </c>
      <c r="AU1078" s="154"/>
      <c r="AV1078" s="23"/>
      <c r="AW1078" s="50"/>
      <c r="AX1078" s="23">
        <v>1</v>
      </c>
      <c r="AY1078" s="23"/>
      <c r="AZ1078" s="23"/>
      <c r="BA1078" s="23">
        <v>1</v>
      </c>
      <c r="BB1078" s="223"/>
      <c r="BC1078" s="223"/>
      <c r="BD1078" s="270">
        <v>2018</v>
      </c>
      <c r="BE1078" s="270"/>
      <c r="BF1078" s="268"/>
    </row>
    <row r="1079" spans="1:58" s="204" customFormat="1" ht="18" customHeight="1">
      <c r="A1079" s="160" t="s">
        <v>1</v>
      </c>
      <c r="B1079" s="58" t="s">
        <v>320</v>
      </c>
      <c r="C1079" s="58" t="s">
        <v>900</v>
      </c>
      <c r="D1079" s="33" t="s">
        <v>387</v>
      </c>
      <c r="E1079" s="33"/>
      <c r="F1079" s="33"/>
      <c r="G1079" s="33"/>
      <c r="H1079" s="30" t="s">
        <v>663</v>
      </c>
      <c r="I1079" s="228" t="s">
        <v>1525</v>
      </c>
      <c r="J1079" s="215" t="s">
        <v>1526</v>
      </c>
      <c r="K1079" s="23"/>
      <c r="L1079" s="23"/>
      <c r="M1079" s="23">
        <v>1</v>
      </c>
      <c r="N1079" s="23">
        <v>1</v>
      </c>
      <c r="O1079" s="23"/>
      <c r="P1079" s="23">
        <f>51670509+10615051</f>
        <v>62285560</v>
      </c>
      <c r="Q1079" s="456"/>
      <c r="R1079" s="23"/>
      <c r="S1079" s="23"/>
      <c r="T1079" s="586">
        <v>28028502</v>
      </c>
      <c r="U1079" s="23">
        <v>10</v>
      </c>
      <c r="V1079" s="311"/>
      <c r="W1079" s="311"/>
      <c r="X1079" s="311"/>
      <c r="Y1079" s="23"/>
      <c r="Z1079" s="94"/>
      <c r="AA1079" s="94"/>
      <c r="AB1079" s="94"/>
      <c r="AC1079" s="94"/>
      <c r="AD1079" s="158"/>
      <c r="AE1079" s="158">
        <f>P1079-T1079-Y1079</f>
        <v>34257058</v>
      </c>
      <c r="AF1079" s="158"/>
      <c r="AG1079" s="94">
        <v>0</v>
      </c>
      <c r="AH1079" s="94"/>
      <c r="AI1079" s="94"/>
      <c r="AJ1079" s="158">
        <f t="shared" ref="AJ1079:AJ1100" si="175">AE1079+AG1079</f>
        <v>34257058</v>
      </c>
      <c r="AK1079" s="158" t="s">
        <v>1815</v>
      </c>
      <c r="AL1079" s="158" t="s">
        <v>1657</v>
      </c>
      <c r="AM1079" s="158"/>
      <c r="AN1079" s="158">
        <v>1</v>
      </c>
      <c r="AO1079" s="50"/>
      <c r="AP1079" s="23"/>
      <c r="AQ1079" s="23"/>
      <c r="AR1079" s="23"/>
      <c r="AS1079" s="2">
        <v>0</v>
      </c>
      <c r="AT1079" s="58" t="s">
        <v>38</v>
      </c>
      <c r="AU1079" s="386" t="s">
        <v>2198</v>
      </c>
      <c r="AV1079" s="23"/>
      <c r="AW1079" s="50"/>
      <c r="AX1079" s="50"/>
      <c r="AY1079" s="50"/>
      <c r="AZ1079" s="50"/>
      <c r="BA1079" s="50"/>
      <c r="BB1079" s="293"/>
      <c r="BC1079" s="293"/>
      <c r="BD1079" s="271"/>
      <c r="BE1079" s="271">
        <v>2019</v>
      </c>
      <c r="BF1079" s="271">
        <v>2020</v>
      </c>
    </row>
    <row r="1080" spans="1:58" s="204" customFormat="1" ht="18" customHeight="1">
      <c r="A1080" s="160" t="s">
        <v>1</v>
      </c>
      <c r="B1080" s="58" t="s">
        <v>320</v>
      </c>
      <c r="C1080" s="122" t="s">
        <v>904</v>
      </c>
      <c r="D1080" s="33" t="s">
        <v>387</v>
      </c>
      <c r="E1080" s="33"/>
      <c r="F1080" s="33"/>
      <c r="G1080" s="33"/>
      <c r="H1080" s="30" t="s">
        <v>715</v>
      </c>
      <c r="I1080" s="228" t="s">
        <v>1524</v>
      </c>
      <c r="J1080" s="215" t="s">
        <v>1523</v>
      </c>
      <c r="K1080" s="23"/>
      <c r="L1080" s="23"/>
      <c r="M1080" s="23">
        <v>1</v>
      </c>
      <c r="N1080" s="23">
        <v>1</v>
      </c>
      <c r="O1080" s="23"/>
      <c r="P1080" s="23">
        <v>36932136</v>
      </c>
      <c r="Q1080" s="23"/>
      <c r="R1080" s="23"/>
      <c r="S1080" s="23"/>
      <c r="T1080" s="586"/>
      <c r="U1080" s="23"/>
      <c r="V1080" s="311"/>
      <c r="W1080" s="311"/>
      <c r="X1080" s="311"/>
      <c r="Y1080" s="23"/>
      <c r="Z1080" s="223"/>
      <c r="AA1080" s="223"/>
      <c r="AB1080" s="223"/>
      <c r="AC1080" s="223"/>
      <c r="AD1080" s="158"/>
      <c r="AE1080" s="158">
        <f>P1080-T1080-Y1080</f>
        <v>36932136</v>
      </c>
      <c r="AF1080" s="158"/>
      <c r="AG1080" s="94">
        <v>0</v>
      </c>
      <c r="AH1080" s="94"/>
      <c r="AI1080" s="94"/>
      <c r="AJ1080" s="158">
        <f t="shared" si="175"/>
        <v>36932136</v>
      </c>
      <c r="AK1080" s="158">
        <v>877</v>
      </c>
      <c r="AL1080" s="158">
        <v>20</v>
      </c>
      <c r="AM1080" s="158">
        <v>1</v>
      </c>
      <c r="AN1080" s="158"/>
      <c r="AO1080" s="50"/>
      <c r="AP1080" s="50"/>
      <c r="AQ1080" s="50"/>
      <c r="AR1080" s="50"/>
      <c r="AS1080" s="2">
        <v>0</v>
      </c>
      <c r="AT1080" s="58" t="s">
        <v>521</v>
      </c>
      <c r="AU1080" s="386"/>
      <c r="AV1080" s="23"/>
      <c r="AW1080" s="50"/>
      <c r="AX1080" s="50"/>
      <c r="AY1080" s="50"/>
      <c r="AZ1080" s="50"/>
      <c r="BA1080" s="50"/>
      <c r="BB1080" s="293"/>
      <c r="BC1080" s="293"/>
      <c r="BD1080" s="271"/>
      <c r="BE1080" s="271">
        <v>2019</v>
      </c>
      <c r="BF1080" s="271">
        <v>2020</v>
      </c>
    </row>
    <row r="1081" spans="1:58" s="204" customFormat="1" ht="18" hidden="1" customHeight="1">
      <c r="A1081" s="243" t="s">
        <v>1</v>
      </c>
      <c r="B1081" s="58" t="s">
        <v>320</v>
      </c>
      <c r="C1081" s="267" t="s">
        <v>1918</v>
      </c>
      <c r="D1081" s="33" t="s">
        <v>387</v>
      </c>
      <c r="E1081" s="33"/>
      <c r="F1081" s="33"/>
      <c r="G1081" s="33"/>
      <c r="H1081" s="30" t="s">
        <v>715</v>
      </c>
      <c r="I1081" s="228" t="s">
        <v>1524</v>
      </c>
      <c r="J1081" s="215" t="s">
        <v>1523</v>
      </c>
      <c r="K1081" s="23"/>
      <c r="L1081" s="23"/>
      <c r="M1081" s="23"/>
      <c r="N1081" s="23"/>
      <c r="O1081" s="23"/>
      <c r="P1081" s="23">
        <v>58181752</v>
      </c>
      <c r="Q1081" s="23"/>
      <c r="R1081" s="23"/>
      <c r="S1081" s="23"/>
      <c r="T1081" s="586">
        <v>26181788</v>
      </c>
      <c r="U1081" s="23">
        <v>10</v>
      </c>
      <c r="V1081" s="311"/>
      <c r="W1081" s="311"/>
      <c r="X1081" s="311"/>
      <c r="Y1081" s="23">
        <v>31999964</v>
      </c>
      <c r="Z1081" s="23">
        <v>20</v>
      </c>
      <c r="AA1081" s="311">
        <v>43739</v>
      </c>
      <c r="AB1081" s="584"/>
      <c r="AC1081" s="80"/>
      <c r="AD1081" s="158"/>
      <c r="AE1081" s="158">
        <f>P1081-T1081-Y1081</f>
        <v>0</v>
      </c>
      <c r="AF1081" s="158"/>
      <c r="AG1081" s="94">
        <v>0</v>
      </c>
      <c r="AH1081" s="94"/>
      <c r="AI1081" s="94"/>
      <c r="AJ1081" s="158">
        <f t="shared" si="175"/>
        <v>0</v>
      </c>
      <c r="AK1081" s="158">
        <v>877</v>
      </c>
      <c r="AL1081" s="158">
        <v>20</v>
      </c>
      <c r="AM1081" s="158"/>
      <c r="AN1081" s="158"/>
      <c r="AO1081" s="23"/>
      <c r="AP1081" s="50"/>
      <c r="AQ1081" s="50"/>
      <c r="AR1081" s="50"/>
      <c r="AS1081" s="2">
        <v>1</v>
      </c>
      <c r="AT1081" s="58" t="s">
        <v>646</v>
      </c>
      <c r="AU1081" s="386" t="s">
        <v>1811</v>
      </c>
      <c r="AV1081" s="23"/>
      <c r="AW1081" s="50"/>
      <c r="AX1081" s="23">
        <v>1</v>
      </c>
      <c r="AY1081" s="23"/>
      <c r="AZ1081" s="23"/>
      <c r="BA1081" s="23">
        <v>1</v>
      </c>
      <c r="BB1081" s="223"/>
      <c r="BC1081" s="223"/>
      <c r="BD1081" s="271" t="s">
        <v>1919</v>
      </c>
      <c r="BE1081" s="271" t="s">
        <v>1919</v>
      </c>
      <c r="BF1081" s="271"/>
    </row>
    <row r="1082" spans="1:58" s="204" customFormat="1" ht="18" customHeight="1">
      <c r="A1082" s="160" t="s">
        <v>1</v>
      </c>
      <c r="B1082" s="58" t="s">
        <v>320</v>
      </c>
      <c r="C1082" s="122" t="s">
        <v>905</v>
      </c>
      <c r="D1082" s="33" t="s">
        <v>387</v>
      </c>
      <c r="E1082" s="33"/>
      <c r="F1082" s="33"/>
      <c r="G1082" s="33"/>
      <c r="H1082" s="30" t="s">
        <v>715</v>
      </c>
      <c r="I1082" s="228" t="s">
        <v>1524</v>
      </c>
      <c r="J1082" s="215" t="s">
        <v>1523</v>
      </c>
      <c r="K1082" s="23"/>
      <c r="L1082" s="23"/>
      <c r="M1082" s="23">
        <v>1</v>
      </c>
      <c r="N1082" s="23">
        <v>1</v>
      </c>
      <c r="O1082" s="23"/>
      <c r="P1082" s="23">
        <f>33460414+27376702</f>
        <v>60837116</v>
      </c>
      <c r="Q1082" s="23"/>
      <c r="R1082" s="23"/>
      <c r="S1082" s="23"/>
      <c r="T1082" s="586">
        <v>27376702</v>
      </c>
      <c r="U1082" s="223">
        <v>10</v>
      </c>
      <c r="V1082" s="311">
        <v>43647</v>
      </c>
      <c r="W1082" s="311"/>
      <c r="X1082" s="311"/>
      <c r="Y1082" s="23">
        <v>33460414</v>
      </c>
      <c r="Z1082" s="223">
        <v>20</v>
      </c>
      <c r="AA1082" s="311">
        <v>43770</v>
      </c>
      <c r="AB1082" s="577"/>
      <c r="AC1082" s="223"/>
      <c r="AD1082" s="158"/>
      <c r="AE1082" s="158">
        <f t="shared" ref="AE1082:AE1100" si="176">P1082-T1082-Y1082</f>
        <v>0</v>
      </c>
      <c r="AF1082" s="158"/>
      <c r="AG1082" s="94">
        <v>0</v>
      </c>
      <c r="AH1082" s="94"/>
      <c r="AI1082" s="94"/>
      <c r="AJ1082" s="158">
        <f t="shared" si="175"/>
        <v>0</v>
      </c>
      <c r="AK1082" s="158">
        <v>877</v>
      </c>
      <c r="AL1082" s="158">
        <v>20</v>
      </c>
      <c r="AM1082" s="158"/>
      <c r="AN1082" s="158">
        <v>1</v>
      </c>
      <c r="AO1082" s="50"/>
      <c r="AP1082" s="50"/>
      <c r="AQ1082" s="50"/>
      <c r="AR1082" s="50"/>
      <c r="AS1082" s="2">
        <v>0</v>
      </c>
      <c r="AT1082" s="58" t="s">
        <v>38</v>
      </c>
      <c r="AU1082" s="386"/>
      <c r="AV1082" s="23"/>
      <c r="AW1082" s="50"/>
      <c r="AX1082" s="50"/>
      <c r="AY1082" s="50"/>
      <c r="AZ1082" s="50"/>
      <c r="BA1082" s="50"/>
      <c r="BB1082" s="293"/>
      <c r="BC1082" s="293"/>
      <c r="BD1082" s="271"/>
      <c r="BE1082" s="271">
        <v>2019</v>
      </c>
      <c r="BF1082" s="271">
        <v>2020</v>
      </c>
    </row>
    <row r="1083" spans="1:58" ht="18" hidden="1" customHeight="1">
      <c r="A1083" s="160" t="s">
        <v>1</v>
      </c>
      <c r="B1083" s="58" t="s">
        <v>320</v>
      </c>
      <c r="C1083" s="122" t="s">
        <v>906</v>
      </c>
      <c r="D1083" s="33" t="s">
        <v>438</v>
      </c>
      <c r="E1083" s="33"/>
      <c r="F1083" s="33"/>
      <c r="G1083" s="33"/>
      <c r="H1083" s="30" t="s">
        <v>715</v>
      </c>
      <c r="I1083" s="228" t="s">
        <v>1528</v>
      </c>
      <c r="J1083" s="215" t="s">
        <v>1527</v>
      </c>
      <c r="K1083" s="23"/>
      <c r="L1083" s="23">
        <v>1</v>
      </c>
      <c r="M1083" s="23"/>
      <c r="N1083" s="23"/>
      <c r="O1083" s="23"/>
      <c r="P1083" s="23">
        <v>77562674</v>
      </c>
      <c r="Q1083" s="23"/>
      <c r="R1083" s="23"/>
      <c r="S1083" s="23"/>
      <c r="T1083" s="586">
        <v>77562674</v>
      </c>
      <c r="U1083" s="23">
        <v>10</v>
      </c>
      <c r="V1083" s="311">
        <v>43586</v>
      </c>
      <c r="W1083" s="311"/>
      <c r="X1083" s="311"/>
      <c r="Y1083" s="23"/>
      <c r="Z1083" s="23"/>
      <c r="AA1083" s="23"/>
      <c r="AB1083" s="23"/>
      <c r="AC1083" s="23"/>
      <c r="AD1083" s="158"/>
      <c r="AE1083" s="158">
        <f t="shared" si="176"/>
        <v>0</v>
      </c>
      <c r="AF1083" s="158"/>
      <c r="AG1083" s="94">
        <v>0</v>
      </c>
      <c r="AH1083" s="94"/>
      <c r="AI1083" s="94"/>
      <c r="AJ1083" s="158">
        <f t="shared" si="175"/>
        <v>0</v>
      </c>
      <c r="AK1083" s="158">
        <v>877</v>
      </c>
      <c r="AL1083" s="158">
        <v>10</v>
      </c>
      <c r="AM1083" s="158"/>
      <c r="AN1083" s="158"/>
      <c r="AO1083" s="23"/>
      <c r="AP1083" s="50"/>
      <c r="AQ1083" s="50"/>
      <c r="AR1083" s="50"/>
      <c r="AS1083" s="2">
        <v>1</v>
      </c>
      <c r="AT1083" s="58" t="s">
        <v>646</v>
      </c>
      <c r="AU1083" s="386" t="s">
        <v>1390</v>
      </c>
      <c r="AV1083" s="23"/>
      <c r="AW1083" s="50"/>
      <c r="AX1083" s="50"/>
      <c r="AY1083" s="23">
        <v>1</v>
      </c>
      <c r="AZ1083" s="23"/>
      <c r="BA1083" s="50"/>
      <c r="BB1083" s="223">
        <v>1</v>
      </c>
      <c r="BC1083" s="223"/>
      <c r="BD1083" s="270">
        <v>2019</v>
      </c>
      <c r="BE1083" s="270">
        <v>2019</v>
      </c>
      <c r="BF1083" s="271"/>
    </row>
    <row r="1084" spans="1:58" s="204" customFormat="1" ht="18" customHeight="1">
      <c r="A1084" s="160" t="s">
        <v>1</v>
      </c>
      <c r="B1084" s="58" t="s">
        <v>320</v>
      </c>
      <c r="C1084" s="122" t="s">
        <v>907</v>
      </c>
      <c r="D1084" s="33" t="s">
        <v>438</v>
      </c>
      <c r="E1084" s="33"/>
      <c r="F1084" s="33"/>
      <c r="G1084" s="33"/>
      <c r="H1084" s="30" t="s">
        <v>715</v>
      </c>
      <c r="I1084" s="228" t="s">
        <v>1528</v>
      </c>
      <c r="J1084" s="215" t="s">
        <v>1527</v>
      </c>
      <c r="K1084" s="23"/>
      <c r="L1084" s="23"/>
      <c r="M1084" s="23">
        <v>1</v>
      </c>
      <c r="N1084" s="23">
        <v>1</v>
      </c>
      <c r="O1084" s="23"/>
      <c r="P1084" s="23">
        <v>77562674</v>
      </c>
      <c r="Q1084" s="23"/>
      <c r="R1084" s="23"/>
      <c r="S1084" s="23"/>
      <c r="T1084" s="586"/>
      <c r="U1084" s="23"/>
      <c r="V1084" s="311"/>
      <c r="W1084" s="311"/>
      <c r="X1084" s="311"/>
      <c r="Y1084" s="23"/>
      <c r="Z1084" s="223"/>
      <c r="AA1084" s="223"/>
      <c r="AB1084" s="223"/>
      <c r="AC1084" s="223"/>
      <c r="AD1084" s="158"/>
      <c r="AE1084" s="158">
        <f t="shared" si="176"/>
        <v>77562674</v>
      </c>
      <c r="AF1084" s="158"/>
      <c r="AG1084" s="94">
        <v>0</v>
      </c>
      <c r="AH1084" s="94"/>
      <c r="AI1084" s="94"/>
      <c r="AJ1084" s="158">
        <f t="shared" si="175"/>
        <v>77562674</v>
      </c>
      <c r="AK1084" s="158">
        <v>877</v>
      </c>
      <c r="AL1084" s="158">
        <v>20</v>
      </c>
      <c r="AM1084" s="158">
        <v>1</v>
      </c>
      <c r="AN1084" s="158"/>
      <c r="AO1084" s="50"/>
      <c r="AP1084" s="50"/>
      <c r="AQ1084" s="50"/>
      <c r="AR1084" s="50"/>
      <c r="AS1084" s="2">
        <v>0</v>
      </c>
      <c r="AT1084" s="58" t="s">
        <v>521</v>
      </c>
      <c r="AU1084" s="386"/>
      <c r="AV1084" s="23"/>
      <c r="AW1084" s="50"/>
      <c r="AX1084" s="50"/>
      <c r="AY1084" s="50"/>
      <c r="AZ1084" s="50"/>
      <c r="BA1084" s="50"/>
      <c r="BB1084" s="293"/>
      <c r="BC1084" s="293"/>
      <c r="BD1084" s="271"/>
      <c r="BE1084" s="271">
        <v>2019</v>
      </c>
      <c r="BF1084" s="271">
        <v>2020</v>
      </c>
    </row>
    <row r="1085" spans="1:58" s="204" customFormat="1" ht="18" customHeight="1">
      <c r="A1085" s="160" t="s">
        <v>1</v>
      </c>
      <c r="B1085" s="58" t="s">
        <v>320</v>
      </c>
      <c r="C1085" s="122" t="s">
        <v>908</v>
      </c>
      <c r="D1085" s="33" t="s">
        <v>387</v>
      </c>
      <c r="E1085" s="33"/>
      <c r="F1085" s="33"/>
      <c r="G1085" s="33"/>
      <c r="H1085" s="30" t="s">
        <v>715</v>
      </c>
      <c r="I1085" s="228" t="s">
        <v>1697</v>
      </c>
      <c r="J1085" s="215" t="s">
        <v>1529</v>
      </c>
      <c r="K1085" s="23"/>
      <c r="L1085" s="23"/>
      <c r="M1085" s="23">
        <v>1</v>
      </c>
      <c r="N1085" s="23">
        <v>1</v>
      </c>
      <c r="O1085" s="23"/>
      <c r="P1085" s="23">
        <v>56106320</v>
      </c>
      <c r="Q1085" s="23"/>
      <c r="R1085" s="23"/>
      <c r="S1085" s="23"/>
      <c r="T1085" s="586"/>
      <c r="U1085" s="23"/>
      <c r="V1085" s="311"/>
      <c r="W1085" s="311"/>
      <c r="X1085" s="311"/>
      <c r="Y1085" s="23"/>
      <c r="Z1085" s="223"/>
      <c r="AA1085" s="223"/>
      <c r="AB1085" s="223"/>
      <c r="AC1085" s="223"/>
      <c r="AD1085" s="158"/>
      <c r="AE1085" s="158">
        <f t="shared" si="176"/>
        <v>56106320</v>
      </c>
      <c r="AF1085" s="158"/>
      <c r="AG1085" s="94">
        <v>0</v>
      </c>
      <c r="AH1085" s="94"/>
      <c r="AI1085" s="94"/>
      <c r="AJ1085" s="158">
        <f t="shared" si="175"/>
        <v>56106320</v>
      </c>
      <c r="AK1085" s="158">
        <v>877</v>
      </c>
      <c r="AL1085" s="158">
        <v>10</v>
      </c>
      <c r="AM1085" s="158">
        <v>1</v>
      </c>
      <c r="AN1085" s="158"/>
      <c r="AO1085" s="50"/>
      <c r="AP1085" s="50"/>
      <c r="AQ1085" s="50"/>
      <c r="AR1085" s="50"/>
      <c r="AS1085" s="2">
        <v>0</v>
      </c>
      <c r="AT1085" s="58" t="s">
        <v>521</v>
      </c>
      <c r="AU1085" s="386"/>
      <c r="AV1085" s="23"/>
      <c r="AW1085" s="50"/>
      <c r="AX1085" s="50"/>
      <c r="AY1085" s="50"/>
      <c r="AZ1085" s="50"/>
      <c r="BA1085" s="50"/>
      <c r="BB1085" s="293"/>
      <c r="BC1085" s="293"/>
      <c r="BD1085" s="271"/>
      <c r="BE1085" s="271">
        <v>2019</v>
      </c>
      <c r="BF1085" s="271">
        <v>2020</v>
      </c>
    </row>
    <row r="1086" spans="1:58" ht="18" hidden="1" customHeight="1">
      <c r="A1086" s="248" t="s">
        <v>1</v>
      </c>
      <c r="B1086" s="58" t="s">
        <v>320</v>
      </c>
      <c r="C1086" s="258" t="s">
        <v>901</v>
      </c>
      <c r="D1086" s="33" t="s">
        <v>387</v>
      </c>
      <c r="E1086" s="33"/>
      <c r="F1086" s="33"/>
      <c r="G1086" s="33"/>
      <c r="H1086" s="30" t="s">
        <v>715</v>
      </c>
      <c r="I1086" s="228" t="s">
        <v>1697</v>
      </c>
      <c r="J1086" s="215" t="s">
        <v>1529</v>
      </c>
      <c r="K1086" s="23"/>
      <c r="L1086" s="23">
        <v>1</v>
      </c>
      <c r="M1086" s="23"/>
      <c r="N1086" s="23"/>
      <c r="O1086" s="23"/>
      <c r="P1086" s="23">
        <v>61214038</v>
      </c>
      <c r="Q1086" s="23"/>
      <c r="R1086" s="23"/>
      <c r="S1086" s="23"/>
      <c r="T1086" s="586">
        <v>27546317</v>
      </c>
      <c r="U1086" s="23"/>
      <c r="V1086" s="311"/>
      <c r="W1086" s="311"/>
      <c r="X1086" s="311"/>
      <c r="Y1086" s="23">
        <v>33667721</v>
      </c>
      <c r="Z1086" s="23"/>
      <c r="AA1086" s="265"/>
      <c r="AB1086" s="265"/>
      <c r="AC1086" s="265"/>
      <c r="AD1086" s="158"/>
      <c r="AE1086" s="158">
        <f t="shared" si="176"/>
        <v>0</v>
      </c>
      <c r="AF1086" s="158"/>
      <c r="AG1086" s="94">
        <v>0</v>
      </c>
      <c r="AH1086" s="94"/>
      <c r="AI1086" s="94"/>
      <c r="AJ1086" s="158">
        <f t="shared" si="175"/>
        <v>0</v>
      </c>
      <c r="AK1086" s="158"/>
      <c r="AL1086" s="158"/>
      <c r="AM1086" s="158"/>
      <c r="AN1086" s="158"/>
      <c r="AO1086" s="23"/>
      <c r="AP1086" s="23"/>
      <c r="AQ1086" s="23"/>
      <c r="AR1086" s="23"/>
      <c r="AS1086" s="2">
        <v>1</v>
      </c>
      <c r="AT1086" s="58" t="s">
        <v>646</v>
      </c>
      <c r="AU1086" s="388" t="s">
        <v>1861</v>
      </c>
      <c r="AV1086" s="23"/>
      <c r="AW1086" s="50"/>
      <c r="AX1086" s="50"/>
      <c r="AY1086" s="23">
        <v>1</v>
      </c>
      <c r="AZ1086" s="23"/>
      <c r="BA1086" s="50"/>
      <c r="BB1086" s="223">
        <v>1</v>
      </c>
      <c r="BC1086" s="223"/>
      <c r="BD1086" s="270">
        <v>2019</v>
      </c>
      <c r="BE1086" s="270">
        <v>2019</v>
      </c>
      <c r="BF1086" s="271"/>
    </row>
    <row r="1087" spans="1:58" ht="18" hidden="1" customHeight="1">
      <c r="A1087" s="230" t="s">
        <v>1</v>
      </c>
      <c r="B1087" s="58" t="s">
        <v>320</v>
      </c>
      <c r="C1087" s="236" t="s">
        <v>910</v>
      </c>
      <c r="D1087" s="33" t="s">
        <v>438</v>
      </c>
      <c r="E1087" s="33"/>
      <c r="F1087" s="33"/>
      <c r="G1087" s="33"/>
      <c r="H1087" s="30" t="s">
        <v>731</v>
      </c>
      <c r="I1087" s="78">
        <v>3128</v>
      </c>
      <c r="J1087" s="212">
        <v>43098</v>
      </c>
      <c r="K1087" s="23"/>
      <c r="L1087" s="23">
        <v>1</v>
      </c>
      <c r="M1087" s="23"/>
      <c r="N1087" s="23"/>
      <c r="O1087" s="23"/>
      <c r="P1087" s="23">
        <v>76950000</v>
      </c>
      <c r="Q1087" s="23"/>
      <c r="R1087" s="23"/>
      <c r="S1087" s="23"/>
      <c r="T1087" s="586">
        <v>76950000</v>
      </c>
      <c r="U1087" s="23">
        <v>10</v>
      </c>
      <c r="V1087" s="311">
        <v>43586</v>
      </c>
      <c r="W1087" s="311"/>
      <c r="X1087" s="311"/>
      <c r="Y1087" s="23"/>
      <c r="Z1087" s="23"/>
      <c r="AA1087" s="57"/>
      <c r="AB1087" s="57"/>
      <c r="AC1087" s="57"/>
      <c r="AD1087" s="158"/>
      <c r="AE1087" s="158">
        <f t="shared" si="176"/>
        <v>0</v>
      </c>
      <c r="AF1087" s="158"/>
      <c r="AG1087" s="94">
        <v>0</v>
      </c>
      <c r="AH1087" s="94"/>
      <c r="AI1087" s="94"/>
      <c r="AJ1087" s="158">
        <f t="shared" si="175"/>
        <v>0</v>
      </c>
      <c r="AK1087" s="158">
        <v>877</v>
      </c>
      <c r="AL1087" s="158">
        <v>10</v>
      </c>
      <c r="AM1087" s="158"/>
      <c r="AN1087" s="158"/>
      <c r="AO1087" s="23"/>
      <c r="AP1087" s="50"/>
      <c r="AQ1087" s="50"/>
      <c r="AR1087" s="50"/>
      <c r="AS1087" s="2">
        <v>1</v>
      </c>
      <c r="AT1087" s="58" t="s">
        <v>646</v>
      </c>
      <c r="AU1087" s="386" t="s">
        <v>1391</v>
      </c>
      <c r="AV1087" s="23"/>
      <c r="AW1087" s="50"/>
      <c r="AX1087" s="50"/>
      <c r="AY1087" s="23">
        <v>1</v>
      </c>
      <c r="AZ1087" s="23"/>
      <c r="BA1087" s="50"/>
      <c r="BB1087" s="223">
        <v>1</v>
      </c>
      <c r="BC1087" s="223"/>
      <c r="BD1087" s="270">
        <v>2019</v>
      </c>
      <c r="BE1087" s="270">
        <v>2019</v>
      </c>
      <c r="BF1087" s="271"/>
    </row>
    <row r="1088" spans="1:58" ht="18" hidden="1" customHeight="1">
      <c r="A1088" s="160" t="s">
        <v>1</v>
      </c>
      <c r="B1088" s="58" t="s">
        <v>320</v>
      </c>
      <c r="C1088" s="122" t="s">
        <v>909</v>
      </c>
      <c r="D1088" s="33" t="s">
        <v>438</v>
      </c>
      <c r="E1088" s="33"/>
      <c r="F1088" s="33"/>
      <c r="G1088" s="33"/>
      <c r="H1088" s="30" t="s">
        <v>731</v>
      </c>
      <c r="I1088" s="78">
        <v>3127</v>
      </c>
      <c r="J1088" s="212">
        <v>43098</v>
      </c>
      <c r="K1088" s="23"/>
      <c r="L1088" s="23">
        <v>1</v>
      </c>
      <c r="M1088" s="23"/>
      <c r="N1088" s="23"/>
      <c r="O1088" s="23"/>
      <c r="P1088" s="23">
        <f>77562674+2714682</f>
        <v>80277356</v>
      </c>
      <c r="Q1088" s="23"/>
      <c r="R1088" s="23"/>
      <c r="S1088" s="23"/>
      <c r="T1088" s="586">
        <f>80277356-80277356+2714682+77562674</f>
        <v>80277356</v>
      </c>
      <c r="U1088" s="81" t="s">
        <v>1657</v>
      </c>
      <c r="V1088" s="311" t="s">
        <v>1725</v>
      </c>
      <c r="W1088" s="311"/>
      <c r="X1088" s="311"/>
      <c r="Y1088" s="23"/>
      <c r="Z1088" s="223"/>
      <c r="AA1088" s="223"/>
      <c r="AB1088" s="223"/>
      <c r="AC1088" s="223"/>
      <c r="AD1088" s="158"/>
      <c r="AE1088" s="158">
        <f>P1088-T1088-Y1088</f>
        <v>0</v>
      </c>
      <c r="AF1088" s="158"/>
      <c r="AG1088" s="158">
        <f>P1088-T1088-Y1088</f>
        <v>0</v>
      </c>
      <c r="AH1088" s="158"/>
      <c r="AI1088" s="158"/>
      <c r="AJ1088" s="158">
        <f t="shared" si="175"/>
        <v>0</v>
      </c>
      <c r="AK1088" s="158">
        <v>877</v>
      </c>
      <c r="AL1088" s="158">
        <v>20</v>
      </c>
      <c r="AM1088" s="158"/>
      <c r="AN1088" s="158"/>
      <c r="AO1088" s="23"/>
      <c r="AP1088" s="23"/>
      <c r="AQ1088" s="23"/>
      <c r="AR1088" s="23"/>
      <c r="AS1088" s="2">
        <v>1</v>
      </c>
      <c r="AT1088" s="58" t="s">
        <v>646</v>
      </c>
      <c r="AU1088" s="386" t="s">
        <v>1800</v>
      </c>
      <c r="AV1088" s="23"/>
      <c r="AW1088" s="50"/>
      <c r="AX1088" s="50"/>
      <c r="AY1088" s="23">
        <v>1</v>
      </c>
      <c r="AZ1088" s="23"/>
      <c r="BA1088" s="50"/>
      <c r="BB1088" s="23">
        <v>1</v>
      </c>
      <c r="BC1088" s="23"/>
      <c r="BD1088" s="270">
        <v>2019</v>
      </c>
      <c r="BE1088" s="270">
        <v>2019</v>
      </c>
      <c r="BF1088" s="271"/>
    </row>
    <row r="1089" spans="1:58" s="204" customFormat="1" ht="18" customHeight="1">
      <c r="A1089" s="248" t="s">
        <v>1</v>
      </c>
      <c r="B1089" s="58" t="s">
        <v>320</v>
      </c>
      <c r="C1089" s="264" t="s">
        <v>953</v>
      </c>
      <c r="D1089" s="33" t="s">
        <v>387</v>
      </c>
      <c r="E1089" s="33"/>
      <c r="F1089" s="33"/>
      <c r="G1089" s="33"/>
      <c r="H1089" s="30" t="s">
        <v>968</v>
      </c>
      <c r="I1089" s="30">
        <v>125</v>
      </c>
      <c r="J1089" s="212">
        <v>43376</v>
      </c>
      <c r="K1089" s="158"/>
      <c r="L1089" s="158"/>
      <c r="M1089" s="158">
        <v>1</v>
      </c>
      <c r="N1089" s="158">
        <v>1</v>
      </c>
      <c r="O1089" s="23"/>
      <c r="P1089" s="158">
        <v>62534985</v>
      </c>
      <c r="Q1089" s="158"/>
      <c r="R1089" s="158"/>
      <c r="S1089" s="158"/>
      <c r="T1089" s="586"/>
      <c r="U1089" s="158"/>
      <c r="V1089" s="311"/>
      <c r="W1089" s="311"/>
      <c r="X1089" s="311"/>
      <c r="Y1089" s="23"/>
      <c r="Z1089" s="158"/>
      <c r="AA1089" s="92"/>
      <c r="AB1089" s="92"/>
      <c r="AC1089" s="92"/>
      <c r="AD1089" s="158"/>
      <c r="AE1089" s="158">
        <f t="shared" si="176"/>
        <v>62534985</v>
      </c>
      <c r="AF1089" s="158"/>
      <c r="AG1089" s="94">
        <v>0</v>
      </c>
      <c r="AH1089" s="94"/>
      <c r="AI1089" s="94"/>
      <c r="AJ1089" s="158">
        <f t="shared" si="175"/>
        <v>62534985</v>
      </c>
      <c r="AK1089" s="158"/>
      <c r="AL1089" s="158"/>
      <c r="AM1089" s="158">
        <v>1</v>
      </c>
      <c r="AN1089" s="158"/>
      <c r="AO1089" s="50"/>
      <c r="AP1089" s="23"/>
      <c r="AQ1089" s="23"/>
      <c r="AR1089" s="23"/>
      <c r="AS1089" s="2">
        <v>0</v>
      </c>
      <c r="AT1089" s="58" t="s">
        <v>521</v>
      </c>
      <c r="AU1089" s="386" t="s">
        <v>1876</v>
      </c>
      <c r="AV1089" s="23"/>
      <c r="AW1089" s="50"/>
      <c r="AX1089" s="50"/>
      <c r="AY1089" s="50"/>
      <c r="AZ1089" s="50"/>
      <c r="BA1089" s="50"/>
      <c r="BB1089" s="293"/>
      <c r="BC1089" s="293"/>
      <c r="BD1089" s="271"/>
      <c r="BE1089" s="271">
        <v>2019</v>
      </c>
      <c r="BF1089" s="271">
        <v>2020</v>
      </c>
    </row>
    <row r="1090" spans="1:58" s="204" customFormat="1" ht="18" customHeight="1">
      <c r="A1090" s="230" t="s">
        <v>1</v>
      </c>
      <c r="B1090" s="58" t="s">
        <v>320</v>
      </c>
      <c r="C1090" s="66" t="s">
        <v>1392</v>
      </c>
      <c r="D1090" s="33" t="s">
        <v>387</v>
      </c>
      <c r="E1090" s="33"/>
      <c r="F1090" s="33"/>
      <c r="G1090" s="33"/>
      <c r="H1090" s="30" t="s">
        <v>968</v>
      </c>
      <c r="I1090" s="228" t="s">
        <v>1477</v>
      </c>
      <c r="J1090" s="215" t="s">
        <v>1476</v>
      </c>
      <c r="K1090" s="158"/>
      <c r="L1090" s="158"/>
      <c r="M1090" s="158">
        <v>1</v>
      </c>
      <c r="N1090" s="158">
        <v>1</v>
      </c>
      <c r="O1090" s="23"/>
      <c r="P1090" s="23">
        <v>63194238</v>
      </c>
      <c r="Q1090" s="158"/>
      <c r="R1090" s="158"/>
      <c r="S1090" s="158"/>
      <c r="T1090" s="586">
        <v>28437407</v>
      </c>
      <c r="U1090" s="158">
        <v>10</v>
      </c>
      <c r="V1090" s="311"/>
      <c r="W1090" s="311"/>
      <c r="X1090" s="311"/>
      <c r="Y1090" s="23">
        <v>34756831</v>
      </c>
      <c r="Z1090" s="158">
        <v>10</v>
      </c>
      <c r="AA1090" s="311">
        <v>43586</v>
      </c>
      <c r="AB1090" s="329"/>
      <c r="AC1090" s="5"/>
      <c r="AD1090" s="158"/>
      <c r="AE1090" s="158">
        <f t="shared" si="176"/>
        <v>0</v>
      </c>
      <c r="AF1090" s="158"/>
      <c r="AG1090" s="94">
        <v>0</v>
      </c>
      <c r="AH1090" s="94"/>
      <c r="AI1090" s="94"/>
      <c r="AJ1090" s="158">
        <f t="shared" si="175"/>
        <v>0</v>
      </c>
      <c r="AK1090" s="158">
        <v>877</v>
      </c>
      <c r="AL1090" s="158">
        <v>10</v>
      </c>
      <c r="AM1090" s="158"/>
      <c r="AN1090" s="158">
        <v>1</v>
      </c>
      <c r="AO1090" s="50"/>
      <c r="AP1090" s="23"/>
      <c r="AQ1090" s="23"/>
      <c r="AR1090" s="23"/>
      <c r="AS1090" s="2">
        <v>0.45</v>
      </c>
      <c r="AT1090" s="58" t="s">
        <v>38</v>
      </c>
      <c r="AU1090" s="386" t="s">
        <v>1393</v>
      </c>
      <c r="AV1090" s="23"/>
      <c r="AW1090" s="50"/>
      <c r="AX1090" s="50"/>
      <c r="AY1090" s="50"/>
      <c r="AZ1090" s="50"/>
      <c r="BA1090" s="50"/>
      <c r="BB1090" s="293"/>
      <c r="BC1090" s="293"/>
      <c r="BD1090" s="271"/>
      <c r="BE1090" s="271">
        <v>2019</v>
      </c>
      <c r="BF1090" s="271">
        <v>2020</v>
      </c>
    </row>
    <row r="1091" spans="1:58" s="204" customFormat="1" ht="18" customHeight="1">
      <c r="A1091" s="160" t="s">
        <v>1</v>
      </c>
      <c r="B1091" s="58" t="s">
        <v>320</v>
      </c>
      <c r="C1091" s="66" t="s">
        <v>2191</v>
      </c>
      <c r="D1091" s="33" t="s">
        <v>387</v>
      </c>
      <c r="E1091" s="33"/>
      <c r="F1091" s="33"/>
      <c r="G1091" s="33"/>
      <c r="H1091" s="30" t="s">
        <v>968</v>
      </c>
      <c r="I1091" s="228" t="s">
        <v>1448</v>
      </c>
      <c r="J1091" s="215" t="s">
        <v>1449</v>
      </c>
      <c r="K1091" s="158"/>
      <c r="L1091" s="158"/>
      <c r="M1091" s="158">
        <v>1</v>
      </c>
      <c r="N1091" s="158">
        <v>1</v>
      </c>
      <c r="O1091" s="23"/>
      <c r="P1091" s="158">
        <v>63593000</v>
      </c>
      <c r="Q1091" s="158"/>
      <c r="R1091" s="158"/>
      <c r="S1091" s="158"/>
      <c r="T1091" s="586">
        <f>28616850-28616850+28616850</f>
        <v>28616850</v>
      </c>
      <c r="U1091" s="158" t="s">
        <v>1822</v>
      </c>
      <c r="V1091" s="311">
        <v>43800</v>
      </c>
      <c r="W1091" s="311"/>
      <c r="X1091" s="311"/>
      <c r="Y1091" s="23"/>
      <c r="Z1091" s="69"/>
      <c r="AA1091" s="158"/>
      <c r="AB1091" s="69"/>
      <c r="AC1091" s="69"/>
      <c r="AD1091" s="158"/>
      <c r="AE1091" s="158">
        <f t="shared" si="176"/>
        <v>34976150</v>
      </c>
      <c r="AF1091" s="158"/>
      <c r="AG1091" s="94">
        <v>0</v>
      </c>
      <c r="AH1091" s="94"/>
      <c r="AI1091" s="94"/>
      <c r="AJ1091" s="158">
        <f t="shared" si="175"/>
        <v>34976150</v>
      </c>
      <c r="AK1091" s="158">
        <v>877</v>
      </c>
      <c r="AL1091" s="158">
        <v>20</v>
      </c>
      <c r="AM1091" s="158"/>
      <c r="AN1091" s="158">
        <v>1</v>
      </c>
      <c r="AO1091" s="50"/>
      <c r="AP1091" s="23"/>
      <c r="AQ1091" s="23"/>
      <c r="AR1091" s="23"/>
      <c r="AS1091" s="2">
        <v>0.45</v>
      </c>
      <c r="AT1091" s="58" t="s">
        <v>38</v>
      </c>
      <c r="AU1091" s="386"/>
      <c r="AV1091" s="23"/>
      <c r="AW1091" s="50"/>
      <c r="AX1091" s="50"/>
      <c r="AY1091" s="50"/>
      <c r="AZ1091" s="50"/>
      <c r="BA1091" s="50"/>
      <c r="BB1091" s="293"/>
      <c r="BC1091" s="293"/>
      <c r="BD1091" s="271"/>
      <c r="BE1091" s="271">
        <v>2019</v>
      </c>
      <c r="BF1091" s="271">
        <v>2020</v>
      </c>
    </row>
    <row r="1092" spans="1:58" s="204" customFormat="1" ht="18" customHeight="1">
      <c r="A1092" s="160" t="s">
        <v>1</v>
      </c>
      <c r="B1092" s="58" t="s">
        <v>320</v>
      </c>
      <c r="C1092" s="66" t="s">
        <v>956</v>
      </c>
      <c r="D1092" s="33" t="s">
        <v>387</v>
      </c>
      <c r="E1092" s="33"/>
      <c r="F1092" s="33"/>
      <c r="G1092" s="33"/>
      <c r="H1092" s="30" t="s">
        <v>968</v>
      </c>
      <c r="I1092" s="228" t="s">
        <v>1450</v>
      </c>
      <c r="J1092" s="215" t="s">
        <v>1451</v>
      </c>
      <c r="K1092" s="158"/>
      <c r="L1092" s="158"/>
      <c r="M1092" s="158">
        <v>1</v>
      </c>
      <c r="N1092" s="158">
        <v>1</v>
      </c>
      <c r="O1092" s="23"/>
      <c r="P1092" s="158">
        <v>63589970</v>
      </c>
      <c r="Q1092" s="158"/>
      <c r="R1092" s="158"/>
      <c r="S1092" s="158"/>
      <c r="T1092" s="586">
        <v>28615487</v>
      </c>
      <c r="U1092" s="158">
        <v>10</v>
      </c>
      <c r="V1092" s="311"/>
      <c r="W1092" s="311"/>
      <c r="X1092" s="311"/>
      <c r="Y1092" s="23">
        <v>34974483</v>
      </c>
      <c r="Z1092" s="69">
        <v>20</v>
      </c>
      <c r="AA1092" s="311">
        <v>43770</v>
      </c>
      <c r="AB1092" s="577"/>
      <c r="AC1092" s="69"/>
      <c r="AD1092" s="158"/>
      <c r="AE1092" s="158">
        <f t="shared" si="176"/>
        <v>0</v>
      </c>
      <c r="AF1092" s="158"/>
      <c r="AG1092" s="94">
        <v>0</v>
      </c>
      <c r="AH1092" s="94"/>
      <c r="AI1092" s="94"/>
      <c r="AJ1092" s="158">
        <f t="shared" si="175"/>
        <v>0</v>
      </c>
      <c r="AK1092" s="158">
        <v>877</v>
      </c>
      <c r="AL1092" s="158">
        <v>20</v>
      </c>
      <c r="AM1092" s="158"/>
      <c r="AN1092" s="158">
        <v>1</v>
      </c>
      <c r="AO1092" s="50"/>
      <c r="AP1092" s="23"/>
      <c r="AQ1092" s="23"/>
      <c r="AR1092" s="23"/>
      <c r="AS1092" s="2">
        <v>0.45</v>
      </c>
      <c r="AT1092" s="58" t="s">
        <v>38</v>
      </c>
      <c r="AU1092" s="386"/>
      <c r="AV1092" s="23"/>
      <c r="AW1092" s="50"/>
      <c r="AX1092" s="50"/>
      <c r="AY1092" s="50"/>
      <c r="AZ1092" s="50"/>
      <c r="BA1092" s="50"/>
      <c r="BB1092" s="293"/>
      <c r="BC1092" s="293"/>
      <c r="BD1092" s="271"/>
      <c r="BE1092" s="271">
        <v>2019</v>
      </c>
      <c r="BF1092" s="271">
        <v>2020</v>
      </c>
    </row>
    <row r="1093" spans="1:58" s="204" customFormat="1" ht="18" customHeight="1">
      <c r="A1093" s="160" t="s">
        <v>1</v>
      </c>
      <c r="B1093" s="58" t="s">
        <v>320</v>
      </c>
      <c r="C1093" s="66" t="s">
        <v>957</v>
      </c>
      <c r="D1093" s="33" t="s">
        <v>387</v>
      </c>
      <c r="E1093" s="33"/>
      <c r="F1093" s="33"/>
      <c r="G1093" s="33"/>
      <c r="H1093" s="30" t="s">
        <v>968</v>
      </c>
      <c r="I1093" s="228" t="s">
        <v>1452</v>
      </c>
      <c r="J1093" s="215" t="s">
        <v>1449</v>
      </c>
      <c r="K1093" s="158"/>
      <c r="L1093" s="158"/>
      <c r="M1093" s="158">
        <v>1</v>
      </c>
      <c r="N1093" s="158">
        <v>1</v>
      </c>
      <c r="O1093" s="23"/>
      <c r="P1093" s="158">
        <v>63589970</v>
      </c>
      <c r="Q1093" s="158"/>
      <c r="R1093" s="158"/>
      <c r="S1093" s="158"/>
      <c r="T1093" s="586">
        <v>28615487</v>
      </c>
      <c r="U1093" s="158">
        <v>10</v>
      </c>
      <c r="V1093" s="311">
        <v>43497</v>
      </c>
      <c r="W1093" s="311"/>
      <c r="X1093" s="311"/>
      <c r="Y1093" s="23">
        <f>34974483-34974483+34974483</f>
        <v>34974483</v>
      </c>
      <c r="Z1093" s="69">
        <v>20</v>
      </c>
      <c r="AA1093" s="311">
        <v>43770</v>
      </c>
      <c r="AB1093" s="577"/>
      <c r="AC1093" s="69"/>
      <c r="AD1093" s="158"/>
      <c r="AE1093" s="158">
        <f t="shared" si="176"/>
        <v>0</v>
      </c>
      <c r="AF1093" s="158"/>
      <c r="AG1093" s="94">
        <v>0</v>
      </c>
      <c r="AH1093" s="94"/>
      <c r="AI1093" s="94"/>
      <c r="AJ1093" s="158">
        <f t="shared" si="175"/>
        <v>0</v>
      </c>
      <c r="AK1093" s="158">
        <v>877</v>
      </c>
      <c r="AL1093" s="158">
        <v>20</v>
      </c>
      <c r="AM1093" s="158"/>
      <c r="AN1093" s="158">
        <v>1</v>
      </c>
      <c r="AO1093" s="50"/>
      <c r="AP1093" s="23"/>
      <c r="AQ1093" s="23"/>
      <c r="AR1093" s="23"/>
      <c r="AS1093" s="2">
        <v>0.45</v>
      </c>
      <c r="AT1093" s="58" t="s">
        <v>38</v>
      </c>
      <c r="AU1093" s="386"/>
      <c r="AV1093" s="23"/>
      <c r="AW1093" s="50"/>
      <c r="AX1093" s="50"/>
      <c r="AY1093" s="50"/>
      <c r="AZ1093" s="50"/>
      <c r="BA1093" s="50"/>
      <c r="BB1093" s="293"/>
      <c r="BC1093" s="293"/>
      <c r="BD1093" s="271"/>
      <c r="BE1093" s="271">
        <v>2019</v>
      </c>
      <c r="BF1093" s="271">
        <v>2020</v>
      </c>
    </row>
    <row r="1094" spans="1:58" s="204" customFormat="1" ht="18" customHeight="1">
      <c r="A1094" s="248" t="s">
        <v>1</v>
      </c>
      <c r="B1094" s="58" t="s">
        <v>320</v>
      </c>
      <c r="C1094" s="264" t="s">
        <v>958</v>
      </c>
      <c r="D1094" s="33" t="s">
        <v>387</v>
      </c>
      <c r="E1094" s="33"/>
      <c r="F1094" s="33"/>
      <c r="G1094" s="33"/>
      <c r="H1094" s="30" t="s">
        <v>968</v>
      </c>
      <c r="I1094" s="228" t="s">
        <v>1654</v>
      </c>
      <c r="J1094" s="215" t="s">
        <v>1653</v>
      </c>
      <c r="K1094" s="158"/>
      <c r="L1094" s="158"/>
      <c r="M1094" s="158">
        <v>1</v>
      </c>
      <c r="N1094" s="158">
        <v>1</v>
      </c>
      <c r="O1094" s="23"/>
      <c r="P1094" s="158">
        <v>63194238</v>
      </c>
      <c r="Q1094" s="158"/>
      <c r="R1094" s="158"/>
      <c r="S1094" s="158"/>
      <c r="T1094" s="586">
        <v>28437407</v>
      </c>
      <c r="U1094" s="158">
        <v>20</v>
      </c>
      <c r="V1094" s="311"/>
      <c r="W1094" s="311"/>
      <c r="X1094" s="311"/>
      <c r="Y1094" s="23">
        <v>34756831</v>
      </c>
      <c r="Z1094" s="158">
        <v>20</v>
      </c>
      <c r="AA1094" s="311">
        <v>43586</v>
      </c>
      <c r="AB1094" s="583"/>
      <c r="AC1094" s="92"/>
      <c r="AD1094" s="158"/>
      <c r="AE1094" s="158">
        <f t="shared" si="176"/>
        <v>0</v>
      </c>
      <c r="AF1094" s="158"/>
      <c r="AG1094" s="94">
        <v>0</v>
      </c>
      <c r="AH1094" s="94"/>
      <c r="AI1094" s="94"/>
      <c r="AJ1094" s="158">
        <f t="shared" si="175"/>
        <v>0</v>
      </c>
      <c r="AK1094" s="158">
        <v>877</v>
      </c>
      <c r="AL1094" s="158">
        <v>20</v>
      </c>
      <c r="AM1094" s="158"/>
      <c r="AN1094" s="158">
        <v>1</v>
      </c>
      <c r="AO1094" s="50"/>
      <c r="AP1094" s="23"/>
      <c r="AQ1094" s="23"/>
      <c r="AR1094" s="23"/>
      <c r="AS1094" s="2">
        <v>0.45</v>
      </c>
      <c r="AT1094" s="58" t="s">
        <v>38</v>
      </c>
      <c r="AU1094" s="386" t="s">
        <v>1393</v>
      </c>
      <c r="AV1094" s="23"/>
      <c r="AW1094" s="50"/>
      <c r="AX1094" s="50"/>
      <c r="AY1094" s="50"/>
      <c r="AZ1094" s="50"/>
      <c r="BA1094" s="50"/>
      <c r="BB1094" s="293"/>
      <c r="BC1094" s="293"/>
      <c r="BD1094" s="271"/>
      <c r="BE1094" s="271">
        <v>2019</v>
      </c>
      <c r="BF1094" s="271">
        <v>2020</v>
      </c>
    </row>
    <row r="1095" spans="1:58" s="204" customFormat="1" ht="18" customHeight="1">
      <c r="A1095" s="160" t="s">
        <v>1</v>
      </c>
      <c r="B1095" s="58" t="s">
        <v>320</v>
      </c>
      <c r="C1095" s="66" t="s">
        <v>959</v>
      </c>
      <c r="D1095" s="33" t="s">
        <v>387</v>
      </c>
      <c r="E1095" s="33"/>
      <c r="F1095" s="33"/>
      <c r="G1095" s="33"/>
      <c r="H1095" s="30" t="s">
        <v>968</v>
      </c>
      <c r="I1095" s="228" t="s">
        <v>1807</v>
      </c>
      <c r="J1095" s="215" t="s">
        <v>1808</v>
      </c>
      <c r="K1095" s="158"/>
      <c r="L1095" s="158"/>
      <c r="M1095" s="158">
        <v>1</v>
      </c>
      <c r="N1095" s="158">
        <v>1</v>
      </c>
      <c r="O1095" s="23"/>
      <c r="P1095" s="158">
        <v>58294473</v>
      </c>
      <c r="Q1095" s="158"/>
      <c r="R1095" s="158"/>
      <c r="S1095" s="158"/>
      <c r="T1095" s="586">
        <v>26232513</v>
      </c>
      <c r="U1095" s="158">
        <v>10</v>
      </c>
      <c r="V1095" s="311"/>
      <c r="W1095" s="311"/>
      <c r="X1095" s="311"/>
      <c r="Y1095" s="23">
        <v>32061960</v>
      </c>
      <c r="Z1095" s="158">
        <v>20</v>
      </c>
      <c r="AA1095" s="311">
        <v>43739</v>
      </c>
      <c r="AB1095" s="311"/>
      <c r="AC1095" s="158"/>
      <c r="AD1095" s="158"/>
      <c r="AE1095" s="158">
        <f t="shared" si="176"/>
        <v>0</v>
      </c>
      <c r="AF1095" s="158"/>
      <c r="AG1095" s="94">
        <v>0</v>
      </c>
      <c r="AH1095" s="94"/>
      <c r="AI1095" s="94"/>
      <c r="AJ1095" s="158">
        <f t="shared" si="175"/>
        <v>0</v>
      </c>
      <c r="AK1095" s="158">
        <v>877</v>
      </c>
      <c r="AL1095" s="158">
        <v>20</v>
      </c>
      <c r="AM1095" s="158"/>
      <c r="AN1095" s="158">
        <v>1</v>
      </c>
      <c r="AO1095" s="50"/>
      <c r="AP1095" s="23"/>
      <c r="AQ1095" s="23"/>
      <c r="AR1095" s="23"/>
      <c r="AS1095" s="2">
        <v>0.45</v>
      </c>
      <c r="AT1095" s="58" t="s">
        <v>38</v>
      </c>
      <c r="AU1095" s="386"/>
      <c r="AV1095" s="23"/>
      <c r="AW1095" s="50"/>
      <c r="AX1095" s="50"/>
      <c r="AY1095" s="50"/>
      <c r="AZ1095" s="50"/>
      <c r="BA1095" s="50"/>
      <c r="BB1095" s="293"/>
      <c r="BC1095" s="293"/>
      <c r="BD1095" s="271"/>
      <c r="BE1095" s="271">
        <v>2019</v>
      </c>
      <c r="BF1095" s="271">
        <v>2020</v>
      </c>
    </row>
    <row r="1096" spans="1:58" s="204" customFormat="1" ht="18" customHeight="1">
      <c r="A1096" s="160" t="s">
        <v>1</v>
      </c>
      <c r="B1096" s="58" t="s">
        <v>320</v>
      </c>
      <c r="C1096" s="66" t="s">
        <v>960</v>
      </c>
      <c r="D1096" s="33" t="s">
        <v>387</v>
      </c>
      <c r="E1096" s="33"/>
      <c r="F1096" s="33"/>
      <c r="G1096" s="33"/>
      <c r="H1096" s="30" t="s">
        <v>968</v>
      </c>
      <c r="I1096" s="115" t="s">
        <v>1749</v>
      </c>
      <c r="J1096" s="215" t="s">
        <v>1653</v>
      </c>
      <c r="K1096" s="158"/>
      <c r="L1096" s="158"/>
      <c r="M1096" s="158">
        <v>1</v>
      </c>
      <c r="N1096" s="158">
        <v>1</v>
      </c>
      <c r="O1096" s="23"/>
      <c r="P1096" s="158">
        <v>52150020</v>
      </c>
      <c r="Q1096" s="158"/>
      <c r="R1096" s="158"/>
      <c r="S1096" s="158"/>
      <c r="T1096" s="586">
        <v>23467509</v>
      </c>
      <c r="U1096" s="158">
        <v>20</v>
      </c>
      <c r="V1096" s="311">
        <v>43647</v>
      </c>
      <c r="W1096" s="311"/>
      <c r="X1096" s="311"/>
      <c r="Y1096" s="23">
        <v>28682511</v>
      </c>
      <c r="Z1096" s="158">
        <v>20</v>
      </c>
      <c r="AA1096" s="311">
        <v>43800</v>
      </c>
      <c r="AB1096" s="311"/>
      <c r="AC1096" s="158"/>
      <c r="AD1096" s="158"/>
      <c r="AE1096" s="158">
        <f t="shared" si="176"/>
        <v>0</v>
      </c>
      <c r="AF1096" s="158"/>
      <c r="AG1096" s="94">
        <v>0</v>
      </c>
      <c r="AH1096" s="94"/>
      <c r="AI1096" s="94"/>
      <c r="AJ1096" s="158">
        <f t="shared" si="175"/>
        <v>0</v>
      </c>
      <c r="AK1096" s="158">
        <v>877</v>
      </c>
      <c r="AL1096" s="158">
        <v>20</v>
      </c>
      <c r="AM1096" s="158"/>
      <c r="AN1096" s="158">
        <v>1</v>
      </c>
      <c r="AO1096" s="50"/>
      <c r="AP1096" s="23"/>
      <c r="AQ1096" s="23"/>
      <c r="AR1096" s="23"/>
      <c r="AS1096" s="2">
        <v>0.45</v>
      </c>
      <c r="AT1096" s="58" t="s">
        <v>38</v>
      </c>
      <c r="AU1096" s="386" t="s">
        <v>1873</v>
      </c>
      <c r="AV1096" s="23"/>
      <c r="AW1096" s="50"/>
      <c r="AX1096" s="50"/>
      <c r="AY1096" s="50"/>
      <c r="AZ1096" s="50"/>
      <c r="BA1096" s="50"/>
      <c r="BB1096" s="293"/>
      <c r="BC1096" s="293"/>
      <c r="BD1096" s="271"/>
      <c r="BE1096" s="271">
        <v>2019</v>
      </c>
      <c r="BF1096" s="271">
        <v>2020</v>
      </c>
    </row>
    <row r="1097" spans="1:58" s="204" customFormat="1" ht="18" customHeight="1">
      <c r="A1097" s="160" t="s">
        <v>1</v>
      </c>
      <c r="B1097" s="58" t="s">
        <v>320</v>
      </c>
      <c r="C1097" s="66" t="s">
        <v>961</v>
      </c>
      <c r="D1097" s="33" t="s">
        <v>387</v>
      </c>
      <c r="E1097" s="33"/>
      <c r="F1097" s="33"/>
      <c r="G1097" s="33"/>
      <c r="H1097" s="30" t="s">
        <v>968</v>
      </c>
      <c r="I1097" s="228" t="s">
        <v>1805</v>
      </c>
      <c r="J1097" s="215" t="s">
        <v>1806</v>
      </c>
      <c r="K1097" s="158"/>
      <c r="L1097" s="158"/>
      <c r="M1097" s="158">
        <v>1</v>
      </c>
      <c r="N1097" s="158">
        <v>1</v>
      </c>
      <c r="O1097" s="23"/>
      <c r="P1097" s="158">
        <v>58115540</v>
      </c>
      <c r="Q1097" s="158"/>
      <c r="R1097" s="158"/>
      <c r="S1097" s="158"/>
      <c r="T1097" s="586">
        <v>26151993</v>
      </c>
      <c r="U1097" s="158">
        <v>20</v>
      </c>
      <c r="V1097" s="311">
        <v>43678</v>
      </c>
      <c r="W1097" s="311"/>
      <c r="X1097" s="311"/>
      <c r="Y1097" s="23">
        <v>31963547</v>
      </c>
      <c r="Z1097" s="158">
        <v>20</v>
      </c>
      <c r="AA1097" s="311">
        <v>43800</v>
      </c>
      <c r="AB1097" s="311"/>
      <c r="AC1097" s="158"/>
      <c r="AD1097" s="158"/>
      <c r="AE1097" s="158">
        <f t="shared" si="176"/>
        <v>0</v>
      </c>
      <c r="AF1097" s="158"/>
      <c r="AG1097" s="94">
        <v>0</v>
      </c>
      <c r="AH1097" s="94"/>
      <c r="AI1097" s="94"/>
      <c r="AJ1097" s="158">
        <f t="shared" si="175"/>
        <v>0</v>
      </c>
      <c r="AK1097" s="158">
        <v>877</v>
      </c>
      <c r="AL1097" s="158">
        <v>20</v>
      </c>
      <c r="AM1097" s="158"/>
      <c r="AN1097" s="158">
        <v>1</v>
      </c>
      <c r="AO1097" s="50"/>
      <c r="AP1097" s="23"/>
      <c r="AQ1097" s="23"/>
      <c r="AR1097" s="23"/>
      <c r="AS1097" s="2">
        <v>0.45</v>
      </c>
      <c r="AT1097" s="58" t="s">
        <v>38</v>
      </c>
      <c r="AU1097" s="386" t="s">
        <v>1873</v>
      </c>
      <c r="AV1097" s="23"/>
      <c r="AW1097" s="50"/>
      <c r="AX1097" s="50"/>
      <c r="AY1097" s="50"/>
      <c r="AZ1097" s="50"/>
      <c r="BA1097" s="50"/>
      <c r="BB1097" s="293"/>
      <c r="BC1097" s="293"/>
      <c r="BD1097" s="271"/>
      <c r="BE1097" s="271">
        <v>2019</v>
      </c>
      <c r="BF1097" s="271">
        <v>2020</v>
      </c>
    </row>
    <row r="1098" spans="1:58" s="204" customFormat="1" ht="18" customHeight="1">
      <c r="A1098" s="160" t="s">
        <v>1</v>
      </c>
      <c r="B1098" s="58" t="s">
        <v>320</v>
      </c>
      <c r="C1098" s="66" t="s">
        <v>962</v>
      </c>
      <c r="D1098" s="33" t="s">
        <v>387</v>
      </c>
      <c r="E1098" s="33"/>
      <c r="F1098" s="33"/>
      <c r="G1098" s="33"/>
      <c r="H1098" s="30" t="s">
        <v>968</v>
      </c>
      <c r="I1098" s="228" t="s">
        <v>1656</v>
      </c>
      <c r="J1098" s="215" t="s">
        <v>1655</v>
      </c>
      <c r="K1098" s="158"/>
      <c r="L1098" s="158"/>
      <c r="M1098" s="158">
        <v>1</v>
      </c>
      <c r="N1098" s="158">
        <v>1</v>
      </c>
      <c r="O1098" s="23"/>
      <c r="P1098" s="158">
        <v>54317225</v>
      </c>
      <c r="Q1098" s="158"/>
      <c r="R1098" s="158"/>
      <c r="S1098" s="158"/>
      <c r="T1098" s="586">
        <v>24442751</v>
      </c>
      <c r="U1098" s="158">
        <v>20</v>
      </c>
      <c r="V1098" s="311">
        <v>43586</v>
      </c>
      <c r="W1098" s="311"/>
      <c r="X1098" s="311"/>
      <c r="Y1098" s="23">
        <v>29874474</v>
      </c>
      <c r="Z1098" s="158">
        <v>20</v>
      </c>
      <c r="AA1098" s="311">
        <v>43770</v>
      </c>
      <c r="AB1098" s="311"/>
      <c r="AC1098" s="158"/>
      <c r="AD1098" s="158"/>
      <c r="AE1098" s="158">
        <f t="shared" si="176"/>
        <v>0</v>
      </c>
      <c r="AF1098" s="158"/>
      <c r="AG1098" s="94">
        <v>0</v>
      </c>
      <c r="AH1098" s="94"/>
      <c r="AI1098" s="94"/>
      <c r="AJ1098" s="158">
        <f t="shared" si="175"/>
        <v>0</v>
      </c>
      <c r="AK1098" s="158">
        <v>877</v>
      </c>
      <c r="AL1098" s="158">
        <v>20</v>
      </c>
      <c r="AM1098" s="158"/>
      <c r="AN1098" s="158">
        <v>1</v>
      </c>
      <c r="AO1098" s="50"/>
      <c r="AP1098" s="23"/>
      <c r="AQ1098" s="23"/>
      <c r="AR1098" s="23"/>
      <c r="AS1098" s="2">
        <v>0</v>
      </c>
      <c r="AT1098" s="58" t="s">
        <v>38</v>
      </c>
      <c r="AU1098" s="386" t="s">
        <v>1401</v>
      </c>
      <c r="AV1098" s="23"/>
      <c r="AW1098" s="50"/>
      <c r="AX1098" s="50"/>
      <c r="AY1098" s="50"/>
      <c r="AZ1098" s="50"/>
      <c r="BA1098" s="50"/>
      <c r="BB1098" s="293"/>
      <c r="BC1098" s="293"/>
      <c r="BD1098" s="271"/>
      <c r="BE1098" s="271">
        <v>2019</v>
      </c>
      <c r="BF1098" s="271">
        <v>2020</v>
      </c>
    </row>
    <row r="1099" spans="1:58" s="204" customFormat="1" ht="18" customHeight="1">
      <c r="A1099" s="160" t="s">
        <v>1</v>
      </c>
      <c r="B1099" s="58" t="s">
        <v>320</v>
      </c>
      <c r="C1099" s="66" t="s">
        <v>963</v>
      </c>
      <c r="D1099" s="33" t="s">
        <v>387</v>
      </c>
      <c r="E1099" s="33"/>
      <c r="F1099" s="33"/>
      <c r="G1099" s="33"/>
      <c r="H1099" s="30" t="s">
        <v>968</v>
      </c>
      <c r="I1099" s="228" t="s">
        <v>1809</v>
      </c>
      <c r="J1099" s="215" t="s">
        <v>1810</v>
      </c>
      <c r="K1099" s="158"/>
      <c r="L1099" s="158"/>
      <c r="M1099" s="158">
        <v>1</v>
      </c>
      <c r="N1099" s="158">
        <v>1</v>
      </c>
      <c r="O1099" s="23"/>
      <c r="P1099" s="158">
        <v>56773500</v>
      </c>
      <c r="Q1099" s="158"/>
      <c r="R1099" s="158"/>
      <c r="S1099" s="158"/>
      <c r="T1099" s="586">
        <v>25548075</v>
      </c>
      <c r="U1099" s="158">
        <v>20</v>
      </c>
      <c r="V1099" s="311">
        <v>43739</v>
      </c>
      <c r="W1099" s="311"/>
      <c r="X1099" s="311"/>
      <c r="Y1099" s="23"/>
      <c r="Z1099" s="158"/>
      <c r="AA1099" s="158"/>
      <c r="AB1099" s="158"/>
      <c r="AC1099" s="158"/>
      <c r="AD1099" s="158"/>
      <c r="AE1099" s="158">
        <f t="shared" si="176"/>
        <v>31225425</v>
      </c>
      <c r="AF1099" s="158"/>
      <c r="AG1099" s="94">
        <v>0</v>
      </c>
      <c r="AH1099" s="94"/>
      <c r="AI1099" s="94"/>
      <c r="AJ1099" s="158">
        <f t="shared" si="175"/>
        <v>31225425</v>
      </c>
      <c r="AK1099" s="158">
        <v>877</v>
      </c>
      <c r="AL1099" s="158">
        <v>20</v>
      </c>
      <c r="AM1099" s="158"/>
      <c r="AN1099" s="158">
        <v>1</v>
      </c>
      <c r="AO1099" s="50"/>
      <c r="AP1099" s="23"/>
      <c r="AQ1099" s="23"/>
      <c r="AR1099" s="23"/>
      <c r="AS1099" s="2">
        <v>0</v>
      </c>
      <c r="AT1099" s="58" t="s">
        <v>38</v>
      </c>
      <c r="AU1099" s="386"/>
      <c r="AV1099" s="23"/>
      <c r="AW1099" s="50"/>
      <c r="AX1099" s="50"/>
      <c r="AY1099" s="50"/>
      <c r="AZ1099" s="50"/>
      <c r="BA1099" s="50"/>
      <c r="BB1099" s="293"/>
      <c r="BC1099" s="293"/>
      <c r="BD1099" s="271"/>
      <c r="BE1099" s="271">
        <v>2019</v>
      </c>
      <c r="BF1099" s="271">
        <v>2020</v>
      </c>
    </row>
    <row r="1100" spans="1:58" s="204" customFormat="1" ht="18" customHeight="1">
      <c r="A1100" s="160" t="s">
        <v>1</v>
      </c>
      <c r="B1100" s="58" t="s">
        <v>320</v>
      </c>
      <c r="C1100" s="66" t="s">
        <v>1013</v>
      </c>
      <c r="D1100" s="33" t="s">
        <v>387</v>
      </c>
      <c r="E1100" s="33"/>
      <c r="F1100" s="33"/>
      <c r="G1100" s="33"/>
      <c r="H1100" s="30" t="s">
        <v>968</v>
      </c>
      <c r="I1100" s="215" t="s">
        <v>1977</v>
      </c>
      <c r="J1100" s="215" t="s">
        <v>1976</v>
      </c>
      <c r="K1100" s="158"/>
      <c r="L1100" s="158"/>
      <c r="M1100" s="158">
        <v>1</v>
      </c>
      <c r="N1100" s="158">
        <v>1</v>
      </c>
      <c r="O1100" s="23"/>
      <c r="P1100" s="158">
        <v>56075355</v>
      </c>
      <c r="Q1100" s="158"/>
      <c r="R1100" s="158"/>
      <c r="S1100" s="158"/>
      <c r="T1100" s="586"/>
      <c r="U1100" s="158"/>
      <c r="V1100" s="311"/>
      <c r="W1100" s="311"/>
      <c r="X1100" s="311"/>
      <c r="Y1100" s="23"/>
      <c r="Z1100" s="158"/>
      <c r="AA1100" s="158"/>
      <c r="AB1100" s="158"/>
      <c r="AC1100" s="158"/>
      <c r="AD1100" s="158"/>
      <c r="AE1100" s="158">
        <f t="shared" si="176"/>
        <v>56075355</v>
      </c>
      <c r="AF1100" s="158"/>
      <c r="AG1100" s="94">
        <v>0</v>
      </c>
      <c r="AH1100" s="94"/>
      <c r="AI1100" s="94"/>
      <c r="AJ1100" s="158">
        <f t="shared" si="175"/>
        <v>56075355</v>
      </c>
      <c r="AK1100" s="158">
        <v>877</v>
      </c>
      <c r="AL1100" s="158">
        <v>20</v>
      </c>
      <c r="AM1100" s="158">
        <v>1</v>
      </c>
      <c r="AN1100" s="158"/>
      <c r="AO1100" s="50"/>
      <c r="AP1100" s="23"/>
      <c r="AQ1100" s="23"/>
      <c r="AR1100" s="23"/>
      <c r="AS1100" s="2">
        <v>0</v>
      </c>
      <c r="AT1100" s="58" t="s">
        <v>521</v>
      </c>
      <c r="AU1100" s="386"/>
      <c r="AV1100" s="23"/>
      <c r="AW1100" s="50"/>
      <c r="AX1100" s="50"/>
      <c r="AY1100" s="50"/>
      <c r="AZ1100" s="50"/>
      <c r="BA1100" s="50"/>
      <c r="BB1100" s="293"/>
      <c r="BC1100" s="293"/>
      <c r="BD1100" s="271"/>
      <c r="BE1100" s="271">
        <v>2019</v>
      </c>
      <c r="BF1100" s="271">
        <v>2020</v>
      </c>
    </row>
    <row r="1101" spans="1:58" ht="15" hidden="1" customHeight="1">
      <c r="A1101" s="160" t="s">
        <v>1</v>
      </c>
      <c r="B1101" s="58" t="s">
        <v>320</v>
      </c>
      <c r="C1101" s="66" t="s">
        <v>969</v>
      </c>
      <c r="D1101" s="33" t="s">
        <v>984</v>
      </c>
      <c r="E1101" s="33"/>
      <c r="F1101" s="33"/>
      <c r="G1101" s="33"/>
      <c r="H1101" s="30" t="s">
        <v>647</v>
      </c>
      <c r="I1101" s="30"/>
      <c r="J1101" s="212"/>
      <c r="K1101" s="158"/>
      <c r="L1101" s="158"/>
      <c r="M1101" s="158"/>
      <c r="N1101" s="158"/>
      <c r="O1101" s="158"/>
      <c r="P1101" s="158"/>
      <c r="Q1101" s="158"/>
      <c r="R1101" s="158"/>
      <c r="S1101" s="158"/>
      <c r="T1101" s="586"/>
      <c r="U1101" s="158"/>
      <c r="V1101" s="311"/>
      <c r="W1101" s="311"/>
      <c r="X1101" s="311"/>
      <c r="Y1101" s="23"/>
      <c r="Z1101" s="158"/>
      <c r="AA1101" s="158"/>
      <c r="AB1101" s="158"/>
      <c r="AC1101" s="158"/>
      <c r="AD1101" s="158"/>
      <c r="AE1101" s="158"/>
      <c r="AF1101" s="158"/>
      <c r="AG1101" s="158"/>
      <c r="AH1101" s="158"/>
      <c r="AI1101" s="158"/>
      <c r="AJ1101" s="158"/>
      <c r="AK1101" s="158"/>
      <c r="AL1101" s="158"/>
      <c r="AM1101" s="158"/>
      <c r="AN1101" s="158"/>
      <c r="AO1101" s="23"/>
      <c r="AP1101" s="23"/>
      <c r="AQ1101" s="23"/>
      <c r="AR1101" s="23"/>
      <c r="AS1101" s="2">
        <v>1</v>
      </c>
      <c r="AT1101" s="58" t="s">
        <v>646</v>
      </c>
      <c r="AU1101" s="105"/>
      <c r="AV1101" s="23"/>
      <c r="AW1101" s="50"/>
      <c r="AX1101" s="23">
        <v>1</v>
      </c>
      <c r="AY1101" s="23"/>
      <c r="AZ1101" s="23"/>
      <c r="BA1101" s="23">
        <v>1</v>
      </c>
      <c r="BB1101" s="223"/>
      <c r="BC1101" s="223"/>
      <c r="BD1101" s="270">
        <v>2018</v>
      </c>
      <c r="BE1101" s="270"/>
      <c r="BF1101" s="268"/>
    </row>
    <row r="1102" spans="1:58" ht="15" hidden="1" customHeight="1">
      <c r="A1102" s="160" t="s">
        <v>1</v>
      </c>
      <c r="B1102" s="58" t="s">
        <v>320</v>
      </c>
      <c r="C1102" s="66" t="s">
        <v>970</v>
      </c>
      <c r="D1102" s="33" t="s">
        <v>984</v>
      </c>
      <c r="E1102" s="33"/>
      <c r="F1102" s="33"/>
      <c r="G1102" s="33"/>
      <c r="H1102" s="30" t="s">
        <v>647</v>
      </c>
      <c r="I1102" s="30"/>
      <c r="J1102" s="212"/>
      <c r="K1102" s="158"/>
      <c r="L1102" s="158"/>
      <c r="M1102" s="158"/>
      <c r="N1102" s="158"/>
      <c r="O1102" s="158"/>
      <c r="P1102" s="158"/>
      <c r="Q1102" s="158"/>
      <c r="R1102" s="158"/>
      <c r="S1102" s="158"/>
      <c r="T1102" s="586"/>
      <c r="U1102" s="158"/>
      <c r="V1102" s="311"/>
      <c r="W1102" s="311"/>
      <c r="X1102" s="311"/>
      <c r="Y1102" s="23"/>
      <c r="Z1102" s="158"/>
      <c r="AA1102" s="158"/>
      <c r="AB1102" s="158"/>
      <c r="AC1102" s="158"/>
      <c r="AD1102" s="158"/>
      <c r="AE1102" s="158"/>
      <c r="AF1102" s="158"/>
      <c r="AG1102" s="158"/>
      <c r="AH1102" s="158"/>
      <c r="AI1102" s="158"/>
      <c r="AJ1102" s="158"/>
      <c r="AK1102" s="158"/>
      <c r="AL1102" s="158"/>
      <c r="AM1102" s="158"/>
      <c r="AN1102" s="158"/>
      <c r="AO1102" s="23"/>
      <c r="AP1102" s="23"/>
      <c r="AQ1102" s="23"/>
      <c r="AR1102" s="23"/>
      <c r="AS1102" s="2">
        <v>1</v>
      </c>
      <c r="AT1102" s="58" t="s">
        <v>646</v>
      </c>
      <c r="AU1102" s="105"/>
      <c r="AV1102" s="23"/>
      <c r="AW1102" s="50"/>
      <c r="AX1102" s="23">
        <v>1</v>
      </c>
      <c r="AY1102" s="23"/>
      <c r="AZ1102" s="23"/>
      <c r="BA1102" s="23">
        <v>1</v>
      </c>
      <c r="BB1102" s="223"/>
      <c r="BC1102" s="223"/>
      <c r="BD1102" s="270">
        <v>2018</v>
      </c>
      <c r="BE1102" s="270"/>
      <c r="BF1102" s="268"/>
    </row>
    <row r="1103" spans="1:58" ht="15" hidden="1" customHeight="1">
      <c r="A1103" s="160" t="s">
        <v>1</v>
      </c>
      <c r="B1103" s="58" t="s">
        <v>320</v>
      </c>
      <c r="C1103" s="66" t="s">
        <v>971</v>
      </c>
      <c r="D1103" s="33" t="s">
        <v>984</v>
      </c>
      <c r="E1103" s="33"/>
      <c r="F1103" s="33"/>
      <c r="G1103" s="33"/>
      <c r="H1103" s="30" t="s">
        <v>647</v>
      </c>
      <c r="I1103" s="30"/>
      <c r="J1103" s="212"/>
      <c r="K1103" s="158"/>
      <c r="L1103" s="158"/>
      <c r="M1103" s="158"/>
      <c r="N1103" s="158"/>
      <c r="O1103" s="158"/>
      <c r="P1103" s="158"/>
      <c r="Q1103" s="158"/>
      <c r="R1103" s="158"/>
      <c r="S1103" s="158"/>
      <c r="T1103" s="586"/>
      <c r="U1103" s="158"/>
      <c r="V1103" s="311"/>
      <c r="W1103" s="311"/>
      <c r="X1103" s="311"/>
      <c r="Y1103" s="23"/>
      <c r="Z1103" s="158"/>
      <c r="AA1103" s="158"/>
      <c r="AB1103" s="158"/>
      <c r="AC1103" s="158"/>
      <c r="AD1103" s="158"/>
      <c r="AE1103" s="158"/>
      <c r="AF1103" s="158"/>
      <c r="AG1103" s="158"/>
      <c r="AH1103" s="158"/>
      <c r="AI1103" s="158"/>
      <c r="AJ1103" s="158"/>
      <c r="AK1103" s="158"/>
      <c r="AL1103" s="158"/>
      <c r="AM1103" s="158"/>
      <c r="AN1103" s="158"/>
      <c r="AO1103" s="23"/>
      <c r="AP1103" s="23"/>
      <c r="AQ1103" s="23"/>
      <c r="AR1103" s="23"/>
      <c r="AS1103" s="2">
        <v>1</v>
      </c>
      <c r="AT1103" s="58" t="s">
        <v>646</v>
      </c>
      <c r="AU1103" s="105"/>
      <c r="AV1103" s="23"/>
      <c r="AW1103" s="50"/>
      <c r="AX1103" s="23">
        <v>1</v>
      </c>
      <c r="AY1103" s="23"/>
      <c r="AZ1103" s="23"/>
      <c r="BA1103" s="23">
        <v>1</v>
      </c>
      <c r="BB1103" s="223"/>
      <c r="BC1103" s="223"/>
      <c r="BD1103" s="270">
        <v>2018</v>
      </c>
      <c r="BE1103" s="270"/>
      <c r="BF1103" s="268"/>
    </row>
    <row r="1104" spans="1:58" ht="15" hidden="1" customHeight="1">
      <c r="A1104" s="160" t="s">
        <v>1</v>
      </c>
      <c r="B1104" s="58" t="s">
        <v>320</v>
      </c>
      <c r="C1104" s="66" t="s">
        <v>972</v>
      </c>
      <c r="D1104" s="33" t="s">
        <v>984</v>
      </c>
      <c r="E1104" s="33"/>
      <c r="F1104" s="33"/>
      <c r="G1104" s="33"/>
      <c r="H1104" s="30" t="s">
        <v>647</v>
      </c>
      <c r="I1104" s="30"/>
      <c r="J1104" s="212"/>
      <c r="K1104" s="158"/>
      <c r="L1104" s="158"/>
      <c r="M1104" s="158"/>
      <c r="N1104" s="158"/>
      <c r="O1104" s="158"/>
      <c r="P1104" s="158"/>
      <c r="Q1104" s="158"/>
      <c r="R1104" s="158"/>
      <c r="S1104" s="158"/>
      <c r="T1104" s="586"/>
      <c r="U1104" s="158"/>
      <c r="V1104" s="311"/>
      <c r="W1104" s="311"/>
      <c r="X1104" s="311"/>
      <c r="Y1104" s="23"/>
      <c r="Z1104" s="158"/>
      <c r="AA1104" s="158"/>
      <c r="AB1104" s="158"/>
      <c r="AC1104" s="158"/>
      <c r="AD1104" s="158"/>
      <c r="AE1104" s="158"/>
      <c r="AF1104" s="158"/>
      <c r="AG1104" s="158"/>
      <c r="AH1104" s="158"/>
      <c r="AI1104" s="158"/>
      <c r="AJ1104" s="158"/>
      <c r="AK1104" s="158"/>
      <c r="AL1104" s="158"/>
      <c r="AM1104" s="158"/>
      <c r="AN1104" s="158"/>
      <c r="AO1104" s="23"/>
      <c r="AP1104" s="23"/>
      <c r="AQ1104" s="23"/>
      <c r="AR1104" s="23"/>
      <c r="AS1104" s="2">
        <v>1</v>
      </c>
      <c r="AT1104" s="58" t="s">
        <v>646</v>
      </c>
      <c r="AU1104" s="105"/>
      <c r="AV1104" s="23"/>
      <c r="AW1104" s="50"/>
      <c r="AX1104" s="23">
        <v>1</v>
      </c>
      <c r="AY1104" s="23"/>
      <c r="AZ1104" s="23"/>
      <c r="BA1104" s="23">
        <v>1</v>
      </c>
      <c r="BB1104" s="223"/>
      <c r="BC1104" s="223"/>
      <c r="BD1104" s="270">
        <v>2018</v>
      </c>
      <c r="BE1104" s="270"/>
      <c r="BF1104" s="268"/>
    </row>
    <row r="1105" spans="1:58" ht="15" hidden="1" customHeight="1">
      <c r="A1105" s="160" t="s">
        <v>1</v>
      </c>
      <c r="B1105" s="58" t="s">
        <v>320</v>
      </c>
      <c r="C1105" s="66" t="s">
        <v>973</v>
      </c>
      <c r="D1105" s="33" t="s">
        <v>984</v>
      </c>
      <c r="E1105" s="33"/>
      <c r="F1105" s="33"/>
      <c r="G1105" s="33"/>
      <c r="H1105" s="30" t="s">
        <v>647</v>
      </c>
      <c r="I1105" s="30"/>
      <c r="J1105" s="212"/>
      <c r="K1105" s="158"/>
      <c r="L1105" s="158"/>
      <c r="M1105" s="158"/>
      <c r="N1105" s="158"/>
      <c r="O1105" s="158"/>
      <c r="P1105" s="158"/>
      <c r="Q1105" s="158"/>
      <c r="R1105" s="158"/>
      <c r="S1105" s="158"/>
      <c r="T1105" s="586"/>
      <c r="U1105" s="158"/>
      <c r="V1105" s="311"/>
      <c r="W1105" s="311"/>
      <c r="X1105" s="311"/>
      <c r="Y1105" s="23"/>
      <c r="Z1105" s="158"/>
      <c r="AA1105" s="158"/>
      <c r="AB1105" s="158"/>
      <c r="AC1105" s="158"/>
      <c r="AD1105" s="158"/>
      <c r="AE1105" s="158"/>
      <c r="AF1105" s="158"/>
      <c r="AG1105" s="158"/>
      <c r="AH1105" s="158"/>
      <c r="AI1105" s="158"/>
      <c r="AJ1105" s="158"/>
      <c r="AK1105" s="158"/>
      <c r="AL1105" s="158"/>
      <c r="AM1105" s="158"/>
      <c r="AN1105" s="158"/>
      <c r="AO1105" s="23"/>
      <c r="AP1105" s="23"/>
      <c r="AQ1105" s="23"/>
      <c r="AR1105" s="23"/>
      <c r="AS1105" s="2">
        <v>1</v>
      </c>
      <c r="AT1105" s="58" t="s">
        <v>646</v>
      </c>
      <c r="AU1105" s="105"/>
      <c r="AV1105" s="23"/>
      <c r="AW1105" s="50"/>
      <c r="AX1105" s="23">
        <v>1</v>
      </c>
      <c r="AY1105" s="23"/>
      <c r="AZ1105" s="23"/>
      <c r="BA1105" s="23">
        <v>1</v>
      </c>
      <c r="BB1105" s="223"/>
      <c r="BC1105" s="223"/>
      <c r="BD1105" s="270">
        <v>2018</v>
      </c>
      <c r="BE1105" s="270"/>
      <c r="BF1105" s="268"/>
    </row>
    <row r="1106" spans="1:58" ht="15" hidden="1" customHeight="1">
      <c r="A1106" s="160" t="s">
        <v>1</v>
      </c>
      <c r="B1106" s="58" t="s">
        <v>320</v>
      </c>
      <c r="C1106" s="66" t="s">
        <v>974</v>
      </c>
      <c r="D1106" s="33" t="s">
        <v>984</v>
      </c>
      <c r="E1106" s="33"/>
      <c r="F1106" s="33"/>
      <c r="G1106" s="33"/>
      <c r="H1106" s="30" t="s">
        <v>647</v>
      </c>
      <c r="I1106" s="30"/>
      <c r="J1106" s="212"/>
      <c r="K1106" s="158"/>
      <c r="L1106" s="158"/>
      <c r="M1106" s="158"/>
      <c r="N1106" s="158"/>
      <c r="O1106" s="158"/>
      <c r="P1106" s="158"/>
      <c r="Q1106" s="158"/>
      <c r="R1106" s="158"/>
      <c r="S1106" s="158"/>
      <c r="T1106" s="586"/>
      <c r="U1106" s="158"/>
      <c r="V1106" s="311"/>
      <c r="W1106" s="311"/>
      <c r="X1106" s="311"/>
      <c r="Y1106" s="23"/>
      <c r="Z1106" s="158"/>
      <c r="AA1106" s="158"/>
      <c r="AB1106" s="158"/>
      <c r="AC1106" s="158"/>
      <c r="AD1106" s="158"/>
      <c r="AE1106" s="158"/>
      <c r="AF1106" s="158"/>
      <c r="AG1106" s="158"/>
      <c r="AH1106" s="158"/>
      <c r="AI1106" s="158"/>
      <c r="AJ1106" s="158"/>
      <c r="AK1106" s="158"/>
      <c r="AL1106" s="158"/>
      <c r="AM1106" s="158"/>
      <c r="AN1106" s="158"/>
      <c r="AO1106" s="23"/>
      <c r="AP1106" s="23"/>
      <c r="AQ1106" s="23"/>
      <c r="AR1106" s="23"/>
      <c r="AS1106" s="2">
        <v>1</v>
      </c>
      <c r="AT1106" s="58" t="s">
        <v>646</v>
      </c>
      <c r="AU1106" s="105"/>
      <c r="AV1106" s="23"/>
      <c r="AW1106" s="50"/>
      <c r="AX1106" s="23">
        <v>1</v>
      </c>
      <c r="AY1106" s="23"/>
      <c r="AZ1106" s="23"/>
      <c r="BA1106" s="23">
        <v>1</v>
      </c>
      <c r="BB1106" s="223"/>
      <c r="BC1106" s="223"/>
      <c r="BD1106" s="270">
        <v>2018</v>
      </c>
      <c r="BE1106" s="270"/>
      <c r="BF1106" s="268"/>
    </row>
    <row r="1107" spans="1:58" ht="18" hidden="1" customHeight="1">
      <c r="A1107" s="160" t="s">
        <v>1</v>
      </c>
      <c r="B1107" s="58" t="s">
        <v>320</v>
      </c>
      <c r="C1107" s="66" t="s">
        <v>975</v>
      </c>
      <c r="D1107" s="33" t="s">
        <v>387</v>
      </c>
      <c r="E1107" s="33"/>
      <c r="F1107" s="33"/>
      <c r="G1107" s="33"/>
      <c r="H1107" s="30" t="s">
        <v>647</v>
      </c>
      <c r="I1107" s="30">
        <v>657</v>
      </c>
      <c r="J1107" s="212">
        <v>43185</v>
      </c>
      <c r="K1107" s="158"/>
      <c r="L1107" s="158"/>
      <c r="M1107" s="158">
        <v>1</v>
      </c>
      <c r="N1107" s="158"/>
      <c r="O1107" s="158"/>
      <c r="P1107" s="158">
        <v>58294473</v>
      </c>
      <c r="Q1107" s="158"/>
      <c r="R1107" s="158"/>
      <c r="S1107" s="158"/>
      <c r="T1107" s="586">
        <v>26232513</v>
      </c>
      <c r="U1107" s="158">
        <v>10</v>
      </c>
      <c r="V1107" s="311"/>
      <c r="W1107" s="311"/>
      <c r="X1107" s="311"/>
      <c r="Y1107" s="23">
        <v>32061960</v>
      </c>
      <c r="Z1107" s="158">
        <v>10</v>
      </c>
      <c r="AA1107" s="311">
        <v>43617</v>
      </c>
      <c r="AB1107" s="311"/>
      <c r="AC1107" s="158"/>
      <c r="AD1107" s="158"/>
      <c r="AE1107" s="158">
        <f>P1107-T1107-Y1107</f>
        <v>0</v>
      </c>
      <c r="AF1107" s="158"/>
      <c r="AG1107" s="94">
        <v>0</v>
      </c>
      <c r="AH1107" s="94"/>
      <c r="AI1107" s="94"/>
      <c r="AJ1107" s="158">
        <f t="shared" ref="AJ1107" si="177">AE1107+AG1107</f>
        <v>0</v>
      </c>
      <c r="AK1107" s="158">
        <v>877</v>
      </c>
      <c r="AL1107" s="158">
        <v>10</v>
      </c>
      <c r="AM1107" s="158"/>
      <c r="AN1107" s="158"/>
      <c r="AO1107" s="23"/>
      <c r="AP1107" s="23"/>
      <c r="AQ1107" s="23"/>
      <c r="AR1107" s="23"/>
      <c r="AS1107" s="2">
        <v>1</v>
      </c>
      <c r="AT1107" s="58" t="s">
        <v>646</v>
      </c>
      <c r="AU1107" s="401" t="s">
        <v>1955</v>
      </c>
      <c r="AV1107" s="23"/>
      <c r="AW1107" s="50"/>
      <c r="AX1107" s="50"/>
      <c r="AY1107" s="23">
        <v>1</v>
      </c>
      <c r="AZ1107" s="23"/>
      <c r="BA1107" s="50"/>
      <c r="BB1107" s="23">
        <v>1</v>
      </c>
      <c r="BC1107" s="23"/>
      <c r="BD1107" s="270">
        <v>2019</v>
      </c>
      <c r="BE1107" s="270">
        <v>2019</v>
      </c>
      <c r="BF1107" s="271"/>
    </row>
    <row r="1108" spans="1:58" ht="15" hidden="1" customHeight="1">
      <c r="A1108" s="160" t="s">
        <v>1</v>
      </c>
      <c r="B1108" s="58" t="s">
        <v>320</v>
      </c>
      <c r="C1108" s="66" t="s">
        <v>976</v>
      </c>
      <c r="D1108" s="33" t="s">
        <v>985</v>
      </c>
      <c r="E1108" s="33"/>
      <c r="F1108" s="33"/>
      <c r="G1108" s="33"/>
      <c r="H1108" s="30" t="s">
        <v>686</v>
      </c>
      <c r="I1108" s="30"/>
      <c r="J1108" s="212"/>
      <c r="K1108" s="158"/>
      <c r="L1108" s="158"/>
      <c r="M1108" s="158"/>
      <c r="N1108" s="158"/>
      <c r="O1108" s="158"/>
      <c r="P1108" s="158"/>
      <c r="Q1108" s="158"/>
      <c r="R1108" s="158"/>
      <c r="S1108" s="158"/>
      <c r="T1108" s="586"/>
      <c r="U1108" s="158"/>
      <c r="V1108" s="311"/>
      <c r="W1108" s="311"/>
      <c r="X1108" s="311"/>
      <c r="Y1108" s="94"/>
      <c r="Z1108" s="158"/>
      <c r="AA1108" s="158"/>
      <c r="AB1108" s="158"/>
      <c r="AC1108" s="158"/>
      <c r="AD1108" s="158"/>
      <c r="AE1108" s="158"/>
      <c r="AF1108" s="158"/>
      <c r="AG1108" s="158"/>
      <c r="AH1108" s="158"/>
      <c r="AI1108" s="158"/>
      <c r="AJ1108" s="158"/>
      <c r="AK1108" s="158"/>
      <c r="AL1108" s="158"/>
      <c r="AM1108" s="158"/>
      <c r="AN1108" s="158"/>
      <c r="AO1108" s="23"/>
      <c r="AP1108" s="23"/>
      <c r="AQ1108" s="23"/>
      <c r="AR1108" s="23"/>
      <c r="AS1108" s="2">
        <v>1</v>
      </c>
      <c r="AT1108" s="58" t="s">
        <v>646</v>
      </c>
      <c r="AU1108" s="105"/>
      <c r="AV1108" s="23"/>
      <c r="AW1108" s="50"/>
      <c r="AX1108" s="23">
        <v>1</v>
      </c>
      <c r="AY1108" s="23"/>
      <c r="AZ1108" s="23"/>
      <c r="BA1108" s="23">
        <v>1</v>
      </c>
      <c r="BB1108" s="223"/>
      <c r="BC1108" s="223"/>
      <c r="BD1108" s="270">
        <v>2018</v>
      </c>
      <c r="BE1108" s="270"/>
      <c r="BF1108" s="268"/>
    </row>
    <row r="1109" spans="1:58" ht="15" hidden="1" customHeight="1">
      <c r="A1109" s="160" t="s">
        <v>1</v>
      </c>
      <c r="B1109" s="58" t="s">
        <v>320</v>
      </c>
      <c r="C1109" s="66" t="s">
        <v>977</v>
      </c>
      <c r="D1109" s="33" t="s">
        <v>984</v>
      </c>
      <c r="E1109" s="33"/>
      <c r="F1109" s="33"/>
      <c r="G1109" s="33"/>
      <c r="H1109" s="30" t="s">
        <v>655</v>
      </c>
      <c r="I1109" s="30"/>
      <c r="J1109" s="212"/>
      <c r="K1109" s="158"/>
      <c r="L1109" s="158"/>
      <c r="M1109" s="158"/>
      <c r="N1109" s="158"/>
      <c r="O1109" s="158"/>
      <c r="P1109" s="158"/>
      <c r="Q1109" s="158"/>
      <c r="R1109" s="158"/>
      <c r="S1109" s="158"/>
      <c r="T1109" s="586"/>
      <c r="U1109" s="158"/>
      <c r="V1109" s="311"/>
      <c r="W1109" s="311"/>
      <c r="X1109" s="311"/>
      <c r="Y1109" s="94"/>
      <c r="Z1109" s="158"/>
      <c r="AA1109" s="158"/>
      <c r="AB1109" s="158"/>
      <c r="AC1109" s="158"/>
      <c r="AD1109" s="158"/>
      <c r="AE1109" s="158"/>
      <c r="AF1109" s="158"/>
      <c r="AG1109" s="158"/>
      <c r="AH1109" s="158"/>
      <c r="AI1109" s="158"/>
      <c r="AJ1109" s="158"/>
      <c r="AK1109" s="158"/>
      <c r="AL1109" s="158"/>
      <c r="AM1109" s="158"/>
      <c r="AN1109" s="158"/>
      <c r="AO1109" s="23"/>
      <c r="AP1109" s="23"/>
      <c r="AQ1109" s="23"/>
      <c r="AR1109" s="23"/>
      <c r="AS1109" s="2">
        <v>1</v>
      </c>
      <c r="AT1109" s="58" t="s">
        <v>646</v>
      </c>
      <c r="AU1109" s="105"/>
      <c r="AV1109" s="23"/>
      <c r="AW1109" s="50"/>
      <c r="AX1109" s="23">
        <v>1</v>
      </c>
      <c r="AY1109" s="23"/>
      <c r="AZ1109" s="23"/>
      <c r="BA1109" s="23">
        <v>1</v>
      </c>
      <c r="BB1109" s="223"/>
      <c r="BC1109" s="223"/>
      <c r="BD1109" s="270">
        <v>2018</v>
      </c>
      <c r="BE1109" s="270"/>
      <c r="BF1109" s="268"/>
    </row>
    <row r="1110" spans="1:58" ht="15" hidden="1" customHeight="1">
      <c r="A1110" s="160" t="s">
        <v>1</v>
      </c>
      <c r="B1110" s="58" t="s">
        <v>320</v>
      </c>
      <c r="C1110" s="66" t="s">
        <v>978</v>
      </c>
      <c r="D1110" s="33" t="s">
        <v>985</v>
      </c>
      <c r="E1110" s="33"/>
      <c r="F1110" s="33"/>
      <c r="G1110" s="33"/>
      <c r="H1110" s="30" t="s">
        <v>686</v>
      </c>
      <c r="I1110" s="30"/>
      <c r="J1110" s="212"/>
      <c r="K1110" s="158"/>
      <c r="L1110" s="158"/>
      <c r="M1110" s="158"/>
      <c r="N1110" s="158"/>
      <c r="O1110" s="158"/>
      <c r="P1110" s="158"/>
      <c r="Q1110" s="158"/>
      <c r="R1110" s="158"/>
      <c r="S1110" s="158"/>
      <c r="T1110" s="586"/>
      <c r="U1110" s="158"/>
      <c r="V1110" s="311"/>
      <c r="W1110" s="311"/>
      <c r="X1110" s="311"/>
      <c r="Y1110" s="94"/>
      <c r="Z1110" s="158"/>
      <c r="AA1110" s="158"/>
      <c r="AB1110" s="158"/>
      <c r="AC1110" s="158"/>
      <c r="AD1110" s="158"/>
      <c r="AE1110" s="158"/>
      <c r="AF1110" s="158"/>
      <c r="AG1110" s="158"/>
      <c r="AH1110" s="158"/>
      <c r="AI1110" s="158"/>
      <c r="AJ1110" s="158"/>
      <c r="AK1110" s="158"/>
      <c r="AL1110" s="158"/>
      <c r="AM1110" s="158"/>
      <c r="AN1110" s="158"/>
      <c r="AO1110" s="23"/>
      <c r="AP1110" s="23"/>
      <c r="AQ1110" s="23"/>
      <c r="AR1110" s="23"/>
      <c r="AS1110" s="2">
        <v>1</v>
      </c>
      <c r="AT1110" s="58" t="s">
        <v>646</v>
      </c>
      <c r="AU1110" s="105"/>
      <c r="AV1110" s="23"/>
      <c r="AW1110" s="50"/>
      <c r="AX1110" s="23">
        <v>1</v>
      </c>
      <c r="AY1110" s="23"/>
      <c r="AZ1110" s="23"/>
      <c r="BA1110" s="23">
        <v>1</v>
      </c>
      <c r="BB1110" s="223"/>
      <c r="BC1110" s="223"/>
      <c r="BD1110" s="270">
        <v>2018</v>
      </c>
      <c r="BE1110" s="270"/>
      <c r="BF1110" s="268"/>
    </row>
    <row r="1111" spans="1:58" ht="15" hidden="1" customHeight="1">
      <c r="A1111" s="160" t="s">
        <v>1</v>
      </c>
      <c r="B1111" s="58" t="s">
        <v>320</v>
      </c>
      <c r="C1111" s="66" t="s">
        <v>979</v>
      </c>
      <c r="D1111" s="33" t="s">
        <v>984</v>
      </c>
      <c r="E1111" s="33"/>
      <c r="F1111" s="33"/>
      <c r="G1111" s="33"/>
      <c r="H1111" s="30" t="s">
        <v>647</v>
      </c>
      <c r="I1111" s="30"/>
      <c r="J1111" s="212"/>
      <c r="K1111" s="158"/>
      <c r="L1111" s="158"/>
      <c r="M1111" s="158"/>
      <c r="N1111" s="158"/>
      <c r="O1111" s="158"/>
      <c r="P1111" s="158"/>
      <c r="Q1111" s="158"/>
      <c r="R1111" s="158"/>
      <c r="S1111" s="158"/>
      <c r="T1111" s="586"/>
      <c r="U1111" s="158"/>
      <c r="V1111" s="311"/>
      <c r="W1111" s="311"/>
      <c r="X1111" s="311"/>
      <c r="Y1111" s="94"/>
      <c r="Z1111" s="158"/>
      <c r="AA1111" s="158"/>
      <c r="AB1111" s="158"/>
      <c r="AC1111" s="158"/>
      <c r="AD1111" s="158"/>
      <c r="AE1111" s="158"/>
      <c r="AF1111" s="158"/>
      <c r="AG1111" s="158"/>
      <c r="AH1111" s="158"/>
      <c r="AI1111" s="158"/>
      <c r="AJ1111" s="158"/>
      <c r="AK1111" s="158"/>
      <c r="AL1111" s="158"/>
      <c r="AM1111" s="158"/>
      <c r="AN1111" s="158"/>
      <c r="AO1111" s="23"/>
      <c r="AP1111" s="23"/>
      <c r="AQ1111" s="23"/>
      <c r="AR1111" s="23"/>
      <c r="AS1111" s="2">
        <v>1</v>
      </c>
      <c r="AT1111" s="58" t="s">
        <v>646</v>
      </c>
      <c r="AU1111" s="105"/>
      <c r="AV1111" s="23"/>
      <c r="AW1111" s="50"/>
      <c r="AX1111" s="23">
        <v>1</v>
      </c>
      <c r="AY1111" s="23"/>
      <c r="AZ1111" s="23"/>
      <c r="BA1111" s="23">
        <v>1</v>
      </c>
      <c r="BB1111" s="223"/>
      <c r="BC1111" s="223"/>
      <c r="BD1111" s="270">
        <v>2018</v>
      </c>
      <c r="BE1111" s="270"/>
      <c r="BF1111" s="268"/>
    </row>
    <row r="1112" spans="1:58" ht="15" hidden="1" customHeight="1">
      <c r="A1112" s="160" t="s">
        <v>1</v>
      </c>
      <c r="B1112" s="58" t="s">
        <v>320</v>
      </c>
      <c r="C1112" s="66" t="s">
        <v>980</v>
      </c>
      <c r="D1112" s="33" t="s">
        <v>984</v>
      </c>
      <c r="E1112" s="33"/>
      <c r="F1112" s="33"/>
      <c r="G1112" s="33"/>
      <c r="H1112" s="30" t="s">
        <v>647</v>
      </c>
      <c r="I1112" s="30"/>
      <c r="J1112" s="212"/>
      <c r="K1112" s="158"/>
      <c r="L1112" s="158"/>
      <c r="M1112" s="158"/>
      <c r="N1112" s="158"/>
      <c r="O1112" s="158"/>
      <c r="P1112" s="158"/>
      <c r="Q1112" s="158"/>
      <c r="R1112" s="158"/>
      <c r="S1112" s="158"/>
      <c r="T1112" s="586"/>
      <c r="U1112" s="158"/>
      <c r="V1112" s="311"/>
      <c r="W1112" s="311"/>
      <c r="X1112" s="311"/>
      <c r="Y1112" s="94"/>
      <c r="Z1112" s="158"/>
      <c r="AA1112" s="158"/>
      <c r="AB1112" s="158"/>
      <c r="AC1112" s="158"/>
      <c r="AD1112" s="158"/>
      <c r="AE1112" s="158"/>
      <c r="AF1112" s="158"/>
      <c r="AG1112" s="158"/>
      <c r="AH1112" s="158"/>
      <c r="AI1112" s="158"/>
      <c r="AJ1112" s="158"/>
      <c r="AK1112" s="158"/>
      <c r="AL1112" s="158"/>
      <c r="AM1112" s="158"/>
      <c r="AN1112" s="158"/>
      <c r="AO1112" s="23"/>
      <c r="AP1112" s="23"/>
      <c r="AQ1112" s="23"/>
      <c r="AR1112" s="23"/>
      <c r="AS1112" s="2">
        <v>1</v>
      </c>
      <c r="AT1112" s="58" t="s">
        <v>646</v>
      </c>
      <c r="AU1112" s="105"/>
      <c r="AV1112" s="23"/>
      <c r="AW1112" s="50"/>
      <c r="AX1112" s="23">
        <v>1</v>
      </c>
      <c r="AY1112" s="23"/>
      <c r="AZ1112" s="23"/>
      <c r="BA1112" s="23">
        <v>1</v>
      </c>
      <c r="BB1112" s="223"/>
      <c r="BC1112" s="223"/>
      <c r="BD1112" s="270">
        <v>2018</v>
      </c>
      <c r="BE1112" s="270"/>
      <c r="BF1112" s="268"/>
    </row>
    <row r="1113" spans="1:58" ht="15" hidden="1" customHeight="1">
      <c r="A1113" s="160" t="s">
        <v>1</v>
      </c>
      <c r="B1113" s="58" t="s">
        <v>320</v>
      </c>
      <c r="C1113" s="66" t="s">
        <v>981</v>
      </c>
      <c r="D1113" s="33" t="s">
        <v>984</v>
      </c>
      <c r="E1113" s="33"/>
      <c r="F1113" s="33"/>
      <c r="G1113" s="33"/>
      <c r="H1113" s="30" t="s">
        <v>647</v>
      </c>
      <c r="I1113" s="30"/>
      <c r="J1113" s="212"/>
      <c r="K1113" s="158"/>
      <c r="L1113" s="158"/>
      <c r="M1113" s="158"/>
      <c r="N1113" s="158"/>
      <c r="O1113" s="158"/>
      <c r="P1113" s="158"/>
      <c r="Q1113" s="158"/>
      <c r="R1113" s="158"/>
      <c r="S1113" s="158"/>
      <c r="T1113" s="586"/>
      <c r="U1113" s="158"/>
      <c r="V1113" s="311"/>
      <c r="W1113" s="311"/>
      <c r="X1113" s="311"/>
      <c r="Y1113" s="94"/>
      <c r="Z1113" s="158"/>
      <c r="AA1113" s="158"/>
      <c r="AB1113" s="158"/>
      <c r="AC1113" s="158"/>
      <c r="AD1113" s="158"/>
      <c r="AE1113" s="158"/>
      <c r="AF1113" s="158"/>
      <c r="AG1113" s="158"/>
      <c r="AH1113" s="158"/>
      <c r="AI1113" s="158"/>
      <c r="AJ1113" s="158"/>
      <c r="AK1113" s="158"/>
      <c r="AL1113" s="158"/>
      <c r="AM1113" s="158"/>
      <c r="AN1113" s="158"/>
      <c r="AO1113" s="23"/>
      <c r="AP1113" s="23"/>
      <c r="AQ1113" s="23"/>
      <c r="AR1113" s="23"/>
      <c r="AS1113" s="2">
        <v>1</v>
      </c>
      <c r="AT1113" s="58" t="s">
        <v>646</v>
      </c>
      <c r="AU1113" s="105"/>
      <c r="AV1113" s="23"/>
      <c r="AW1113" s="50"/>
      <c r="AX1113" s="23">
        <v>1</v>
      </c>
      <c r="AY1113" s="23"/>
      <c r="AZ1113" s="23"/>
      <c r="BA1113" s="23">
        <v>1</v>
      </c>
      <c r="BB1113" s="223"/>
      <c r="BC1113" s="223"/>
      <c r="BD1113" s="270">
        <v>2018</v>
      </c>
      <c r="BE1113" s="270"/>
      <c r="BF1113" s="268"/>
    </row>
    <row r="1114" spans="1:58" ht="15" hidden="1" customHeight="1">
      <c r="A1114" s="160" t="s">
        <v>1</v>
      </c>
      <c r="B1114" s="58" t="s">
        <v>320</v>
      </c>
      <c r="C1114" s="66" t="s">
        <v>982</v>
      </c>
      <c r="D1114" s="33" t="s">
        <v>984</v>
      </c>
      <c r="E1114" s="33"/>
      <c r="F1114" s="33"/>
      <c r="G1114" s="33"/>
      <c r="H1114" s="30" t="s">
        <v>647</v>
      </c>
      <c r="I1114" s="30"/>
      <c r="J1114" s="212"/>
      <c r="K1114" s="158"/>
      <c r="L1114" s="158"/>
      <c r="M1114" s="158"/>
      <c r="N1114" s="158"/>
      <c r="O1114" s="158"/>
      <c r="P1114" s="158"/>
      <c r="Q1114" s="158"/>
      <c r="R1114" s="158"/>
      <c r="S1114" s="158"/>
      <c r="T1114" s="586"/>
      <c r="U1114" s="158"/>
      <c r="V1114" s="311"/>
      <c r="W1114" s="311"/>
      <c r="X1114" s="311"/>
      <c r="Y1114" s="94"/>
      <c r="Z1114" s="158"/>
      <c r="AA1114" s="158"/>
      <c r="AB1114" s="158"/>
      <c r="AC1114" s="158"/>
      <c r="AD1114" s="158"/>
      <c r="AE1114" s="158"/>
      <c r="AF1114" s="158"/>
      <c r="AG1114" s="158"/>
      <c r="AH1114" s="158"/>
      <c r="AI1114" s="158"/>
      <c r="AJ1114" s="158"/>
      <c r="AK1114" s="158"/>
      <c r="AL1114" s="158"/>
      <c r="AM1114" s="158"/>
      <c r="AN1114" s="158"/>
      <c r="AO1114" s="23"/>
      <c r="AP1114" s="23"/>
      <c r="AQ1114" s="23"/>
      <c r="AR1114" s="23"/>
      <c r="AS1114" s="2">
        <v>1</v>
      </c>
      <c r="AT1114" s="58" t="s">
        <v>646</v>
      </c>
      <c r="AU1114" s="105"/>
      <c r="AV1114" s="23"/>
      <c r="AW1114" s="50"/>
      <c r="AX1114" s="23">
        <v>1</v>
      </c>
      <c r="AY1114" s="23"/>
      <c r="AZ1114" s="23"/>
      <c r="BA1114" s="23">
        <v>1</v>
      </c>
      <c r="BB1114" s="223"/>
      <c r="BC1114" s="223"/>
      <c r="BD1114" s="270">
        <v>2018</v>
      </c>
      <c r="BE1114" s="270"/>
      <c r="BF1114" s="268"/>
    </row>
    <row r="1115" spans="1:58" ht="15" hidden="1" customHeight="1">
      <c r="A1115" s="160" t="s">
        <v>1</v>
      </c>
      <c r="B1115" s="58" t="s">
        <v>320</v>
      </c>
      <c r="C1115" s="66" t="s">
        <v>983</v>
      </c>
      <c r="D1115" s="33" t="s">
        <v>984</v>
      </c>
      <c r="E1115" s="33"/>
      <c r="F1115" s="33"/>
      <c r="G1115" s="33"/>
      <c r="H1115" s="30" t="s">
        <v>647</v>
      </c>
      <c r="I1115" s="30"/>
      <c r="J1115" s="212"/>
      <c r="K1115" s="158"/>
      <c r="L1115" s="158"/>
      <c r="M1115" s="158"/>
      <c r="N1115" s="158"/>
      <c r="O1115" s="158"/>
      <c r="P1115" s="158"/>
      <c r="Q1115" s="158"/>
      <c r="R1115" s="158"/>
      <c r="S1115" s="158"/>
      <c r="T1115" s="586"/>
      <c r="U1115" s="158"/>
      <c r="V1115" s="311"/>
      <c r="W1115" s="311"/>
      <c r="X1115" s="311"/>
      <c r="Y1115" s="94"/>
      <c r="Z1115" s="158"/>
      <c r="AA1115" s="158"/>
      <c r="AB1115" s="158"/>
      <c r="AC1115" s="158"/>
      <c r="AD1115" s="158"/>
      <c r="AE1115" s="158"/>
      <c r="AF1115" s="158"/>
      <c r="AG1115" s="158"/>
      <c r="AH1115" s="158"/>
      <c r="AI1115" s="158"/>
      <c r="AJ1115" s="158"/>
      <c r="AK1115" s="158"/>
      <c r="AL1115" s="158"/>
      <c r="AM1115" s="158"/>
      <c r="AN1115" s="158"/>
      <c r="AO1115" s="23"/>
      <c r="AP1115" s="23"/>
      <c r="AQ1115" s="23"/>
      <c r="AR1115" s="23"/>
      <c r="AS1115" s="2">
        <v>1</v>
      </c>
      <c r="AT1115" s="58" t="s">
        <v>646</v>
      </c>
      <c r="AU1115" s="105"/>
      <c r="AV1115" s="23"/>
      <c r="AW1115" s="50"/>
      <c r="AX1115" s="23">
        <v>1</v>
      </c>
      <c r="AY1115" s="23"/>
      <c r="AZ1115" s="23"/>
      <c r="BA1115" s="23">
        <v>1</v>
      </c>
      <c r="BB1115" s="223"/>
      <c r="BC1115" s="223"/>
      <c r="BD1115" s="270">
        <v>2018</v>
      </c>
      <c r="BE1115" s="270"/>
      <c r="BF1115" s="268"/>
    </row>
    <row r="1116" spans="1:58" s="204" customFormat="1" ht="18" customHeight="1">
      <c r="A1116" s="160" t="s">
        <v>1</v>
      </c>
      <c r="B1116" s="58" t="s">
        <v>320</v>
      </c>
      <c r="C1116" s="66" t="s">
        <v>1012</v>
      </c>
      <c r="D1116" s="33" t="s">
        <v>387</v>
      </c>
      <c r="E1116" s="33"/>
      <c r="F1116" s="33"/>
      <c r="G1116" s="33"/>
      <c r="H1116" s="30" t="s">
        <v>968</v>
      </c>
      <c r="I1116" s="115" t="s">
        <v>1911</v>
      </c>
      <c r="J1116" s="215" t="s">
        <v>1912</v>
      </c>
      <c r="K1116" s="158"/>
      <c r="L1116" s="158"/>
      <c r="M1116" s="158">
        <v>1</v>
      </c>
      <c r="N1116" s="158">
        <v>1</v>
      </c>
      <c r="O1116" s="23"/>
      <c r="P1116" s="158">
        <v>51936640</v>
      </c>
      <c r="Q1116" s="158"/>
      <c r="R1116" s="158"/>
      <c r="S1116" s="158"/>
      <c r="T1116" s="586">
        <v>23371488</v>
      </c>
      <c r="U1116" s="158">
        <v>20</v>
      </c>
      <c r="V1116" s="311">
        <v>43800</v>
      </c>
      <c r="W1116" s="311"/>
      <c r="X1116" s="311"/>
      <c r="Y1116" s="94"/>
      <c r="Z1116" s="158"/>
      <c r="AA1116" s="158"/>
      <c r="AB1116" s="158"/>
      <c r="AC1116" s="158"/>
      <c r="AD1116" s="158"/>
      <c r="AE1116" s="158">
        <f>P1116-T1116-Y1116</f>
        <v>28565152</v>
      </c>
      <c r="AF1116" s="158"/>
      <c r="AG1116" s="94">
        <v>0</v>
      </c>
      <c r="AH1116" s="94"/>
      <c r="AI1116" s="94"/>
      <c r="AJ1116" s="158">
        <f t="shared" ref="AJ1116:AJ1117" si="178">AE1116+AG1116</f>
        <v>28565152</v>
      </c>
      <c r="AK1116" s="158">
        <v>877</v>
      </c>
      <c r="AL1116" s="158">
        <v>20</v>
      </c>
      <c r="AM1116" s="158">
        <v>1</v>
      </c>
      <c r="AN1116" s="158"/>
      <c r="AO1116" s="50"/>
      <c r="AP1116" s="23"/>
      <c r="AQ1116" s="23"/>
      <c r="AR1116" s="23"/>
      <c r="AS1116" s="2">
        <v>0</v>
      </c>
      <c r="AT1116" s="58" t="s">
        <v>521</v>
      </c>
      <c r="AU1116" s="386" t="s">
        <v>1876</v>
      </c>
      <c r="AV1116" s="23"/>
      <c r="AW1116" s="50"/>
      <c r="AX1116" s="50"/>
      <c r="AY1116" s="50"/>
      <c r="AZ1116" s="50"/>
      <c r="BA1116" s="50"/>
      <c r="BB1116" s="293"/>
      <c r="BC1116" s="293"/>
      <c r="BD1116" s="271"/>
      <c r="BE1116" s="271">
        <v>2019</v>
      </c>
      <c r="BF1116" s="271">
        <v>2020</v>
      </c>
    </row>
    <row r="1117" spans="1:58" s="204" customFormat="1" ht="18" customHeight="1">
      <c r="A1117" s="160" t="s">
        <v>1</v>
      </c>
      <c r="B1117" s="58" t="s">
        <v>320</v>
      </c>
      <c r="C1117" s="66" t="s">
        <v>1025</v>
      </c>
      <c r="D1117" s="33" t="s">
        <v>387</v>
      </c>
      <c r="E1117" s="33"/>
      <c r="F1117" s="33"/>
      <c r="G1117" s="33"/>
      <c r="H1117" s="30" t="s">
        <v>663</v>
      </c>
      <c r="I1117" s="30">
        <v>755</v>
      </c>
      <c r="J1117" s="212">
        <v>41367</v>
      </c>
      <c r="K1117" s="158"/>
      <c r="L1117" s="158"/>
      <c r="M1117" s="158">
        <v>1</v>
      </c>
      <c r="N1117" s="158">
        <v>1</v>
      </c>
      <c r="O1117" s="23"/>
      <c r="P1117" s="158">
        <v>58290247</v>
      </c>
      <c r="Q1117" s="158"/>
      <c r="R1117" s="158"/>
      <c r="S1117" s="158"/>
      <c r="T1117" s="586"/>
      <c r="U1117" s="158"/>
      <c r="V1117" s="311"/>
      <c r="W1117" s="311"/>
      <c r="X1117" s="311"/>
      <c r="Y1117" s="94"/>
      <c r="Z1117" s="158"/>
      <c r="AA1117" s="158"/>
      <c r="AB1117" s="158"/>
      <c r="AC1117" s="158"/>
      <c r="AD1117" s="158"/>
      <c r="AE1117" s="158">
        <f>P1117-T1117-Y1117</f>
        <v>58290247</v>
      </c>
      <c r="AF1117" s="158"/>
      <c r="AG1117" s="94">
        <v>0</v>
      </c>
      <c r="AH1117" s="94"/>
      <c r="AI1117" s="94"/>
      <c r="AJ1117" s="158">
        <f t="shared" si="178"/>
        <v>58290247</v>
      </c>
      <c r="AK1117" s="158"/>
      <c r="AL1117" s="158"/>
      <c r="AM1117" s="158">
        <v>1</v>
      </c>
      <c r="AN1117" s="158"/>
      <c r="AO1117" s="50"/>
      <c r="AP1117" s="23"/>
      <c r="AQ1117" s="23"/>
      <c r="AR1117" s="23"/>
      <c r="AS1117" s="2">
        <v>0</v>
      </c>
      <c r="AT1117" s="58" t="s">
        <v>521</v>
      </c>
      <c r="AU1117" s="386"/>
      <c r="AV1117" s="23"/>
      <c r="AW1117" s="50"/>
      <c r="AX1117" s="50"/>
      <c r="AY1117" s="50"/>
      <c r="AZ1117" s="50"/>
      <c r="BA1117" s="50"/>
      <c r="BB1117" s="293"/>
      <c r="BC1117" s="293"/>
      <c r="BD1117" s="271"/>
      <c r="BE1117" s="271">
        <v>2019</v>
      </c>
      <c r="BF1117" s="271">
        <v>2020</v>
      </c>
    </row>
    <row r="1118" spans="1:58" ht="15" hidden="1" customHeight="1">
      <c r="A1118" s="160" t="s">
        <v>1</v>
      </c>
      <c r="B1118" s="58" t="s">
        <v>320</v>
      </c>
      <c r="C1118" s="66" t="s">
        <v>1026</v>
      </c>
      <c r="D1118" s="33" t="s">
        <v>984</v>
      </c>
      <c r="E1118" s="33"/>
      <c r="F1118" s="33"/>
      <c r="G1118" s="33"/>
      <c r="H1118" s="30" t="s">
        <v>661</v>
      </c>
      <c r="I1118" s="30"/>
      <c r="J1118" s="212"/>
      <c r="K1118" s="158"/>
      <c r="L1118" s="158"/>
      <c r="M1118" s="158"/>
      <c r="N1118" s="158"/>
      <c r="O1118" s="158"/>
      <c r="P1118" s="158"/>
      <c r="Q1118" s="158"/>
      <c r="R1118" s="158"/>
      <c r="S1118" s="158"/>
      <c r="T1118" s="586"/>
      <c r="U1118" s="158"/>
      <c r="V1118" s="311"/>
      <c r="W1118" s="311"/>
      <c r="X1118" s="311"/>
      <c r="Y1118" s="94"/>
      <c r="Z1118" s="158"/>
      <c r="AA1118" s="158"/>
      <c r="AB1118" s="158"/>
      <c r="AC1118" s="158"/>
      <c r="AD1118" s="158"/>
      <c r="AE1118" s="158"/>
      <c r="AF1118" s="158"/>
      <c r="AG1118" s="158"/>
      <c r="AH1118" s="158"/>
      <c r="AI1118" s="158"/>
      <c r="AJ1118" s="158"/>
      <c r="AK1118" s="158"/>
      <c r="AL1118" s="158"/>
      <c r="AM1118" s="158"/>
      <c r="AN1118" s="158"/>
      <c r="AO1118" s="23"/>
      <c r="AP1118" s="23"/>
      <c r="AQ1118" s="23"/>
      <c r="AR1118" s="23"/>
      <c r="AS1118" s="2">
        <v>1</v>
      </c>
      <c r="AT1118" s="58" t="s">
        <v>646</v>
      </c>
      <c r="AU1118" s="105"/>
      <c r="AV1118" s="23"/>
      <c r="AW1118" s="50"/>
      <c r="AX1118" s="23">
        <v>1</v>
      </c>
      <c r="AY1118" s="23"/>
      <c r="AZ1118" s="23"/>
      <c r="BA1118" s="23">
        <v>1</v>
      </c>
      <c r="BB1118" s="223"/>
      <c r="BC1118" s="223"/>
      <c r="BD1118" s="270">
        <v>2018</v>
      </c>
      <c r="BE1118" s="270"/>
      <c r="BF1118" s="268"/>
    </row>
    <row r="1119" spans="1:58" ht="18" hidden="1" customHeight="1">
      <c r="A1119" s="160" t="s">
        <v>1</v>
      </c>
      <c r="B1119" s="58" t="s">
        <v>320</v>
      </c>
      <c r="C1119" s="66" t="s">
        <v>1027</v>
      </c>
      <c r="D1119" s="33" t="s">
        <v>1936</v>
      </c>
      <c r="E1119" s="33"/>
      <c r="F1119" s="33"/>
      <c r="G1119" s="33"/>
      <c r="H1119" s="30" t="s">
        <v>661</v>
      </c>
      <c r="I1119" s="30">
        <v>577</v>
      </c>
      <c r="J1119" s="212" t="s">
        <v>1987</v>
      </c>
      <c r="K1119" s="23"/>
      <c r="L1119" s="23">
        <v>1</v>
      </c>
      <c r="M1119" s="158"/>
      <c r="N1119" s="158"/>
      <c r="O1119" s="158"/>
      <c r="P1119" s="158"/>
      <c r="Q1119" s="158"/>
      <c r="R1119" s="158"/>
      <c r="S1119" s="158"/>
      <c r="T1119" s="586"/>
      <c r="U1119" s="158"/>
      <c r="V1119" s="311"/>
      <c r="W1119" s="311"/>
      <c r="X1119" s="311"/>
      <c r="Y1119" s="94"/>
      <c r="Z1119" s="158"/>
      <c r="AA1119" s="158"/>
      <c r="AB1119" s="158"/>
      <c r="AC1119" s="158"/>
      <c r="AD1119" s="158"/>
      <c r="AE1119" s="158">
        <f>P1119-T1119-Y1119</f>
        <v>0</v>
      </c>
      <c r="AF1119" s="158"/>
      <c r="AG1119" s="94">
        <v>0</v>
      </c>
      <c r="AH1119" s="94"/>
      <c r="AI1119" s="94"/>
      <c r="AJ1119" s="158">
        <f t="shared" ref="AJ1119" si="179">AE1119+AG1119</f>
        <v>0</v>
      </c>
      <c r="AK1119" s="158"/>
      <c r="AL1119" s="158"/>
      <c r="AM1119" s="158"/>
      <c r="AN1119" s="158"/>
      <c r="AO1119" s="23"/>
      <c r="AP1119" s="23"/>
      <c r="AQ1119" s="23"/>
      <c r="AR1119" s="23"/>
      <c r="AS1119" s="2">
        <v>1</v>
      </c>
      <c r="AT1119" s="58" t="s">
        <v>646</v>
      </c>
      <c r="AU1119" s="386" t="s">
        <v>1417</v>
      </c>
      <c r="AV1119" s="23"/>
      <c r="AW1119" s="50"/>
      <c r="AX1119" s="50"/>
      <c r="AY1119" s="23">
        <v>1</v>
      </c>
      <c r="AZ1119" s="23"/>
      <c r="BA1119" s="50"/>
      <c r="BB1119" s="223">
        <v>1</v>
      </c>
      <c r="BC1119" s="223"/>
      <c r="BD1119" s="270">
        <v>2019</v>
      </c>
      <c r="BE1119" s="270">
        <v>2019</v>
      </c>
      <c r="BF1119" s="271"/>
    </row>
    <row r="1120" spans="1:58" ht="15" hidden="1" customHeight="1">
      <c r="A1120" s="160" t="s">
        <v>1</v>
      </c>
      <c r="B1120" s="58" t="s">
        <v>320</v>
      </c>
      <c r="C1120" s="66" t="s">
        <v>1028</v>
      </c>
      <c r="D1120" s="33" t="s">
        <v>984</v>
      </c>
      <c r="E1120" s="33"/>
      <c r="F1120" s="33"/>
      <c r="G1120" s="33"/>
      <c r="H1120" s="30" t="s">
        <v>661</v>
      </c>
      <c r="I1120" s="30"/>
      <c r="J1120" s="212"/>
      <c r="K1120" s="158"/>
      <c r="L1120" s="158"/>
      <c r="M1120" s="158"/>
      <c r="N1120" s="158"/>
      <c r="O1120" s="158"/>
      <c r="P1120" s="158"/>
      <c r="Q1120" s="158"/>
      <c r="R1120" s="158"/>
      <c r="S1120" s="158"/>
      <c r="T1120" s="586"/>
      <c r="U1120" s="158"/>
      <c r="V1120" s="311"/>
      <c r="W1120" s="311"/>
      <c r="X1120" s="311"/>
      <c r="Y1120" s="94"/>
      <c r="Z1120" s="158"/>
      <c r="AA1120" s="158"/>
      <c r="AB1120" s="158"/>
      <c r="AC1120" s="158"/>
      <c r="AD1120" s="158"/>
      <c r="AE1120" s="158"/>
      <c r="AF1120" s="158"/>
      <c r="AG1120" s="158"/>
      <c r="AH1120" s="158"/>
      <c r="AI1120" s="158"/>
      <c r="AJ1120" s="158"/>
      <c r="AK1120" s="158"/>
      <c r="AL1120" s="158"/>
      <c r="AM1120" s="158"/>
      <c r="AN1120" s="158"/>
      <c r="AO1120" s="23"/>
      <c r="AP1120" s="23"/>
      <c r="AQ1120" s="23"/>
      <c r="AR1120" s="23"/>
      <c r="AS1120" s="2">
        <v>1</v>
      </c>
      <c r="AT1120" s="58" t="s">
        <v>646</v>
      </c>
      <c r="AU1120" s="105"/>
      <c r="AV1120" s="23"/>
      <c r="AW1120" s="50"/>
      <c r="AX1120" s="23">
        <v>1</v>
      </c>
      <c r="AY1120" s="23"/>
      <c r="AZ1120" s="23"/>
      <c r="BA1120" s="23">
        <v>1</v>
      </c>
      <c r="BB1120" s="223"/>
      <c r="BC1120" s="223"/>
      <c r="BD1120" s="270">
        <v>2018</v>
      </c>
      <c r="BE1120" s="270"/>
      <c r="BF1120" s="268"/>
    </row>
    <row r="1121" spans="1:58" ht="15" hidden="1" customHeight="1">
      <c r="A1121" s="160" t="s">
        <v>1</v>
      </c>
      <c r="B1121" s="58" t="s">
        <v>320</v>
      </c>
      <c r="C1121" s="66" t="s">
        <v>1031</v>
      </c>
      <c r="D1121" s="33" t="s">
        <v>985</v>
      </c>
      <c r="E1121" s="33"/>
      <c r="F1121" s="33"/>
      <c r="G1121" s="33"/>
      <c r="H1121" s="30" t="s">
        <v>661</v>
      </c>
      <c r="I1121" s="30"/>
      <c r="J1121" s="212"/>
      <c r="K1121" s="158"/>
      <c r="L1121" s="158"/>
      <c r="M1121" s="158"/>
      <c r="N1121" s="158"/>
      <c r="O1121" s="158"/>
      <c r="P1121" s="158"/>
      <c r="Q1121" s="158"/>
      <c r="R1121" s="158"/>
      <c r="S1121" s="158"/>
      <c r="T1121" s="586"/>
      <c r="U1121" s="158"/>
      <c r="V1121" s="311"/>
      <c r="W1121" s="311"/>
      <c r="X1121" s="311"/>
      <c r="Y1121" s="94"/>
      <c r="Z1121" s="158"/>
      <c r="AA1121" s="158"/>
      <c r="AB1121" s="158"/>
      <c r="AC1121" s="158"/>
      <c r="AD1121" s="158"/>
      <c r="AE1121" s="158"/>
      <c r="AF1121" s="158"/>
      <c r="AG1121" s="158"/>
      <c r="AH1121" s="158"/>
      <c r="AI1121" s="158"/>
      <c r="AJ1121" s="158"/>
      <c r="AK1121" s="158"/>
      <c r="AL1121" s="158"/>
      <c r="AM1121" s="158"/>
      <c r="AN1121" s="158"/>
      <c r="AO1121" s="23"/>
      <c r="AP1121" s="23"/>
      <c r="AQ1121" s="23"/>
      <c r="AR1121" s="23"/>
      <c r="AS1121" s="2">
        <v>1</v>
      </c>
      <c r="AT1121" s="58" t="s">
        <v>646</v>
      </c>
      <c r="AU1121" s="105"/>
      <c r="AV1121" s="23"/>
      <c r="AW1121" s="50"/>
      <c r="AX1121" s="23">
        <v>1</v>
      </c>
      <c r="AY1121" s="23"/>
      <c r="AZ1121" s="23"/>
      <c r="BA1121" s="23">
        <v>1</v>
      </c>
      <c r="BB1121" s="223"/>
      <c r="BC1121" s="223"/>
      <c r="BD1121" s="270">
        <v>2018</v>
      </c>
      <c r="BE1121" s="270"/>
      <c r="BF1121" s="268"/>
    </row>
    <row r="1122" spans="1:58" ht="15" hidden="1" customHeight="1">
      <c r="A1122" s="160" t="s">
        <v>1</v>
      </c>
      <c r="B1122" s="58" t="s">
        <v>320</v>
      </c>
      <c r="C1122" s="66" t="s">
        <v>1032</v>
      </c>
      <c r="D1122" s="33" t="s">
        <v>984</v>
      </c>
      <c r="E1122" s="33"/>
      <c r="F1122" s="33"/>
      <c r="G1122" s="33"/>
      <c r="H1122" s="30" t="s">
        <v>661</v>
      </c>
      <c r="I1122" s="30"/>
      <c r="J1122" s="212"/>
      <c r="K1122" s="158"/>
      <c r="L1122" s="158"/>
      <c r="M1122" s="158"/>
      <c r="N1122" s="158"/>
      <c r="O1122" s="158"/>
      <c r="P1122" s="158"/>
      <c r="Q1122" s="158"/>
      <c r="R1122" s="158"/>
      <c r="S1122" s="158"/>
      <c r="T1122" s="586"/>
      <c r="U1122" s="158"/>
      <c r="V1122" s="311"/>
      <c r="W1122" s="311"/>
      <c r="X1122" s="311"/>
      <c r="Y1122" s="94"/>
      <c r="Z1122" s="158"/>
      <c r="AA1122" s="158"/>
      <c r="AB1122" s="158"/>
      <c r="AC1122" s="158"/>
      <c r="AD1122" s="158"/>
      <c r="AE1122" s="158"/>
      <c r="AF1122" s="158"/>
      <c r="AG1122" s="158"/>
      <c r="AH1122" s="158"/>
      <c r="AI1122" s="158"/>
      <c r="AJ1122" s="158"/>
      <c r="AK1122" s="158"/>
      <c r="AL1122" s="158"/>
      <c r="AM1122" s="158"/>
      <c r="AN1122" s="158"/>
      <c r="AO1122" s="23"/>
      <c r="AP1122" s="23"/>
      <c r="AQ1122" s="23"/>
      <c r="AR1122" s="23"/>
      <c r="AS1122" s="2">
        <v>1</v>
      </c>
      <c r="AT1122" s="58" t="s">
        <v>646</v>
      </c>
      <c r="AU1122" s="105"/>
      <c r="AV1122" s="23"/>
      <c r="AW1122" s="50"/>
      <c r="AX1122" s="23">
        <v>1</v>
      </c>
      <c r="AY1122" s="23"/>
      <c r="AZ1122" s="23"/>
      <c r="BA1122" s="23">
        <v>1</v>
      </c>
      <c r="BB1122" s="223"/>
      <c r="BC1122" s="223"/>
      <c r="BD1122" s="270">
        <v>2018</v>
      </c>
      <c r="BE1122" s="270"/>
      <c r="BF1122" s="268"/>
    </row>
    <row r="1123" spans="1:58" s="204" customFormat="1" ht="18" customHeight="1">
      <c r="A1123" s="160" t="s">
        <v>1</v>
      </c>
      <c r="B1123" s="58" t="s">
        <v>320</v>
      </c>
      <c r="C1123" s="66" t="s">
        <v>1033</v>
      </c>
      <c r="D1123" s="33" t="s">
        <v>387</v>
      </c>
      <c r="E1123" s="33"/>
      <c r="F1123" s="33"/>
      <c r="G1123" s="33"/>
      <c r="H1123" s="30" t="s">
        <v>663</v>
      </c>
      <c r="I1123" s="30">
        <v>543</v>
      </c>
      <c r="J1123" s="212">
        <v>41365</v>
      </c>
      <c r="K1123" s="158"/>
      <c r="L1123" s="158"/>
      <c r="M1123" s="158">
        <v>1</v>
      </c>
      <c r="N1123" s="158">
        <v>1</v>
      </c>
      <c r="O1123" s="23"/>
      <c r="P1123" s="158">
        <v>51670509</v>
      </c>
      <c r="Q1123" s="158"/>
      <c r="R1123" s="158"/>
      <c r="S1123" s="324"/>
      <c r="T1123" s="586">
        <v>28620626</v>
      </c>
      <c r="U1123" s="158">
        <v>10</v>
      </c>
      <c r="V1123" s="311"/>
      <c r="W1123" s="311"/>
      <c r="X1123" s="311"/>
      <c r="Y1123" s="158"/>
      <c r="Z1123" s="158">
        <v>10</v>
      </c>
      <c r="AA1123" s="158"/>
      <c r="AB1123" s="158"/>
      <c r="AC1123" s="158"/>
      <c r="AD1123" s="158"/>
      <c r="AE1123" s="158">
        <f t="shared" ref="AE1123:AE1132" si="180">P1123-T1123-Y1123</f>
        <v>23049883</v>
      </c>
      <c r="AF1123" s="158"/>
      <c r="AG1123" s="94">
        <v>0</v>
      </c>
      <c r="AH1123" s="94"/>
      <c r="AI1123" s="94"/>
      <c r="AJ1123" s="158">
        <f t="shared" ref="AJ1123:AJ1132" si="181">AE1123+AG1123</f>
        <v>23049883</v>
      </c>
      <c r="AK1123" s="158">
        <v>980</v>
      </c>
      <c r="AL1123" s="158">
        <v>10</v>
      </c>
      <c r="AM1123" s="158"/>
      <c r="AN1123" s="158">
        <v>1</v>
      </c>
      <c r="AO1123" s="50"/>
      <c r="AP1123" s="23"/>
      <c r="AQ1123" s="23"/>
      <c r="AR1123" s="23"/>
      <c r="AS1123" s="2">
        <v>0</v>
      </c>
      <c r="AT1123" s="58" t="s">
        <v>38</v>
      </c>
      <c r="AU1123" s="386" t="s">
        <v>1879</v>
      </c>
      <c r="AV1123" s="23"/>
      <c r="AW1123" s="50"/>
      <c r="AX1123" s="50"/>
      <c r="AY1123" s="50"/>
      <c r="AZ1123" s="50"/>
      <c r="BA1123" s="50"/>
      <c r="BB1123" s="293"/>
      <c r="BC1123" s="293"/>
      <c r="BD1123" s="271"/>
      <c r="BE1123" s="271">
        <v>2019</v>
      </c>
      <c r="BF1123" s="271">
        <v>2020</v>
      </c>
    </row>
    <row r="1124" spans="1:58" ht="18" hidden="1" customHeight="1">
      <c r="A1124" s="160" t="s">
        <v>1</v>
      </c>
      <c r="B1124" s="58" t="s">
        <v>320</v>
      </c>
      <c r="C1124" s="66" t="s">
        <v>1094</v>
      </c>
      <c r="D1124" s="33" t="s">
        <v>438</v>
      </c>
      <c r="E1124" s="33"/>
      <c r="F1124" s="33"/>
      <c r="G1124" s="33"/>
      <c r="H1124" s="30" t="s">
        <v>1058</v>
      </c>
      <c r="I1124" s="30">
        <v>94</v>
      </c>
      <c r="J1124" s="212">
        <v>43371</v>
      </c>
      <c r="K1124" s="23"/>
      <c r="L1124" s="23">
        <v>1</v>
      </c>
      <c r="M1124" s="158"/>
      <c r="N1124" s="158"/>
      <c r="O1124" s="158"/>
      <c r="P1124" s="158">
        <v>77425000</v>
      </c>
      <c r="Q1124" s="158"/>
      <c r="R1124" s="158"/>
      <c r="S1124" s="158"/>
      <c r="T1124" s="586">
        <v>77425000</v>
      </c>
      <c r="U1124" s="158">
        <v>20</v>
      </c>
      <c r="V1124" s="311">
        <v>43586</v>
      </c>
      <c r="W1124" s="311"/>
      <c r="X1124" s="311"/>
      <c r="Y1124" s="23"/>
      <c r="Z1124" s="158"/>
      <c r="AA1124" s="158"/>
      <c r="AB1124" s="158"/>
      <c r="AC1124" s="158"/>
      <c r="AD1124" s="158"/>
      <c r="AE1124" s="158">
        <f t="shared" si="180"/>
        <v>0</v>
      </c>
      <c r="AF1124" s="158"/>
      <c r="AG1124" s="94">
        <v>0</v>
      </c>
      <c r="AH1124" s="94"/>
      <c r="AI1124" s="94"/>
      <c r="AJ1124" s="158">
        <f t="shared" si="181"/>
        <v>0</v>
      </c>
      <c r="AK1124" s="158">
        <v>877</v>
      </c>
      <c r="AL1124" s="158">
        <v>20</v>
      </c>
      <c r="AM1124" s="158"/>
      <c r="AN1124" s="158"/>
      <c r="AO1124" s="23"/>
      <c r="AP1124" s="23"/>
      <c r="AQ1124" s="23"/>
      <c r="AR1124" s="23"/>
      <c r="AS1124" s="2">
        <v>1</v>
      </c>
      <c r="AT1124" s="58" t="s">
        <v>646</v>
      </c>
      <c r="AU1124" s="386" t="s">
        <v>1402</v>
      </c>
      <c r="AV1124" s="23"/>
      <c r="AW1124" s="50"/>
      <c r="AX1124" s="50"/>
      <c r="AY1124" s="23">
        <v>1</v>
      </c>
      <c r="AZ1124" s="23"/>
      <c r="BA1124" s="50"/>
      <c r="BB1124" s="223">
        <v>1</v>
      </c>
      <c r="BC1124" s="223"/>
      <c r="BD1124" s="270">
        <v>2019</v>
      </c>
      <c r="BE1124" s="270">
        <v>2019</v>
      </c>
      <c r="BF1124" s="271"/>
    </row>
    <row r="1125" spans="1:58" s="204" customFormat="1" ht="18" customHeight="1">
      <c r="A1125" s="160" t="s">
        <v>1</v>
      </c>
      <c r="B1125" s="58" t="s">
        <v>320</v>
      </c>
      <c r="C1125" s="66" t="s">
        <v>1095</v>
      </c>
      <c r="D1125" s="33" t="s">
        <v>387</v>
      </c>
      <c r="E1125" s="33"/>
      <c r="F1125" s="33"/>
      <c r="G1125" s="33"/>
      <c r="H1125" s="30" t="s">
        <v>1058</v>
      </c>
      <c r="I1125" s="30">
        <v>95</v>
      </c>
      <c r="J1125" s="212">
        <v>43371</v>
      </c>
      <c r="K1125" s="158"/>
      <c r="L1125" s="158"/>
      <c r="M1125" s="158">
        <v>1</v>
      </c>
      <c r="N1125" s="158">
        <v>1</v>
      </c>
      <c r="O1125" s="23"/>
      <c r="P1125" s="158">
        <v>63554145</v>
      </c>
      <c r="Q1125" s="158"/>
      <c r="R1125" s="158"/>
      <c r="S1125" s="158"/>
      <c r="T1125" s="586">
        <v>28599365</v>
      </c>
      <c r="U1125" s="158">
        <v>20</v>
      </c>
      <c r="V1125" s="311">
        <v>43617</v>
      </c>
      <c r="W1125" s="311"/>
      <c r="X1125" s="311"/>
      <c r="Y1125" s="23">
        <v>34954780</v>
      </c>
      <c r="Z1125" s="158">
        <v>20</v>
      </c>
      <c r="AA1125" s="311">
        <v>43739</v>
      </c>
      <c r="AB1125" s="311"/>
      <c r="AC1125" s="158"/>
      <c r="AD1125" s="158"/>
      <c r="AE1125" s="158">
        <f t="shared" si="180"/>
        <v>0</v>
      </c>
      <c r="AF1125" s="158"/>
      <c r="AG1125" s="94">
        <v>0</v>
      </c>
      <c r="AH1125" s="94"/>
      <c r="AI1125" s="94"/>
      <c r="AJ1125" s="158">
        <f t="shared" si="181"/>
        <v>0</v>
      </c>
      <c r="AK1125" s="158">
        <v>877</v>
      </c>
      <c r="AL1125" s="158">
        <v>20</v>
      </c>
      <c r="AM1125" s="158"/>
      <c r="AN1125" s="158">
        <v>1</v>
      </c>
      <c r="AO1125" s="23"/>
      <c r="AP1125" s="23"/>
      <c r="AQ1125" s="23"/>
      <c r="AR1125" s="23"/>
      <c r="AS1125" s="2">
        <v>0.45</v>
      </c>
      <c r="AT1125" s="58" t="s">
        <v>38</v>
      </c>
      <c r="AU1125" s="386" t="s">
        <v>1403</v>
      </c>
      <c r="AV1125" s="23"/>
      <c r="AW1125" s="50"/>
      <c r="AX1125" s="50"/>
      <c r="AY1125" s="50"/>
      <c r="AZ1125" s="50"/>
      <c r="BA1125" s="50"/>
      <c r="BB1125" s="293"/>
      <c r="BC1125" s="293"/>
      <c r="BD1125" s="271"/>
      <c r="BE1125" s="271">
        <v>2019</v>
      </c>
      <c r="BF1125" s="271">
        <v>2020</v>
      </c>
    </row>
    <row r="1126" spans="1:58" s="204" customFormat="1" ht="18" customHeight="1">
      <c r="A1126" s="160" t="s">
        <v>1</v>
      </c>
      <c r="B1126" s="58" t="s">
        <v>320</v>
      </c>
      <c r="C1126" s="66" t="s">
        <v>1096</v>
      </c>
      <c r="D1126" s="33" t="s">
        <v>387</v>
      </c>
      <c r="E1126" s="33"/>
      <c r="F1126" s="33"/>
      <c r="G1126" s="33"/>
      <c r="H1126" s="30" t="s">
        <v>1058</v>
      </c>
      <c r="I1126" s="30">
        <v>96</v>
      </c>
      <c r="J1126" s="212">
        <v>43371</v>
      </c>
      <c r="K1126" s="158"/>
      <c r="L1126" s="158"/>
      <c r="M1126" s="158">
        <v>1</v>
      </c>
      <c r="N1126" s="158">
        <v>1</v>
      </c>
      <c r="O1126" s="23"/>
      <c r="P1126" s="158">
        <v>55730850</v>
      </c>
      <c r="Q1126" s="158"/>
      <c r="R1126" s="158"/>
      <c r="S1126" s="158"/>
      <c r="T1126" s="586"/>
      <c r="U1126" s="158"/>
      <c r="V1126" s="311"/>
      <c r="W1126" s="311"/>
      <c r="X1126" s="311"/>
      <c r="Y1126" s="23"/>
      <c r="Z1126" s="158"/>
      <c r="AA1126" s="158"/>
      <c r="AB1126" s="158"/>
      <c r="AC1126" s="158"/>
      <c r="AD1126" s="158"/>
      <c r="AE1126" s="158">
        <f t="shared" si="180"/>
        <v>55730850</v>
      </c>
      <c r="AF1126" s="158"/>
      <c r="AG1126" s="94">
        <v>0</v>
      </c>
      <c r="AH1126" s="94"/>
      <c r="AI1126" s="94"/>
      <c r="AJ1126" s="158">
        <f t="shared" si="181"/>
        <v>55730850</v>
      </c>
      <c r="AK1126" s="158">
        <v>877</v>
      </c>
      <c r="AL1126" s="158">
        <v>20</v>
      </c>
      <c r="AM1126" s="158">
        <v>1</v>
      </c>
      <c r="AN1126" s="158"/>
      <c r="AO1126" s="23"/>
      <c r="AP1126" s="23"/>
      <c r="AQ1126" s="23"/>
      <c r="AR1126" s="23"/>
      <c r="AS1126" s="2">
        <v>0</v>
      </c>
      <c r="AT1126" s="58" t="s">
        <v>521</v>
      </c>
      <c r="AU1126" s="386"/>
      <c r="AV1126" s="23"/>
      <c r="AW1126" s="50"/>
      <c r="AX1126" s="50"/>
      <c r="AY1126" s="50"/>
      <c r="AZ1126" s="50"/>
      <c r="BA1126" s="50"/>
      <c r="BB1126" s="293"/>
      <c r="BC1126" s="293"/>
      <c r="BD1126" s="271"/>
      <c r="BE1126" s="271">
        <v>2019</v>
      </c>
      <c r="BF1126" s="271">
        <v>2020</v>
      </c>
    </row>
    <row r="1127" spans="1:58" s="204" customFormat="1" ht="18" customHeight="1">
      <c r="A1127" s="160" t="s">
        <v>1</v>
      </c>
      <c r="B1127" s="58" t="s">
        <v>320</v>
      </c>
      <c r="C1127" s="66" t="s">
        <v>1097</v>
      </c>
      <c r="D1127" s="33" t="s">
        <v>387</v>
      </c>
      <c r="E1127" s="33"/>
      <c r="F1127" s="33"/>
      <c r="G1127" s="33"/>
      <c r="H1127" s="30" t="s">
        <v>1058</v>
      </c>
      <c r="I1127" s="30">
        <v>97</v>
      </c>
      <c r="J1127" s="212">
        <v>43371</v>
      </c>
      <c r="K1127" s="158"/>
      <c r="L1127" s="158"/>
      <c r="M1127" s="158">
        <v>1</v>
      </c>
      <c r="N1127" s="158">
        <v>1</v>
      </c>
      <c r="O1127" s="23"/>
      <c r="P1127" s="158">
        <v>63507500</v>
      </c>
      <c r="Q1127" s="158"/>
      <c r="R1127" s="158"/>
      <c r="S1127" s="158"/>
      <c r="T1127" s="586">
        <v>28578375</v>
      </c>
      <c r="U1127" s="158">
        <v>20</v>
      </c>
      <c r="V1127" s="311">
        <v>43586</v>
      </c>
      <c r="W1127" s="311"/>
      <c r="X1127" s="311"/>
      <c r="Y1127" s="23"/>
      <c r="Z1127" s="158"/>
      <c r="AA1127" s="158"/>
      <c r="AB1127" s="158"/>
      <c r="AC1127" s="158"/>
      <c r="AD1127" s="158"/>
      <c r="AE1127" s="158">
        <f t="shared" si="180"/>
        <v>34929125</v>
      </c>
      <c r="AF1127" s="158"/>
      <c r="AG1127" s="94">
        <v>0</v>
      </c>
      <c r="AH1127" s="94"/>
      <c r="AI1127" s="94"/>
      <c r="AJ1127" s="158">
        <f t="shared" si="181"/>
        <v>34929125</v>
      </c>
      <c r="AK1127" s="158">
        <v>877</v>
      </c>
      <c r="AL1127" s="158">
        <v>20</v>
      </c>
      <c r="AM1127" s="158"/>
      <c r="AN1127" s="158">
        <v>1</v>
      </c>
      <c r="AO1127" s="23"/>
      <c r="AP1127" s="23"/>
      <c r="AQ1127" s="23"/>
      <c r="AR1127" s="23"/>
      <c r="AS1127" s="2">
        <v>0.45</v>
      </c>
      <c r="AT1127" s="58" t="s">
        <v>38</v>
      </c>
      <c r="AU1127" s="386" t="s">
        <v>1401</v>
      </c>
      <c r="AV1127" s="23"/>
      <c r="AW1127" s="50"/>
      <c r="AX1127" s="50"/>
      <c r="AY1127" s="50"/>
      <c r="AZ1127" s="50"/>
      <c r="BA1127" s="50"/>
      <c r="BB1127" s="293"/>
      <c r="BC1127" s="293"/>
      <c r="BD1127" s="271"/>
      <c r="BE1127" s="271">
        <v>2019</v>
      </c>
      <c r="BF1127" s="271">
        <v>2020</v>
      </c>
    </row>
    <row r="1128" spans="1:58" ht="25.5" hidden="1" customHeight="1">
      <c r="A1128" s="160" t="s">
        <v>1</v>
      </c>
      <c r="B1128" s="58" t="s">
        <v>320</v>
      </c>
      <c r="C1128" s="66" t="s">
        <v>595</v>
      </c>
      <c r="D1128" s="33" t="s">
        <v>387</v>
      </c>
      <c r="E1128" s="33"/>
      <c r="F1128" s="33"/>
      <c r="G1128" s="33"/>
      <c r="H1128" s="30" t="s">
        <v>1058</v>
      </c>
      <c r="I1128" s="115" t="s">
        <v>1868</v>
      </c>
      <c r="J1128" s="215" t="s">
        <v>1869</v>
      </c>
      <c r="K1128" s="158"/>
      <c r="L1128" s="158"/>
      <c r="M1128" s="158">
        <v>1</v>
      </c>
      <c r="N1128" s="158"/>
      <c r="O1128" s="158"/>
      <c r="P1128" s="158">
        <f>55607384+7994008</f>
        <v>63601392</v>
      </c>
      <c r="Q1128" s="158"/>
      <c r="R1128" s="158"/>
      <c r="S1128" s="158"/>
      <c r="T1128" s="586"/>
      <c r="U1128" s="158"/>
      <c r="V1128" s="311"/>
      <c r="W1128" s="311"/>
      <c r="X1128" s="311"/>
      <c r="Y1128" s="23"/>
      <c r="Z1128" s="158"/>
      <c r="AA1128" s="311"/>
      <c r="AB1128" s="311"/>
      <c r="AC1128" s="158">
        <v>63601392</v>
      </c>
      <c r="AD1128" s="158"/>
      <c r="AE1128" s="158">
        <f>P1128-T1128-Y1128-AC1128</f>
        <v>0</v>
      </c>
      <c r="AF1128" s="158"/>
      <c r="AG1128" s="94">
        <v>0</v>
      </c>
      <c r="AH1128" s="94"/>
      <c r="AI1128" s="94"/>
      <c r="AJ1128" s="158">
        <f t="shared" si="181"/>
        <v>0</v>
      </c>
      <c r="AK1128" s="158">
        <v>877</v>
      </c>
      <c r="AL1128" s="158">
        <v>20</v>
      </c>
      <c r="AM1128" s="158"/>
      <c r="AN1128" s="158"/>
      <c r="AO1128" s="23"/>
      <c r="AP1128" s="23"/>
      <c r="AQ1128" s="23"/>
      <c r="AR1128" s="23"/>
      <c r="AS1128" s="2">
        <v>0</v>
      </c>
      <c r="AT1128" s="58" t="s">
        <v>1797</v>
      </c>
      <c r="AU1128" s="455" t="s">
        <v>1870</v>
      </c>
      <c r="AV1128" s="23"/>
      <c r="AW1128" s="50"/>
      <c r="AX1128" s="50"/>
      <c r="AY1128" s="50"/>
      <c r="AZ1128" s="50"/>
      <c r="BA1128" s="50"/>
      <c r="BB1128" s="293"/>
      <c r="BC1128" s="23">
        <v>1</v>
      </c>
      <c r="BD1128" s="270" t="s">
        <v>1706</v>
      </c>
      <c r="BE1128" s="270">
        <v>2019</v>
      </c>
      <c r="BF1128" s="271"/>
    </row>
    <row r="1129" spans="1:58" s="204" customFormat="1" ht="18" customHeight="1">
      <c r="A1129" s="160" t="s">
        <v>1</v>
      </c>
      <c r="B1129" s="58" t="s">
        <v>320</v>
      </c>
      <c r="C1129" s="66" t="s">
        <v>1098</v>
      </c>
      <c r="D1129" s="33" t="s">
        <v>387</v>
      </c>
      <c r="E1129" s="33"/>
      <c r="F1129" s="33"/>
      <c r="G1129" s="33"/>
      <c r="H1129" s="30" t="s">
        <v>1058</v>
      </c>
      <c r="I1129" s="30">
        <v>99</v>
      </c>
      <c r="J1129" s="212">
        <v>43371</v>
      </c>
      <c r="K1129" s="158"/>
      <c r="L1129" s="158"/>
      <c r="M1129" s="158">
        <v>1</v>
      </c>
      <c r="N1129" s="158">
        <v>1</v>
      </c>
      <c r="O1129" s="23"/>
      <c r="P1129" s="158">
        <v>63597560</v>
      </c>
      <c r="Q1129" s="158"/>
      <c r="R1129" s="158"/>
      <c r="S1129" s="158"/>
      <c r="T1129" s="586">
        <v>28618902</v>
      </c>
      <c r="U1129" s="158">
        <v>20</v>
      </c>
      <c r="V1129" s="311">
        <v>43800</v>
      </c>
      <c r="W1129" s="311"/>
      <c r="X1129" s="311"/>
      <c r="Y1129" s="23"/>
      <c r="Z1129" s="158"/>
      <c r="AA1129" s="158"/>
      <c r="AB1129" s="158"/>
      <c r="AC1129" s="158"/>
      <c r="AD1129" s="158"/>
      <c r="AE1129" s="158">
        <f t="shared" si="180"/>
        <v>34978658</v>
      </c>
      <c r="AF1129" s="158"/>
      <c r="AG1129" s="94">
        <v>0</v>
      </c>
      <c r="AH1129" s="94"/>
      <c r="AI1129" s="94"/>
      <c r="AJ1129" s="158">
        <f t="shared" si="181"/>
        <v>34978658</v>
      </c>
      <c r="AK1129" s="158">
        <v>877</v>
      </c>
      <c r="AL1129" s="158">
        <v>20</v>
      </c>
      <c r="AM1129" s="158">
        <v>1</v>
      </c>
      <c r="AN1129" s="158"/>
      <c r="AO1129" s="23"/>
      <c r="AP1129" s="23"/>
      <c r="AQ1129" s="23"/>
      <c r="AR1129" s="23"/>
      <c r="AS1129" s="2">
        <v>0</v>
      </c>
      <c r="AT1129" s="58" t="s">
        <v>521</v>
      </c>
      <c r="AU1129" s="386"/>
      <c r="AV1129" s="23"/>
      <c r="AW1129" s="50"/>
      <c r="AX1129" s="50"/>
      <c r="AY1129" s="50"/>
      <c r="AZ1129" s="50"/>
      <c r="BA1129" s="50"/>
      <c r="BB1129" s="293"/>
      <c r="BC1129" s="293"/>
      <c r="BD1129" s="271"/>
      <c r="BE1129" s="271">
        <v>2019</v>
      </c>
      <c r="BF1129" s="271">
        <v>2020</v>
      </c>
    </row>
    <row r="1130" spans="1:58" s="204" customFormat="1" ht="18" customHeight="1">
      <c r="A1130" s="160" t="s">
        <v>1</v>
      </c>
      <c r="B1130" s="58" t="s">
        <v>320</v>
      </c>
      <c r="C1130" s="66" t="s">
        <v>1099</v>
      </c>
      <c r="D1130" s="33" t="s">
        <v>387</v>
      </c>
      <c r="E1130" s="33"/>
      <c r="F1130" s="33"/>
      <c r="G1130" s="33"/>
      <c r="H1130" s="30" t="s">
        <v>1058</v>
      </c>
      <c r="I1130" s="30">
        <v>100</v>
      </c>
      <c r="J1130" s="212">
        <v>43371</v>
      </c>
      <c r="K1130" s="158"/>
      <c r="L1130" s="158"/>
      <c r="M1130" s="158">
        <v>1</v>
      </c>
      <c r="N1130" s="158">
        <v>1</v>
      </c>
      <c r="O1130" s="23"/>
      <c r="P1130" s="158">
        <v>58294473</v>
      </c>
      <c r="Q1130" s="158"/>
      <c r="R1130" s="158"/>
      <c r="S1130" s="158"/>
      <c r="T1130" s="586">
        <v>26232513</v>
      </c>
      <c r="U1130" s="158">
        <v>20</v>
      </c>
      <c r="V1130" s="311">
        <v>43586</v>
      </c>
      <c r="W1130" s="311"/>
      <c r="X1130" s="311"/>
      <c r="Y1130" s="23"/>
      <c r="Z1130" s="158"/>
      <c r="AA1130" s="158"/>
      <c r="AB1130" s="158"/>
      <c r="AC1130" s="158"/>
      <c r="AD1130" s="158"/>
      <c r="AE1130" s="158">
        <f t="shared" si="180"/>
        <v>32061960</v>
      </c>
      <c r="AF1130" s="158"/>
      <c r="AG1130" s="94">
        <v>0</v>
      </c>
      <c r="AH1130" s="94"/>
      <c r="AI1130" s="94"/>
      <c r="AJ1130" s="158">
        <f t="shared" si="181"/>
        <v>32061960</v>
      </c>
      <c r="AK1130" s="158">
        <v>877</v>
      </c>
      <c r="AL1130" s="158">
        <v>20</v>
      </c>
      <c r="AM1130" s="158"/>
      <c r="AN1130" s="158">
        <v>1</v>
      </c>
      <c r="AO1130" s="23"/>
      <c r="AP1130" s="23"/>
      <c r="AQ1130" s="23"/>
      <c r="AR1130" s="23"/>
      <c r="AS1130" s="2">
        <v>0.45</v>
      </c>
      <c r="AT1130" s="58" t="s">
        <v>38</v>
      </c>
      <c r="AU1130" s="386" t="s">
        <v>1401</v>
      </c>
      <c r="AV1130" s="23"/>
      <c r="AW1130" s="50"/>
      <c r="AX1130" s="50"/>
      <c r="AY1130" s="50"/>
      <c r="AZ1130" s="50"/>
      <c r="BA1130" s="50"/>
      <c r="BB1130" s="293"/>
      <c r="BC1130" s="293"/>
      <c r="BD1130" s="271"/>
      <c r="BE1130" s="271">
        <v>2019</v>
      </c>
      <c r="BF1130" s="271">
        <v>2020</v>
      </c>
    </row>
    <row r="1131" spans="1:58" s="204" customFormat="1" ht="18" customHeight="1">
      <c r="A1131" s="160" t="s">
        <v>1</v>
      </c>
      <c r="B1131" s="58" t="s">
        <v>320</v>
      </c>
      <c r="C1131" s="66" t="s">
        <v>1100</v>
      </c>
      <c r="D1131" s="33" t="s">
        <v>387</v>
      </c>
      <c r="E1131" s="33"/>
      <c r="F1131" s="33"/>
      <c r="G1131" s="33"/>
      <c r="H1131" s="30" t="s">
        <v>1058</v>
      </c>
      <c r="I1131" s="30">
        <v>105</v>
      </c>
      <c r="J1131" s="212">
        <v>43371</v>
      </c>
      <c r="K1131" s="158"/>
      <c r="L1131" s="158"/>
      <c r="M1131" s="158">
        <v>1</v>
      </c>
      <c r="N1131" s="158">
        <v>1</v>
      </c>
      <c r="O1131" s="23"/>
      <c r="P1131" s="158">
        <v>56106320</v>
      </c>
      <c r="Q1131" s="158"/>
      <c r="R1131" s="158"/>
      <c r="S1131" s="158"/>
      <c r="T1131" s="586">
        <v>25247844</v>
      </c>
      <c r="U1131" s="158">
        <v>20</v>
      </c>
      <c r="V1131" s="311">
        <v>43586</v>
      </c>
      <c r="W1131" s="311"/>
      <c r="X1131" s="311"/>
      <c r="Y1131" s="23">
        <v>30858476</v>
      </c>
      <c r="Z1131" s="158">
        <v>20</v>
      </c>
      <c r="AA1131" s="311">
        <v>43770</v>
      </c>
      <c r="AB1131" s="311"/>
      <c r="AC1131" s="158"/>
      <c r="AD1131" s="158"/>
      <c r="AE1131" s="158">
        <f t="shared" si="180"/>
        <v>0</v>
      </c>
      <c r="AF1131" s="158"/>
      <c r="AG1131" s="94">
        <v>0</v>
      </c>
      <c r="AH1131" s="94"/>
      <c r="AI1131" s="94"/>
      <c r="AJ1131" s="158">
        <f t="shared" si="181"/>
        <v>0</v>
      </c>
      <c r="AK1131" s="158">
        <v>877</v>
      </c>
      <c r="AL1131" s="158">
        <v>20</v>
      </c>
      <c r="AM1131" s="158"/>
      <c r="AN1131" s="158">
        <v>1</v>
      </c>
      <c r="AO1131" s="23"/>
      <c r="AP1131" s="23"/>
      <c r="AQ1131" s="23"/>
      <c r="AR1131" s="23"/>
      <c r="AS1131" s="2">
        <v>0.45</v>
      </c>
      <c r="AT1131" s="58" t="s">
        <v>38</v>
      </c>
      <c r="AU1131" s="386" t="s">
        <v>1401</v>
      </c>
      <c r="AV1131" s="23"/>
      <c r="AW1131" s="50"/>
      <c r="AX1131" s="50"/>
      <c r="AY1131" s="50"/>
      <c r="AZ1131" s="50"/>
      <c r="BA1131" s="50"/>
      <c r="BB1131" s="293"/>
      <c r="BC1131" s="293"/>
      <c r="BD1131" s="271"/>
      <c r="BE1131" s="271">
        <v>2019</v>
      </c>
      <c r="BF1131" s="271">
        <v>2020</v>
      </c>
    </row>
    <row r="1132" spans="1:58" s="204" customFormat="1" ht="18" customHeight="1">
      <c r="A1132" s="160" t="s">
        <v>1</v>
      </c>
      <c r="B1132" s="58" t="s">
        <v>320</v>
      </c>
      <c r="C1132" s="66" t="s">
        <v>1101</v>
      </c>
      <c r="D1132" s="33" t="s">
        <v>387</v>
      </c>
      <c r="E1132" s="33"/>
      <c r="F1132" s="33"/>
      <c r="G1132" s="33"/>
      <c r="H1132" s="30" t="s">
        <v>1058</v>
      </c>
      <c r="I1132" s="30">
        <v>125</v>
      </c>
      <c r="J1132" s="212">
        <v>43376</v>
      </c>
      <c r="K1132" s="158"/>
      <c r="L1132" s="158"/>
      <c r="M1132" s="158">
        <v>1</v>
      </c>
      <c r="N1132" s="158">
        <v>1</v>
      </c>
      <c r="O1132" s="23"/>
      <c r="P1132" s="158">
        <v>62534985</v>
      </c>
      <c r="Q1132" s="158"/>
      <c r="R1132" s="158"/>
      <c r="S1132" s="158"/>
      <c r="T1132" s="586">
        <v>28140743</v>
      </c>
      <c r="U1132" s="158">
        <v>20</v>
      </c>
      <c r="V1132" s="311">
        <v>43647</v>
      </c>
      <c r="W1132" s="311"/>
      <c r="X1132" s="311"/>
      <c r="Y1132" s="23">
        <v>34394242</v>
      </c>
      <c r="Z1132" s="158">
        <v>20</v>
      </c>
      <c r="AA1132" s="311">
        <v>43800</v>
      </c>
      <c r="AB1132" s="311"/>
      <c r="AC1132" s="158"/>
      <c r="AD1132" s="158"/>
      <c r="AE1132" s="158">
        <f t="shared" si="180"/>
        <v>0</v>
      </c>
      <c r="AF1132" s="158"/>
      <c r="AG1132" s="94">
        <v>0</v>
      </c>
      <c r="AH1132" s="94"/>
      <c r="AI1132" s="94"/>
      <c r="AJ1132" s="158">
        <f t="shared" si="181"/>
        <v>0</v>
      </c>
      <c r="AK1132" s="158">
        <v>877</v>
      </c>
      <c r="AL1132" s="158">
        <v>20</v>
      </c>
      <c r="AM1132" s="158"/>
      <c r="AN1132" s="158">
        <v>1</v>
      </c>
      <c r="AO1132" s="50"/>
      <c r="AP1132" s="23"/>
      <c r="AQ1132" s="23"/>
      <c r="AR1132" s="23"/>
      <c r="AS1132" s="2">
        <v>0</v>
      </c>
      <c r="AT1132" s="58" t="s">
        <v>38</v>
      </c>
      <c r="AU1132" s="386" t="s">
        <v>1873</v>
      </c>
      <c r="AV1132" s="23"/>
      <c r="AW1132" s="50"/>
      <c r="AX1132" s="50"/>
      <c r="AY1132" s="50"/>
      <c r="AZ1132" s="50"/>
      <c r="BA1132" s="50"/>
      <c r="BB1132" s="293"/>
      <c r="BC1132" s="293"/>
      <c r="BD1132" s="271"/>
      <c r="BE1132" s="271">
        <v>2019</v>
      </c>
      <c r="BF1132" s="271">
        <v>2020</v>
      </c>
    </row>
    <row r="1133" spans="1:58" ht="15" hidden="1" customHeight="1">
      <c r="A1133" s="160" t="s">
        <v>1</v>
      </c>
      <c r="B1133" s="58" t="s">
        <v>320</v>
      </c>
      <c r="C1133" s="66" t="s">
        <v>1179</v>
      </c>
      <c r="D1133" s="33" t="s">
        <v>1183</v>
      </c>
      <c r="E1133" s="33"/>
      <c r="F1133" s="33"/>
      <c r="G1133" s="33"/>
      <c r="H1133" s="30" t="s">
        <v>647</v>
      </c>
      <c r="I1133" s="30"/>
      <c r="J1133" s="212"/>
      <c r="K1133" s="158"/>
      <c r="L1133" s="158"/>
      <c r="M1133" s="158"/>
      <c r="N1133" s="158"/>
      <c r="O1133" s="158"/>
      <c r="P1133" s="158"/>
      <c r="Q1133" s="158"/>
      <c r="R1133" s="158"/>
      <c r="S1133" s="158"/>
      <c r="T1133" s="586"/>
      <c r="U1133" s="158"/>
      <c r="V1133" s="311"/>
      <c r="W1133" s="311"/>
      <c r="X1133" s="311"/>
      <c r="Y1133" s="23"/>
      <c r="Z1133" s="158"/>
      <c r="AA1133" s="158"/>
      <c r="AB1133" s="158"/>
      <c r="AC1133" s="158"/>
      <c r="AD1133" s="158"/>
      <c r="AE1133" s="158"/>
      <c r="AF1133" s="158"/>
      <c r="AG1133" s="158"/>
      <c r="AH1133" s="158"/>
      <c r="AI1133" s="158"/>
      <c r="AJ1133" s="158"/>
      <c r="AK1133" s="158"/>
      <c r="AL1133" s="158"/>
      <c r="AM1133" s="158"/>
      <c r="AN1133" s="158"/>
      <c r="AO1133" s="158"/>
      <c r="AP1133" s="23"/>
      <c r="AQ1133" s="23"/>
      <c r="AR1133" s="23"/>
      <c r="AS1133" s="2">
        <v>1</v>
      </c>
      <c r="AT1133" s="58" t="s">
        <v>646</v>
      </c>
      <c r="AU1133" s="105"/>
      <c r="AV1133" s="23"/>
      <c r="AW1133" s="50"/>
      <c r="AX1133" s="158">
        <v>1</v>
      </c>
      <c r="AY1133" s="158"/>
      <c r="AZ1133" s="158"/>
      <c r="BA1133" s="158">
        <v>1</v>
      </c>
      <c r="BB1133" s="69"/>
      <c r="BC1133" s="69"/>
      <c r="BD1133" s="270">
        <v>2018</v>
      </c>
      <c r="BE1133" s="270"/>
      <c r="BF1133" s="268"/>
    </row>
    <row r="1134" spans="1:58" s="204" customFormat="1" ht="18" customHeight="1">
      <c r="A1134" s="160" t="s">
        <v>1</v>
      </c>
      <c r="B1134" s="58" t="s">
        <v>320</v>
      </c>
      <c r="C1134" s="66" t="s">
        <v>1180</v>
      </c>
      <c r="D1134" s="33" t="s">
        <v>387</v>
      </c>
      <c r="E1134" s="33"/>
      <c r="F1134" s="33"/>
      <c r="G1134" s="33"/>
      <c r="H1134" s="30" t="s">
        <v>647</v>
      </c>
      <c r="I1134" s="30">
        <v>1651</v>
      </c>
      <c r="J1134" s="212">
        <v>43263</v>
      </c>
      <c r="K1134" s="158"/>
      <c r="L1134" s="158"/>
      <c r="M1134" s="158">
        <v>1</v>
      </c>
      <c r="N1134" s="158">
        <v>1</v>
      </c>
      <c r="O1134" s="23"/>
      <c r="P1134" s="158">
        <v>63601392</v>
      </c>
      <c r="Q1134" s="158"/>
      <c r="R1134" s="158"/>
      <c r="S1134" s="158"/>
      <c r="T1134" s="586">
        <v>28620626</v>
      </c>
      <c r="U1134" s="158">
        <v>10</v>
      </c>
      <c r="V1134" s="311"/>
      <c r="W1134" s="311"/>
      <c r="X1134" s="311"/>
      <c r="Y1134" s="23">
        <v>34980766</v>
      </c>
      <c r="Z1134" s="158">
        <v>10</v>
      </c>
      <c r="AA1134" s="311">
        <v>43497</v>
      </c>
      <c r="AB1134" s="311"/>
      <c r="AC1134" s="158"/>
      <c r="AD1134" s="158"/>
      <c r="AE1134" s="158">
        <f>P1134-T1134-Y1134</f>
        <v>0</v>
      </c>
      <c r="AF1134" s="158"/>
      <c r="AG1134" s="94">
        <v>0</v>
      </c>
      <c r="AH1134" s="94"/>
      <c r="AI1134" s="94"/>
      <c r="AJ1134" s="158">
        <f t="shared" ref="AJ1134" si="182">AE1134+AG1134</f>
        <v>0</v>
      </c>
      <c r="AK1134" s="158">
        <v>877</v>
      </c>
      <c r="AL1134" s="158">
        <v>10</v>
      </c>
      <c r="AM1134" s="158"/>
      <c r="AN1134" s="158">
        <v>1</v>
      </c>
      <c r="AO1134" s="50"/>
      <c r="AP1134" s="23"/>
      <c r="AQ1134" s="23"/>
      <c r="AR1134" s="23"/>
      <c r="AS1134" s="2">
        <v>0.45</v>
      </c>
      <c r="AT1134" s="58" t="s">
        <v>38</v>
      </c>
      <c r="AU1134" s="386" t="s">
        <v>1394</v>
      </c>
      <c r="AV1134" s="23"/>
      <c r="AW1134" s="50"/>
      <c r="AX1134" s="50"/>
      <c r="AY1134" s="50"/>
      <c r="AZ1134" s="50"/>
      <c r="BA1134" s="50"/>
      <c r="BB1134" s="293"/>
      <c r="BC1134" s="293"/>
      <c r="BD1134" s="271"/>
      <c r="BE1134" s="271">
        <v>2019</v>
      </c>
      <c r="BF1134" s="271">
        <v>2020</v>
      </c>
    </row>
    <row r="1135" spans="1:58" ht="21" hidden="1" customHeight="1">
      <c r="A1135" s="160" t="s">
        <v>1</v>
      </c>
      <c r="B1135" s="58" t="s">
        <v>320</v>
      </c>
      <c r="C1135" s="66" t="s">
        <v>1181</v>
      </c>
      <c r="D1135" s="33" t="s">
        <v>1183</v>
      </c>
      <c r="E1135" s="33"/>
      <c r="F1135" s="33"/>
      <c r="G1135" s="33"/>
      <c r="H1135" s="30" t="s">
        <v>647</v>
      </c>
      <c r="I1135" s="30"/>
      <c r="J1135" s="212"/>
      <c r="K1135" s="158"/>
      <c r="L1135" s="158"/>
      <c r="M1135" s="158"/>
      <c r="N1135" s="158"/>
      <c r="O1135" s="158"/>
      <c r="P1135" s="158"/>
      <c r="Q1135" s="158"/>
      <c r="R1135" s="158"/>
      <c r="S1135" s="158"/>
      <c r="T1135" s="586"/>
      <c r="U1135" s="158"/>
      <c r="V1135" s="311"/>
      <c r="W1135" s="311"/>
      <c r="X1135" s="311"/>
      <c r="Y1135" s="23"/>
      <c r="Z1135" s="158"/>
      <c r="AA1135" s="158"/>
      <c r="AB1135" s="158"/>
      <c r="AC1135" s="158"/>
      <c r="AD1135" s="158"/>
      <c r="AE1135" s="158"/>
      <c r="AF1135" s="158"/>
      <c r="AG1135" s="158"/>
      <c r="AH1135" s="158"/>
      <c r="AI1135" s="158"/>
      <c r="AJ1135" s="158"/>
      <c r="AK1135" s="158"/>
      <c r="AL1135" s="158"/>
      <c r="AM1135" s="158"/>
      <c r="AN1135" s="158"/>
      <c r="AO1135" s="158"/>
      <c r="AP1135" s="23"/>
      <c r="AQ1135" s="23"/>
      <c r="AR1135" s="23"/>
      <c r="AS1135" s="2">
        <v>1</v>
      </c>
      <c r="AT1135" s="58" t="s">
        <v>646</v>
      </c>
      <c r="AU1135" s="105"/>
      <c r="AV1135" s="23"/>
      <c r="AW1135" s="50"/>
      <c r="AX1135" s="158">
        <v>1</v>
      </c>
      <c r="AY1135" s="158"/>
      <c r="AZ1135" s="158"/>
      <c r="BA1135" s="158">
        <v>1</v>
      </c>
      <c r="BB1135" s="69"/>
      <c r="BC1135" s="69"/>
      <c r="BD1135" s="270">
        <v>2018</v>
      </c>
      <c r="BE1135" s="270"/>
      <c r="BF1135" s="268"/>
    </row>
    <row r="1136" spans="1:58" ht="15" hidden="1" customHeight="1">
      <c r="A1136" s="160" t="s">
        <v>1</v>
      </c>
      <c r="B1136" s="58" t="s">
        <v>320</v>
      </c>
      <c r="C1136" s="66" t="s">
        <v>1182</v>
      </c>
      <c r="D1136" s="33" t="s">
        <v>1183</v>
      </c>
      <c r="E1136" s="33"/>
      <c r="F1136" s="33"/>
      <c r="G1136" s="33"/>
      <c r="H1136" s="30" t="s">
        <v>647</v>
      </c>
      <c r="I1136" s="30"/>
      <c r="J1136" s="212"/>
      <c r="K1136" s="158"/>
      <c r="L1136" s="158"/>
      <c r="M1136" s="158"/>
      <c r="N1136" s="158"/>
      <c r="O1136" s="158"/>
      <c r="P1136" s="158"/>
      <c r="Q1136" s="158"/>
      <c r="R1136" s="158"/>
      <c r="S1136" s="158"/>
      <c r="T1136" s="586"/>
      <c r="U1136" s="158"/>
      <c r="V1136" s="311"/>
      <c r="W1136" s="311"/>
      <c r="X1136" s="311"/>
      <c r="Y1136" s="23"/>
      <c r="Z1136" s="158"/>
      <c r="AA1136" s="158"/>
      <c r="AB1136" s="158"/>
      <c r="AC1136" s="158"/>
      <c r="AD1136" s="158"/>
      <c r="AE1136" s="158"/>
      <c r="AF1136" s="158"/>
      <c r="AG1136" s="158"/>
      <c r="AH1136" s="158"/>
      <c r="AI1136" s="158"/>
      <c r="AJ1136" s="158"/>
      <c r="AK1136" s="158"/>
      <c r="AL1136" s="158"/>
      <c r="AM1136" s="158"/>
      <c r="AN1136" s="158"/>
      <c r="AO1136" s="158"/>
      <c r="AP1136" s="23"/>
      <c r="AQ1136" s="23"/>
      <c r="AR1136" s="23"/>
      <c r="AS1136" s="2">
        <v>1</v>
      </c>
      <c r="AT1136" s="58" t="s">
        <v>646</v>
      </c>
      <c r="AU1136" s="105"/>
      <c r="AV1136" s="23"/>
      <c r="AW1136" s="50"/>
      <c r="AX1136" s="158">
        <v>1</v>
      </c>
      <c r="AY1136" s="158"/>
      <c r="AZ1136" s="158"/>
      <c r="BA1136" s="158">
        <v>1</v>
      </c>
      <c r="BB1136" s="69"/>
      <c r="BC1136" s="69"/>
      <c r="BD1136" s="270">
        <v>2018</v>
      </c>
      <c r="BE1136" s="270"/>
      <c r="BF1136" s="268"/>
    </row>
    <row r="1137" spans="1:58" ht="15" hidden="1" customHeight="1">
      <c r="A1137" s="160" t="s">
        <v>1</v>
      </c>
      <c r="B1137" s="58" t="s">
        <v>320</v>
      </c>
      <c r="C1137" s="66" t="s">
        <v>1185</v>
      </c>
      <c r="D1137" s="33" t="s">
        <v>1183</v>
      </c>
      <c r="E1137" s="33"/>
      <c r="F1137" s="33"/>
      <c r="G1137" s="33"/>
      <c r="H1137" s="30" t="s">
        <v>647</v>
      </c>
      <c r="I1137" s="30"/>
      <c r="J1137" s="212"/>
      <c r="K1137" s="158"/>
      <c r="L1137" s="158"/>
      <c r="M1137" s="158"/>
      <c r="N1137" s="158"/>
      <c r="O1137" s="158"/>
      <c r="P1137" s="158"/>
      <c r="Q1137" s="158"/>
      <c r="R1137" s="158"/>
      <c r="S1137" s="158"/>
      <c r="T1137" s="586"/>
      <c r="U1137" s="158"/>
      <c r="V1137" s="311"/>
      <c r="W1137" s="311"/>
      <c r="X1137" s="311"/>
      <c r="Y1137" s="23"/>
      <c r="Z1137" s="158"/>
      <c r="AA1137" s="158"/>
      <c r="AB1137" s="158"/>
      <c r="AC1137" s="158"/>
      <c r="AD1137" s="158"/>
      <c r="AE1137" s="158"/>
      <c r="AF1137" s="158"/>
      <c r="AG1137" s="158"/>
      <c r="AH1137" s="158"/>
      <c r="AI1137" s="158"/>
      <c r="AJ1137" s="158"/>
      <c r="AK1137" s="158"/>
      <c r="AL1137" s="158"/>
      <c r="AM1137" s="158"/>
      <c r="AN1137" s="158"/>
      <c r="AO1137" s="158"/>
      <c r="AP1137" s="23"/>
      <c r="AQ1137" s="23"/>
      <c r="AR1137" s="23"/>
      <c r="AS1137" s="2">
        <v>1</v>
      </c>
      <c r="AT1137" s="58" t="s">
        <v>646</v>
      </c>
      <c r="AU1137" s="105"/>
      <c r="AV1137" s="23"/>
      <c r="AW1137" s="50"/>
      <c r="AX1137" s="158">
        <v>1</v>
      </c>
      <c r="AY1137" s="158"/>
      <c r="AZ1137" s="158"/>
      <c r="BA1137" s="158">
        <v>1</v>
      </c>
      <c r="BB1137" s="69"/>
      <c r="BC1137" s="69"/>
      <c r="BD1137" s="270">
        <v>2018</v>
      </c>
      <c r="BE1137" s="270"/>
      <c r="BF1137" s="268"/>
    </row>
    <row r="1138" spans="1:58" s="204" customFormat="1" ht="18" customHeight="1">
      <c r="A1138" s="230" t="s">
        <v>1</v>
      </c>
      <c r="B1138" s="58" t="s">
        <v>320</v>
      </c>
      <c r="C1138" s="241" t="s">
        <v>1186</v>
      </c>
      <c r="D1138" s="33" t="s">
        <v>1936</v>
      </c>
      <c r="E1138" s="33"/>
      <c r="F1138" s="33"/>
      <c r="G1138" s="33"/>
      <c r="H1138" s="30" t="s">
        <v>647</v>
      </c>
      <c r="I1138" s="30">
        <v>746</v>
      </c>
      <c r="J1138" s="212">
        <v>41782</v>
      </c>
      <c r="K1138" s="158"/>
      <c r="L1138" s="158"/>
      <c r="M1138" s="158">
        <v>1</v>
      </c>
      <c r="N1138" s="158">
        <v>1</v>
      </c>
      <c r="O1138" s="23"/>
      <c r="P1138" s="158">
        <v>74651266</v>
      </c>
      <c r="Q1138" s="158"/>
      <c r="R1138" s="158"/>
      <c r="S1138" s="158"/>
      <c r="T1138" s="586"/>
      <c r="U1138" s="158"/>
      <c r="V1138" s="311"/>
      <c r="W1138" s="311"/>
      <c r="X1138" s="311"/>
      <c r="Y1138" s="23"/>
      <c r="Z1138" s="158"/>
      <c r="AA1138" s="5"/>
      <c r="AB1138" s="5"/>
      <c r="AC1138" s="5"/>
      <c r="AD1138" s="158"/>
      <c r="AE1138" s="158">
        <f t="shared" ref="AE1138:AE1152" si="183">P1138-T1138-Y1138</f>
        <v>74651266</v>
      </c>
      <c r="AF1138" s="158"/>
      <c r="AG1138" s="94">
        <v>0</v>
      </c>
      <c r="AH1138" s="94"/>
      <c r="AI1138" s="94"/>
      <c r="AJ1138" s="158">
        <f t="shared" ref="AJ1138:AJ1152" si="184">AE1138+AG1138</f>
        <v>74651266</v>
      </c>
      <c r="AK1138" s="158"/>
      <c r="AL1138" s="158"/>
      <c r="AM1138" s="158">
        <v>1</v>
      </c>
      <c r="AN1138" s="158"/>
      <c r="AO1138" s="158"/>
      <c r="AP1138" s="23"/>
      <c r="AQ1138" s="23"/>
      <c r="AR1138" s="23"/>
      <c r="AS1138" s="2">
        <v>0</v>
      </c>
      <c r="AT1138" s="58" t="s">
        <v>521</v>
      </c>
      <c r="AU1138" s="386"/>
      <c r="AV1138" s="23"/>
      <c r="AW1138" s="50"/>
      <c r="AX1138" s="158"/>
      <c r="AY1138" s="158"/>
      <c r="AZ1138" s="158"/>
      <c r="BA1138" s="158"/>
      <c r="BB1138" s="69"/>
      <c r="BC1138" s="69"/>
      <c r="BD1138" s="271"/>
      <c r="BE1138" s="271">
        <v>2019</v>
      </c>
      <c r="BF1138" s="271">
        <v>2020</v>
      </c>
    </row>
    <row r="1139" spans="1:58" s="204" customFormat="1" ht="18" customHeight="1">
      <c r="A1139" s="160" t="s">
        <v>1</v>
      </c>
      <c r="B1139" s="58" t="s">
        <v>320</v>
      </c>
      <c r="C1139" s="66" t="s">
        <v>1187</v>
      </c>
      <c r="D1139" s="33" t="s">
        <v>438</v>
      </c>
      <c r="E1139" s="33"/>
      <c r="F1139" s="33"/>
      <c r="G1139" s="33"/>
      <c r="H1139" s="30" t="s">
        <v>1116</v>
      </c>
      <c r="I1139" s="78">
        <v>304</v>
      </c>
      <c r="J1139" s="212">
        <v>43404</v>
      </c>
      <c r="K1139" s="158"/>
      <c r="L1139" s="158"/>
      <c r="M1139" s="158">
        <v>1</v>
      </c>
      <c r="N1139" s="158">
        <v>1</v>
      </c>
      <c r="O1139" s="23"/>
      <c r="P1139" s="158">
        <v>77562674</v>
      </c>
      <c r="Q1139" s="158"/>
      <c r="R1139" s="158"/>
      <c r="S1139" s="158"/>
      <c r="T1139" s="586"/>
      <c r="U1139" s="158"/>
      <c r="V1139" s="311"/>
      <c r="W1139" s="311"/>
      <c r="X1139" s="311"/>
      <c r="Y1139" s="214"/>
      <c r="Z1139" s="221"/>
      <c r="AA1139" s="221"/>
      <c r="AB1139" s="221"/>
      <c r="AC1139" s="221"/>
      <c r="AD1139" s="158"/>
      <c r="AE1139" s="158">
        <f t="shared" si="183"/>
        <v>77562674</v>
      </c>
      <c r="AF1139" s="158"/>
      <c r="AG1139" s="94">
        <v>0</v>
      </c>
      <c r="AH1139" s="94"/>
      <c r="AI1139" s="94"/>
      <c r="AJ1139" s="158">
        <f t="shared" si="184"/>
        <v>77562674</v>
      </c>
      <c r="AK1139" s="158">
        <v>877</v>
      </c>
      <c r="AL1139" s="158">
        <v>20</v>
      </c>
      <c r="AM1139" s="158">
        <v>1</v>
      </c>
      <c r="AN1139" s="158"/>
      <c r="AO1139" s="50"/>
      <c r="AP1139" s="23"/>
      <c r="AQ1139" s="23"/>
      <c r="AR1139" s="23"/>
      <c r="AS1139" s="2">
        <v>0</v>
      </c>
      <c r="AT1139" s="58" t="s">
        <v>521</v>
      </c>
      <c r="AU1139" s="386"/>
      <c r="AV1139" s="23"/>
      <c r="AW1139" s="50"/>
      <c r="AX1139" s="50"/>
      <c r="AY1139" s="50"/>
      <c r="AZ1139" s="50"/>
      <c r="BA1139" s="50"/>
      <c r="BB1139" s="293"/>
      <c r="BC1139" s="293"/>
      <c r="BD1139" s="271"/>
      <c r="BE1139" s="271">
        <v>2019</v>
      </c>
      <c r="BF1139" s="271">
        <v>2020</v>
      </c>
    </row>
    <row r="1140" spans="1:58" ht="18" hidden="1" customHeight="1">
      <c r="A1140" s="160" t="s">
        <v>1</v>
      </c>
      <c r="B1140" s="58" t="s">
        <v>320</v>
      </c>
      <c r="C1140" s="66" t="s">
        <v>1188</v>
      </c>
      <c r="D1140" s="33" t="s">
        <v>438</v>
      </c>
      <c r="E1140" s="33"/>
      <c r="F1140" s="33"/>
      <c r="G1140" s="33"/>
      <c r="H1140" s="30" t="s">
        <v>1116</v>
      </c>
      <c r="I1140" s="228" t="s">
        <v>1776</v>
      </c>
      <c r="J1140" s="215" t="s">
        <v>1777</v>
      </c>
      <c r="K1140" s="158"/>
      <c r="L1140" s="158"/>
      <c r="M1140" s="158">
        <v>1</v>
      </c>
      <c r="N1140" s="158"/>
      <c r="O1140" s="158"/>
      <c r="P1140" s="158">
        <f>76000000+3800000</f>
        <v>79800000</v>
      </c>
      <c r="Q1140" s="158"/>
      <c r="R1140" s="158"/>
      <c r="S1140" s="158"/>
      <c r="T1140" s="586">
        <f>76000000+3800000</f>
        <v>79800000</v>
      </c>
      <c r="U1140" s="158">
        <v>20</v>
      </c>
      <c r="V1140" s="311">
        <v>43770</v>
      </c>
      <c r="W1140" s="311"/>
      <c r="X1140" s="311"/>
      <c r="Y1140" s="214"/>
      <c r="Z1140" s="221"/>
      <c r="AA1140" s="221"/>
      <c r="AB1140" s="221"/>
      <c r="AC1140" s="221"/>
      <c r="AD1140" s="158"/>
      <c r="AE1140" s="158">
        <f t="shared" si="183"/>
        <v>0</v>
      </c>
      <c r="AF1140" s="158"/>
      <c r="AG1140" s="94">
        <v>0</v>
      </c>
      <c r="AH1140" s="94"/>
      <c r="AI1140" s="94"/>
      <c r="AJ1140" s="158">
        <f t="shared" si="184"/>
        <v>0</v>
      </c>
      <c r="AK1140" s="158">
        <v>877</v>
      </c>
      <c r="AL1140" s="158">
        <v>20</v>
      </c>
      <c r="AM1140" s="158"/>
      <c r="AN1140" s="158"/>
      <c r="AO1140" s="158"/>
      <c r="AP1140" s="23"/>
      <c r="AQ1140" s="23"/>
      <c r="AR1140" s="23"/>
      <c r="AS1140" s="2">
        <v>1</v>
      </c>
      <c r="AT1140" s="58" t="s">
        <v>646</v>
      </c>
      <c r="AU1140" s="388" t="s">
        <v>1956</v>
      </c>
      <c r="AV1140" s="23"/>
      <c r="AW1140" s="50"/>
      <c r="AX1140" s="50"/>
      <c r="AY1140" s="23">
        <v>1</v>
      </c>
      <c r="AZ1140" s="23"/>
      <c r="BA1140" s="23"/>
      <c r="BB1140" s="23">
        <v>1</v>
      </c>
      <c r="BC1140" s="293"/>
      <c r="BD1140" s="270">
        <v>2019</v>
      </c>
      <c r="BE1140" s="270">
        <v>2019</v>
      </c>
      <c r="BF1140" s="271"/>
    </row>
    <row r="1141" spans="1:58" ht="18" hidden="1" customHeight="1">
      <c r="A1141" s="160" t="s">
        <v>1</v>
      </c>
      <c r="B1141" s="58" t="s">
        <v>320</v>
      </c>
      <c r="C1141" s="66" t="s">
        <v>1189</v>
      </c>
      <c r="D1141" s="33" t="s">
        <v>438</v>
      </c>
      <c r="E1141" s="33"/>
      <c r="F1141" s="33"/>
      <c r="G1141" s="33"/>
      <c r="H1141" s="30" t="s">
        <v>1116</v>
      </c>
      <c r="I1141" s="228" t="s">
        <v>1790</v>
      </c>
      <c r="J1141" s="215" t="s">
        <v>1791</v>
      </c>
      <c r="K1141" s="158"/>
      <c r="L1141" s="158"/>
      <c r="M1141" s="158">
        <v>1</v>
      </c>
      <c r="N1141" s="158"/>
      <c r="O1141" s="158"/>
      <c r="P1141" s="158">
        <v>56700000</v>
      </c>
      <c r="Q1141" s="158"/>
      <c r="R1141" s="158"/>
      <c r="S1141" s="158"/>
      <c r="T1141" s="586">
        <v>56700000</v>
      </c>
      <c r="U1141" s="158">
        <v>20</v>
      </c>
      <c r="V1141" s="311">
        <v>43770</v>
      </c>
      <c r="W1141" s="311"/>
      <c r="X1141" s="311"/>
      <c r="Y1141" s="214"/>
      <c r="Z1141" s="221"/>
      <c r="AA1141" s="221"/>
      <c r="AB1141" s="221"/>
      <c r="AC1141" s="221"/>
      <c r="AD1141" s="158"/>
      <c r="AE1141" s="158">
        <f t="shared" si="183"/>
        <v>0</v>
      </c>
      <c r="AF1141" s="158"/>
      <c r="AG1141" s="94">
        <v>0</v>
      </c>
      <c r="AH1141" s="94"/>
      <c r="AI1141" s="94"/>
      <c r="AJ1141" s="158">
        <f t="shared" si="184"/>
        <v>0</v>
      </c>
      <c r="AK1141" s="158">
        <v>877</v>
      </c>
      <c r="AL1141" s="158">
        <v>20</v>
      </c>
      <c r="AM1141" s="158"/>
      <c r="AN1141" s="158"/>
      <c r="AO1141" s="158"/>
      <c r="AP1141" s="23"/>
      <c r="AQ1141" s="23"/>
      <c r="AR1141" s="23"/>
      <c r="AS1141" s="2">
        <v>1</v>
      </c>
      <c r="AT1141" s="58" t="s">
        <v>646</v>
      </c>
      <c r="AU1141" s="388" t="s">
        <v>1957</v>
      </c>
      <c r="AV1141" s="23"/>
      <c r="AW1141" s="50"/>
      <c r="AX1141" s="50"/>
      <c r="AY1141" s="23">
        <v>1</v>
      </c>
      <c r="AZ1141" s="23"/>
      <c r="BA1141" s="50"/>
      <c r="BB1141" s="23">
        <v>1</v>
      </c>
      <c r="BC1141" s="293"/>
      <c r="BD1141" s="270">
        <v>2019</v>
      </c>
      <c r="BE1141" s="270">
        <v>2019</v>
      </c>
      <c r="BF1141" s="271"/>
    </row>
    <row r="1142" spans="1:58" ht="18" hidden="1" customHeight="1">
      <c r="A1142" s="160" t="s">
        <v>1</v>
      </c>
      <c r="B1142" s="58" t="s">
        <v>320</v>
      </c>
      <c r="C1142" s="66" t="s">
        <v>1190</v>
      </c>
      <c r="D1142" s="33" t="s">
        <v>438</v>
      </c>
      <c r="E1142" s="33"/>
      <c r="F1142" s="33"/>
      <c r="G1142" s="33"/>
      <c r="H1142" s="30" t="s">
        <v>1116</v>
      </c>
      <c r="I1142" s="78">
        <v>307</v>
      </c>
      <c r="J1142" s="212">
        <v>43404</v>
      </c>
      <c r="K1142" s="158"/>
      <c r="L1142" s="158">
        <v>1</v>
      </c>
      <c r="M1142" s="158"/>
      <c r="N1142" s="158"/>
      <c r="O1142" s="158"/>
      <c r="P1142" s="158">
        <v>76000000</v>
      </c>
      <c r="Q1142" s="158"/>
      <c r="R1142" s="158"/>
      <c r="S1142" s="158"/>
      <c r="T1142" s="586">
        <v>76000000</v>
      </c>
      <c r="U1142" s="158">
        <v>10</v>
      </c>
      <c r="V1142" s="311"/>
      <c r="W1142" s="311"/>
      <c r="X1142" s="311"/>
      <c r="Y1142" s="214"/>
      <c r="Z1142" s="221"/>
      <c r="AA1142" s="221"/>
      <c r="AB1142" s="221"/>
      <c r="AC1142" s="221"/>
      <c r="AD1142" s="158"/>
      <c r="AE1142" s="158">
        <f t="shared" si="183"/>
        <v>0</v>
      </c>
      <c r="AF1142" s="158"/>
      <c r="AG1142" s="94">
        <v>0</v>
      </c>
      <c r="AH1142" s="94"/>
      <c r="AI1142" s="94"/>
      <c r="AJ1142" s="158">
        <f t="shared" si="184"/>
        <v>0</v>
      </c>
      <c r="AK1142" s="158">
        <v>877</v>
      </c>
      <c r="AL1142" s="158">
        <v>10</v>
      </c>
      <c r="AM1142" s="158"/>
      <c r="AN1142" s="158"/>
      <c r="AO1142" s="23"/>
      <c r="AP1142" s="23"/>
      <c r="AQ1142" s="23"/>
      <c r="AR1142" s="23"/>
      <c r="AS1142" s="2">
        <v>1</v>
      </c>
      <c r="AT1142" s="58" t="s">
        <v>646</v>
      </c>
      <c r="AU1142" s="388" t="s">
        <v>1715</v>
      </c>
      <c r="AV1142" s="23"/>
      <c r="AW1142" s="50"/>
      <c r="AX1142" s="50"/>
      <c r="AY1142" s="23">
        <v>1</v>
      </c>
      <c r="AZ1142" s="23"/>
      <c r="BA1142" s="50"/>
      <c r="BB1142" s="23">
        <v>1</v>
      </c>
      <c r="BC1142" s="23"/>
      <c r="BD1142" s="270">
        <v>2019</v>
      </c>
      <c r="BE1142" s="270">
        <v>2019</v>
      </c>
      <c r="BF1142" s="271"/>
    </row>
    <row r="1143" spans="1:58" s="204" customFormat="1" ht="18" customHeight="1">
      <c r="A1143" s="160" t="s">
        <v>1</v>
      </c>
      <c r="B1143" s="58" t="s">
        <v>320</v>
      </c>
      <c r="C1143" s="66" t="s">
        <v>1191</v>
      </c>
      <c r="D1143" s="33" t="s">
        <v>438</v>
      </c>
      <c r="E1143" s="33"/>
      <c r="F1143" s="33"/>
      <c r="G1143" s="33"/>
      <c r="H1143" s="30" t="s">
        <v>1116</v>
      </c>
      <c r="I1143" s="78">
        <v>309</v>
      </c>
      <c r="J1143" s="212">
        <v>43404</v>
      </c>
      <c r="K1143" s="158"/>
      <c r="L1143" s="158"/>
      <c r="M1143" s="158">
        <v>1</v>
      </c>
      <c r="N1143" s="158">
        <v>1</v>
      </c>
      <c r="O1143" s="23"/>
      <c r="P1143" s="158">
        <v>76000000</v>
      </c>
      <c r="Q1143" s="158"/>
      <c r="R1143" s="158"/>
      <c r="S1143" s="158"/>
      <c r="T1143" s="586"/>
      <c r="U1143" s="158"/>
      <c r="V1143" s="311"/>
      <c r="W1143" s="311"/>
      <c r="X1143" s="311"/>
      <c r="Y1143" s="214"/>
      <c r="Z1143" s="221"/>
      <c r="AA1143" s="294"/>
      <c r="AB1143" s="294"/>
      <c r="AC1143" s="294"/>
      <c r="AD1143" s="158"/>
      <c r="AE1143" s="158">
        <f t="shared" si="183"/>
        <v>76000000</v>
      </c>
      <c r="AF1143" s="158"/>
      <c r="AG1143" s="94">
        <v>0</v>
      </c>
      <c r="AH1143" s="94"/>
      <c r="AI1143" s="94"/>
      <c r="AJ1143" s="158">
        <f t="shared" si="184"/>
        <v>76000000</v>
      </c>
      <c r="AK1143" s="158">
        <v>877</v>
      </c>
      <c r="AL1143" s="158">
        <v>20</v>
      </c>
      <c r="AM1143" s="158">
        <v>1</v>
      </c>
      <c r="AN1143" s="158"/>
      <c r="AO1143" s="50"/>
      <c r="AP1143" s="23"/>
      <c r="AQ1143" s="23"/>
      <c r="AR1143" s="23"/>
      <c r="AS1143" s="2">
        <v>0</v>
      </c>
      <c r="AT1143" s="58" t="s">
        <v>521</v>
      </c>
      <c r="AU1143" s="386"/>
      <c r="AV1143" s="23"/>
      <c r="AW1143" s="50"/>
      <c r="AX1143" s="50"/>
      <c r="AY1143" s="50"/>
      <c r="AZ1143" s="50"/>
      <c r="BA1143" s="50"/>
      <c r="BB1143" s="293"/>
      <c r="BC1143" s="293"/>
      <c r="BD1143" s="271"/>
      <c r="BE1143" s="271">
        <v>2019</v>
      </c>
      <c r="BF1143" s="271">
        <v>2020</v>
      </c>
    </row>
    <row r="1144" spans="1:58" ht="18" hidden="1" customHeight="1">
      <c r="A1144" s="243" t="s">
        <v>1</v>
      </c>
      <c r="B1144" s="58" t="s">
        <v>320</v>
      </c>
      <c r="C1144" s="66" t="s">
        <v>1192</v>
      </c>
      <c r="D1144" s="33" t="s">
        <v>438</v>
      </c>
      <c r="E1144" s="33"/>
      <c r="F1144" s="33"/>
      <c r="G1144" s="33"/>
      <c r="H1144" s="30" t="s">
        <v>1116</v>
      </c>
      <c r="I1144" s="30">
        <v>333</v>
      </c>
      <c r="J1144" s="212">
        <v>43406</v>
      </c>
      <c r="K1144" s="23"/>
      <c r="L1144" s="23">
        <v>1</v>
      </c>
      <c r="M1144" s="158"/>
      <c r="N1144" s="158"/>
      <c r="O1144" s="158"/>
      <c r="P1144" s="158">
        <v>76000000</v>
      </c>
      <c r="Q1144" s="158"/>
      <c r="R1144" s="158"/>
      <c r="S1144" s="158"/>
      <c r="T1144" s="586">
        <v>76000000</v>
      </c>
      <c r="U1144" s="158">
        <v>10</v>
      </c>
      <c r="V1144" s="311">
        <v>43586</v>
      </c>
      <c r="W1144" s="311"/>
      <c r="X1144" s="311"/>
      <c r="Y1144" s="214"/>
      <c r="Z1144" s="214"/>
      <c r="AA1144" s="214"/>
      <c r="AB1144" s="214"/>
      <c r="AC1144" s="214"/>
      <c r="AD1144" s="158"/>
      <c r="AE1144" s="158">
        <f t="shared" si="183"/>
        <v>0</v>
      </c>
      <c r="AF1144" s="158"/>
      <c r="AG1144" s="94">
        <v>0</v>
      </c>
      <c r="AH1144" s="94"/>
      <c r="AI1144" s="94"/>
      <c r="AJ1144" s="158">
        <f t="shared" si="184"/>
        <v>0</v>
      </c>
      <c r="AK1144" s="158">
        <v>877</v>
      </c>
      <c r="AL1144" s="158">
        <v>10</v>
      </c>
      <c r="AM1144" s="158"/>
      <c r="AN1144" s="158"/>
      <c r="AO1144" s="23"/>
      <c r="AP1144" s="23"/>
      <c r="AQ1144" s="23"/>
      <c r="AR1144" s="23"/>
      <c r="AS1144" s="2">
        <v>1</v>
      </c>
      <c r="AT1144" s="58" t="s">
        <v>646</v>
      </c>
      <c r="AU1144" s="386" t="s">
        <v>1395</v>
      </c>
      <c r="AV1144" s="23"/>
      <c r="AW1144" s="50"/>
      <c r="AX1144" s="50"/>
      <c r="AY1144" s="23">
        <v>1</v>
      </c>
      <c r="AZ1144" s="23"/>
      <c r="BA1144" s="50"/>
      <c r="BB1144" s="223">
        <v>1</v>
      </c>
      <c r="BC1144" s="223"/>
      <c r="BD1144" s="270">
        <v>2019</v>
      </c>
      <c r="BE1144" s="270">
        <v>2019</v>
      </c>
      <c r="BF1144" s="271"/>
    </row>
    <row r="1145" spans="1:58" s="204" customFormat="1" ht="18" customHeight="1">
      <c r="A1145" s="160" t="s">
        <v>1</v>
      </c>
      <c r="B1145" s="58" t="s">
        <v>320</v>
      </c>
      <c r="C1145" s="66" t="s">
        <v>1193</v>
      </c>
      <c r="D1145" s="33" t="s">
        <v>438</v>
      </c>
      <c r="E1145" s="33"/>
      <c r="F1145" s="33"/>
      <c r="G1145" s="33"/>
      <c r="H1145" s="30" t="s">
        <v>1116</v>
      </c>
      <c r="I1145" s="78">
        <v>334</v>
      </c>
      <c r="J1145" s="212">
        <v>43406</v>
      </c>
      <c r="K1145" s="158"/>
      <c r="L1145" s="158"/>
      <c r="M1145" s="158">
        <v>1</v>
      </c>
      <c r="N1145" s="158">
        <v>1</v>
      </c>
      <c r="O1145" s="23"/>
      <c r="P1145" s="158">
        <v>76950000</v>
      </c>
      <c r="Q1145" s="158"/>
      <c r="R1145" s="158"/>
      <c r="S1145" s="158"/>
      <c r="T1145" s="586">
        <v>76950000</v>
      </c>
      <c r="U1145" s="158">
        <v>20</v>
      </c>
      <c r="V1145" s="311">
        <v>43800</v>
      </c>
      <c r="W1145" s="311"/>
      <c r="X1145" s="311"/>
      <c r="Y1145" s="214"/>
      <c r="Z1145" s="221"/>
      <c r="AA1145" s="221"/>
      <c r="AB1145" s="221"/>
      <c r="AC1145" s="221"/>
      <c r="AD1145" s="158"/>
      <c r="AE1145" s="158">
        <f t="shared" si="183"/>
        <v>0</v>
      </c>
      <c r="AF1145" s="158"/>
      <c r="AG1145" s="94">
        <v>0</v>
      </c>
      <c r="AH1145" s="94"/>
      <c r="AI1145" s="94"/>
      <c r="AJ1145" s="158">
        <f t="shared" si="184"/>
        <v>0</v>
      </c>
      <c r="AK1145" s="158">
        <v>877</v>
      </c>
      <c r="AL1145" s="158">
        <v>20</v>
      </c>
      <c r="AM1145" s="158">
        <v>1</v>
      </c>
      <c r="AN1145" s="158"/>
      <c r="AO1145" s="50"/>
      <c r="AP1145" s="23"/>
      <c r="AQ1145" s="23"/>
      <c r="AR1145" s="23"/>
      <c r="AS1145" s="2">
        <v>0</v>
      </c>
      <c r="AT1145" s="58" t="s">
        <v>521</v>
      </c>
      <c r="AU1145" s="386" t="s">
        <v>1969</v>
      </c>
      <c r="AV1145" s="23"/>
      <c r="AW1145" s="50"/>
      <c r="AX1145" s="50"/>
      <c r="AY1145" s="50"/>
      <c r="AZ1145" s="50"/>
      <c r="BA1145" s="50"/>
      <c r="BB1145" s="293"/>
      <c r="BC1145" s="293"/>
      <c r="BD1145" s="271"/>
      <c r="BE1145" s="271">
        <v>2019</v>
      </c>
      <c r="BF1145" s="271">
        <v>2020</v>
      </c>
    </row>
    <row r="1146" spans="1:58" ht="18" hidden="1" customHeight="1">
      <c r="A1146" s="160" t="s">
        <v>1</v>
      </c>
      <c r="B1146" s="58" t="s">
        <v>320</v>
      </c>
      <c r="C1146" s="66" t="s">
        <v>1194</v>
      </c>
      <c r="D1146" s="33" t="s">
        <v>438</v>
      </c>
      <c r="E1146" s="33"/>
      <c r="F1146" s="33"/>
      <c r="G1146" s="33"/>
      <c r="H1146" s="30" t="s">
        <v>1116</v>
      </c>
      <c r="I1146" s="78">
        <v>339</v>
      </c>
      <c r="J1146" s="212">
        <v>43406</v>
      </c>
      <c r="K1146" s="158"/>
      <c r="L1146" s="23">
        <v>1</v>
      </c>
      <c r="M1146" s="158"/>
      <c r="N1146" s="158"/>
      <c r="O1146" s="158"/>
      <c r="P1146" s="158">
        <v>66800000</v>
      </c>
      <c r="Q1146" s="158"/>
      <c r="R1146" s="158"/>
      <c r="S1146" s="158"/>
      <c r="T1146" s="586">
        <v>66800000</v>
      </c>
      <c r="U1146" s="158">
        <v>10</v>
      </c>
      <c r="V1146" s="311">
        <v>43647</v>
      </c>
      <c r="W1146" s="311"/>
      <c r="X1146" s="311"/>
      <c r="Y1146" s="214"/>
      <c r="Z1146" s="221"/>
      <c r="AA1146" s="221"/>
      <c r="AB1146" s="221"/>
      <c r="AC1146" s="221"/>
      <c r="AD1146" s="158"/>
      <c r="AE1146" s="158">
        <f t="shared" si="183"/>
        <v>0</v>
      </c>
      <c r="AF1146" s="158"/>
      <c r="AG1146" s="94">
        <v>0</v>
      </c>
      <c r="AH1146" s="94"/>
      <c r="AI1146" s="94"/>
      <c r="AJ1146" s="158">
        <f t="shared" si="184"/>
        <v>0</v>
      </c>
      <c r="AK1146" s="158">
        <v>877</v>
      </c>
      <c r="AL1146" s="158">
        <v>10</v>
      </c>
      <c r="AM1146" s="158"/>
      <c r="AN1146" s="158"/>
      <c r="AO1146" s="23"/>
      <c r="AP1146" s="23"/>
      <c r="AQ1146" s="23"/>
      <c r="AR1146" s="23"/>
      <c r="AS1146" s="2">
        <v>1</v>
      </c>
      <c r="AT1146" s="58" t="s">
        <v>646</v>
      </c>
      <c r="AU1146" s="386" t="s">
        <v>1716</v>
      </c>
      <c r="AV1146" s="23"/>
      <c r="AW1146" s="50"/>
      <c r="AX1146" s="50"/>
      <c r="AY1146" s="23">
        <v>1</v>
      </c>
      <c r="AZ1146" s="23"/>
      <c r="BA1146" s="50"/>
      <c r="BB1146" s="23">
        <v>1</v>
      </c>
      <c r="BC1146" s="23"/>
      <c r="BD1146" s="270">
        <v>2019</v>
      </c>
      <c r="BE1146" s="270">
        <v>2019</v>
      </c>
      <c r="BF1146" s="271"/>
    </row>
    <row r="1147" spans="1:58" s="204" customFormat="1" ht="18" customHeight="1">
      <c r="A1147" s="160" t="s">
        <v>1</v>
      </c>
      <c r="B1147" s="58" t="s">
        <v>320</v>
      </c>
      <c r="C1147" s="66" t="s">
        <v>1195</v>
      </c>
      <c r="D1147" s="33" t="s">
        <v>387</v>
      </c>
      <c r="E1147" s="33"/>
      <c r="F1147" s="33"/>
      <c r="G1147" s="33"/>
      <c r="H1147" s="30" t="s">
        <v>1116</v>
      </c>
      <c r="I1147" s="78">
        <v>455</v>
      </c>
      <c r="J1147" s="212">
        <v>43423</v>
      </c>
      <c r="K1147" s="158"/>
      <c r="L1147" s="158"/>
      <c r="M1147" s="158">
        <v>1</v>
      </c>
      <c r="N1147" s="158">
        <v>1</v>
      </c>
      <c r="O1147" s="23"/>
      <c r="P1147" s="158">
        <v>63601392</v>
      </c>
      <c r="Q1147" s="158"/>
      <c r="R1147" s="158"/>
      <c r="S1147" s="158"/>
      <c r="T1147" s="586">
        <v>28620626</v>
      </c>
      <c r="U1147" s="158">
        <v>20</v>
      </c>
      <c r="V1147" s="311">
        <v>43800</v>
      </c>
      <c r="W1147" s="311"/>
      <c r="X1147" s="311"/>
      <c r="Y1147" s="214"/>
      <c r="Z1147" s="221"/>
      <c r="AA1147" s="221"/>
      <c r="AB1147" s="221"/>
      <c r="AC1147" s="221"/>
      <c r="AD1147" s="158"/>
      <c r="AE1147" s="158">
        <f t="shared" si="183"/>
        <v>34980766</v>
      </c>
      <c r="AF1147" s="158"/>
      <c r="AG1147" s="94">
        <v>0</v>
      </c>
      <c r="AH1147" s="94"/>
      <c r="AI1147" s="94"/>
      <c r="AJ1147" s="158">
        <f t="shared" si="184"/>
        <v>34980766</v>
      </c>
      <c r="AK1147" s="158">
        <v>877</v>
      </c>
      <c r="AL1147" s="158">
        <v>20</v>
      </c>
      <c r="AM1147" s="158">
        <v>1</v>
      </c>
      <c r="AN1147" s="158"/>
      <c r="AO1147" s="50"/>
      <c r="AP1147" s="23"/>
      <c r="AQ1147" s="23"/>
      <c r="AR1147" s="23"/>
      <c r="AS1147" s="2">
        <v>0</v>
      </c>
      <c r="AT1147" s="58" t="s">
        <v>521</v>
      </c>
      <c r="AU1147" s="386"/>
      <c r="AV1147" s="23"/>
      <c r="AW1147" s="50"/>
      <c r="AX1147" s="50"/>
      <c r="AY1147" s="50"/>
      <c r="AZ1147" s="50"/>
      <c r="BA1147" s="50"/>
      <c r="BB1147" s="293"/>
      <c r="BC1147" s="293"/>
      <c r="BD1147" s="271"/>
      <c r="BE1147" s="271">
        <v>2019</v>
      </c>
      <c r="BF1147" s="271">
        <v>2020</v>
      </c>
    </row>
    <row r="1148" spans="1:58" s="204" customFormat="1" ht="18" customHeight="1">
      <c r="A1148" s="160" t="s">
        <v>1</v>
      </c>
      <c r="B1148" s="58" t="s">
        <v>320</v>
      </c>
      <c r="C1148" s="66" t="s">
        <v>1196</v>
      </c>
      <c r="D1148" s="33" t="s">
        <v>387</v>
      </c>
      <c r="E1148" s="33"/>
      <c r="F1148" s="33"/>
      <c r="G1148" s="33"/>
      <c r="H1148" s="30" t="s">
        <v>1116</v>
      </c>
      <c r="I1148" s="78">
        <v>453</v>
      </c>
      <c r="J1148" s="212">
        <v>43423</v>
      </c>
      <c r="K1148" s="158"/>
      <c r="L1148" s="158"/>
      <c r="M1148" s="158">
        <v>1</v>
      </c>
      <c r="N1148" s="158">
        <v>1</v>
      </c>
      <c r="O1148" s="23"/>
      <c r="P1148" s="158">
        <v>63555000</v>
      </c>
      <c r="Q1148" s="158"/>
      <c r="R1148" s="158"/>
      <c r="S1148" s="158"/>
      <c r="T1148" s="586">
        <v>28599750</v>
      </c>
      <c r="U1148" s="158">
        <v>20</v>
      </c>
      <c r="V1148" s="311">
        <v>43800</v>
      </c>
      <c r="W1148" s="311"/>
      <c r="X1148" s="311"/>
      <c r="Y1148" s="214"/>
      <c r="Z1148" s="221"/>
      <c r="AA1148" s="294"/>
      <c r="AB1148" s="294"/>
      <c r="AC1148" s="294"/>
      <c r="AD1148" s="158"/>
      <c r="AE1148" s="158">
        <f t="shared" si="183"/>
        <v>34955250</v>
      </c>
      <c r="AF1148" s="158"/>
      <c r="AG1148" s="94">
        <v>0</v>
      </c>
      <c r="AH1148" s="94"/>
      <c r="AI1148" s="94"/>
      <c r="AJ1148" s="158">
        <f t="shared" si="184"/>
        <v>34955250</v>
      </c>
      <c r="AK1148" s="158">
        <v>877</v>
      </c>
      <c r="AL1148" s="158">
        <v>20</v>
      </c>
      <c r="AM1148" s="158">
        <v>1</v>
      </c>
      <c r="AN1148" s="158"/>
      <c r="AO1148" s="50"/>
      <c r="AP1148" s="23"/>
      <c r="AQ1148" s="23"/>
      <c r="AR1148" s="23"/>
      <c r="AS1148" s="2">
        <v>0</v>
      </c>
      <c r="AT1148" s="58" t="s">
        <v>521</v>
      </c>
      <c r="AU1148" s="386"/>
      <c r="AV1148" s="23"/>
      <c r="AW1148" s="50"/>
      <c r="AX1148" s="50"/>
      <c r="AY1148" s="50"/>
      <c r="AZ1148" s="50"/>
      <c r="BA1148" s="50"/>
      <c r="BB1148" s="293"/>
      <c r="BC1148" s="293"/>
      <c r="BD1148" s="271"/>
      <c r="BE1148" s="271">
        <v>2019</v>
      </c>
      <c r="BF1148" s="271">
        <v>2020</v>
      </c>
    </row>
    <row r="1149" spans="1:58" ht="18" hidden="1" customHeight="1">
      <c r="A1149" s="160" t="s">
        <v>1</v>
      </c>
      <c r="B1149" s="58" t="s">
        <v>320</v>
      </c>
      <c r="C1149" s="66" t="s">
        <v>1197</v>
      </c>
      <c r="D1149" s="33" t="s">
        <v>438</v>
      </c>
      <c r="E1149" s="33"/>
      <c r="F1149" s="33"/>
      <c r="G1149" s="33"/>
      <c r="H1149" s="30" t="s">
        <v>1116</v>
      </c>
      <c r="I1149" s="30">
        <v>338</v>
      </c>
      <c r="J1149" s="212">
        <v>43406</v>
      </c>
      <c r="K1149" s="23"/>
      <c r="L1149" s="23">
        <v>1</v>
      </c>
      <c r="M1149" s="158"/>
      <c r="N1149" s="158"/>
      <c r="O1149" s="158"/>
      <c r="P1149" s="158">
        <v>77425000</v>
      </c>
      <c r="Q1149" s="158"/>
      <c r="R1149" s="158"/>
      <c r="S1149" s="158"/>
      <c r="T1149" s="586">
        <v>77425000</v>
      </c>
      <c r="U1149" s="158">
        <v>10</v>
      </c>
      <c r="V1149" s="311">
        <v>43586</v>
      </c>
      <c r="W1149" s="311"/>
      <c r="X1149" s="311"/>
      <c r="Y1149" s="214"/>
      <c r="Z1149" s="214"/>
      <c r="AA1149" s="214"/>
      <c r="AB1149" s="214"/>
      <c r="AC1149" s="214"/>
      <c r="AD1149" s="158"/>
      <c r="AE1149" s="158">
        <f t="shared" si="183"/>
        <v>0</v>
      </c>
      <c r="AF1149" s="158"/>
      <c r="AG1149" s="94">
        <v>0</v>
      </c>
      <c r="AH1149" s="94"/>
      <c r="AI1149" s="94"/>
      <c r="AJ1149" s="158">
        <f t="shared" si="184"/>
        <v>0</v>
      </c>
      <c r="AK1149" s="158">
        <v>877</v>
      </c>
      <c r="AL1149" s="158">
        <v>10</v>
      </c>
      <c r="AM1149" s="158"/>
      <c r="AN1149" s="158"/>
      <c r="AO1149" s="23"/>
      <c r="AP1149" s="23"/>
      <c r="AQ1149" s="23"/>
      <c r="AR1149" s="23"/>
      <c r="AS1149" s="2">
        <v>1</v>
      </c>
      <c r="AT1149" s="58" t="s">
        <v>646</v>
      </c>
      <c r="AU1149" s="386" t="s">
        <v>1396</v>
      </c>
      <c r="AV1149" s="23"/>
      <c r="AW1149" s="50"/>
      <c r="AX1149" s="50"/>
      <c r="AY1149" s="23">
        <v>1</v>
      </c>
      <c r="AZ1149" s="23"/>
      <c r="BA1149" s="50"/>
      <c r="BB1149" s="223">
        <v>1</v>
      </c>
      <c r="BC1149" s="223"/>
      <c r="BD1149" s="270">
        <v>2019</v>
      </c>
      <c r="BE1149" s="270">
        <v>2019</v>
      </c>
      <c r="BF1149" s="271"/>
    </row>
    <row r="1150" spans="1:58" s="204" customFormat="1" ht="18" customHeight="1">
      <c r="A1150" s="160" t="s">
        <v>1</v>
      </c>
      <c r="B1150" s="58" t="s">
        <v>320</v>
      </c>
      <c r="C1150" s="503" t="s">
        <v>1198</v>
      </c>
      <c r="D1150" s="483" t="s">
        <v>438</v>
      </c>
      <c r="E1150" s="483"/>
      <c r="F1150" s="483"/>
      <c r="G1150" s="483"/>
      <c r="H1150" s="30" t="s">
        <v>1116</v>
      </c>
      <c r="I1150" s="78">
        <v>372</v>
      </c>
      <c r="J1150" s="212">
        <v>43411</v>
      </c>
      <c r="K1150" s="158"/>
      <c r="L1150" s="158"/>
      <c r="M1150" s="158">
        <v>1</v>
      </c>
      <c r="N1150" s="158">
        <v>1</v>
      </c>
      <c r="O1150" s="23"/>
      <c r="P1150" s="158">
        <v>76000000</v>
      </c>
      <c r="Q1150" s="158"/>
      <c r="R1150" s="158"/>
      <c r="S1150" s="158"/>
      <c r="T1150" s="624">
        <v>76000000</v>
      </c>
      <c r="U1150" s="72">
        <v>20</v>
      </c>
      <c r="V1150" s="484">
        <v>43920</v>
      </c>
      <c r="W1150" s="484"/>
      <c r="X1150" s="484"/>
      <c r="Y1150" s="214"/>
      <c r="Z1150" s="221"/>
      <c r="AA1150" s="294"/>
      <c r="AB1150" s="632"/>
      <c r="AC1150" s="294"/>
      <c r="AD1150" s="158"/>
      <c r="AE1150" s="158">
        <f t="shared" si="183"/>
        <v>0</v>
      </c>
      <c r="AF1150" s="158"/>
      <c r="AG1150" s="94">
        <v>0</v>
      </c>
      <c r="AH1150" s="94"/>
      <c r="AI1150" s="94"/>
      <c r="AJ1150" s="158">
        <f t="shared" si="184"/>
        <v>0</v>
      </c>
      <c r="AK1150" s="158">
        <v>877</v>
      </c>
      <c r="AL1150" s="158">
        <v>20</v>
      </c>
      <c r="AM1150" s="158"/>
      <c r="AN1150" s="158"/>
      <c r="AO1150" s="593">
        <v>1</v>
      </c>
      <c r="AP1150" s="23"/>
      <c r="AQ1150" s="23"/>
      <c r="AR1150" s="23"/>
      <c r="AS1150" s="2">
        <v>1</v>
      </c>
      <c r="AT1150" s="594" t="s">
        <v>646</v>
      </c>
      <c r="AU1150" s="386"/>
      <c r="AV1150" s="23"/>
      <c r="AW1150" s="50"/>
      <c r="AX1150" s="50"/>
      <c r="AY1150" s="50"/>
      <c r="AZ1150" s="50"/>
      <c r="BA1150" s="50"/>
      <c r="BB1150" s="293"/>
      <c r="BC1150" s="293"/>
      <c r="BD1150" s="271"/>
      <c r="BE1150" s="271">
        <v>2019</v>
      </c>
      <c r="BF1150" s="271">
        <v>2020</v>
      </c>
    </row>
    <row r="1151" spans="1:58" ht="18" hidden="1" customHeight="1">
      <c r="A1151" s="248" t="s">
        <v>1</v>
      </c>
      <c r="B1151" s="58" t="s">
        <v>320</v>
      </c>
      <c r="C1151" s="264" t="s">
        <v>1199</v>
      </c>
      <c r="D1151" s="33" t="s">
        <v>438</v>
      </c>
      <c r="E1151" s="33"/>
      <c r="F1151" s="33"/>
      <c r="G1151" s="33"/>
      <c r="H1151" s="30" t="s">
        <v>1116</v>
      </c>
      <c r="I1151" s="30">
        <v>371</v>
      </c>
      <c r="J1151" s="212">
        <v>43411</v>
      </c>
      <c r="K1151" s="23"/>
      <c r="L1151" s="23">
        <v>1</v>
      </c>
      <c r="M1151" s="158"/>
      <c r="N1151" s="158"/>
      <c r="O1151" s="158"/>
      <c r="P1151" s="158">
        <v>76000000</v>
      </c>
      <c r="Q1151" s="158"/>
      <c r="R1151" s="158"/>
      <c r="S1151" s="158"/>
      <c r="T1151" s="586">
        <v>76000000</v>
      </c>
      <c r="U1151" s="158">
        <v>10</v>
      </c>
      <c r="V1151" s="311">
        <v>43586</v>
      </c>
      <c r="W1151" s="311"/>
      <c r="X1151" s="311"/>
      <c r="Y1151" s="214"/>
      <c r="Z1151" s="214"/>
      <c r="AA1151" s="214"/>
      <c r="AB1151" s="214"/>
      <c r="AC1151" s="214"/>
      <c r="AD1151" s="158"/>
      <c r="AE1151" s="158">
        <f t="shared" si="183"/>
        <v>0</v>
      </c>
      <c r="AF1151" s="158"/>
      <c r="AG1151" s="94">
        <v>0</v>
      </c>
      <c r="AH1151" s="94"/>
      <c r="AI1151" s="94"/>
      <c r="AJ1151" s="158">
        <f t="shared" si="184"/>
        <v>0</v>
      </c>
      <c r="AK1151" s="158">
        <v>877</v>
      </c>
      <c r="AL1151" s="158">
        <v>10</v>
      </c>
      <c r="AM1151" s="158"/>
      <c r="AN1151" s="158"/>
      <c r="AO1151" s="23"/>
      <c r="AP1151" s="23"/>
      <c r="AQ1151" s="23"/>
      <c r="AR1151" s="23"/>
      <c r="AS1151" s="2">
        <v>1</v>
      </c>
      <c r="AT1151" s="58" t="s">
        <v>646</v>
      </c>
      <c r="AU1151" s="386" t="s">
        <v>1397</v>
      </c>
      <c r="AV1151" s="23"/>
      <c r="AW1151" s="50"/>
      <c r="AX1151" s="50"/>
      <c r="AY1151" s="23">
        <v>1</v>
      </c>
      <c r="AZ1151" s="23"/>
      <c r="BA1151" s="50"/>
      <c r="BB1151" s="223">
        <v>1</v>
      </c>
      <c r="BC1151" s="223"/>
      <c r="BD1151" s="270">
        <v>2019</v>
      </c>
      <c r="BE1151" s="270">
        <v>2019</v>
      </c>
      <c r="BF1151" s="271"/>
    </row>
    <row r="1152" spans="1:58" ht="18" hidden="1" customHeight="1">
      <c r="A1152" s="160" t="s">
        <v>1</v>
      </c>
      <c r="B1152" s="58" t="s">
        <v>320</v>
      </c>
      <c r="C1152" s="66" t="s">
        <v>1200</v>
      </c>
      <c r="D1152" s="33" t="s">
        <v>1936</v>
      </c>
      <c r="E1152" s="33"/>
      <c r="F1152" s="33"/>
      <c r="G1152" s="33"/>
      <c r="H1152" s="30" t="s">
        <v>1116</v>
      </c>
      <c r="I1152" s="30">
        <v>308</v>
      </c>
      <c r="J1152" s="212">
        <v>43404</v>
      </c>
      <c r="K1152" s="23"/>
      <c r="L1152" s="23">
        <v>1</v>
      </c>
      <c r="M1152" s="158"/>
      <c r="N1152" s="158"/>
      <c r="O1152" s="158"/>
      <c r="P1152" s="158">
        <v>76000000</v>
      </c>
      <c r="Q1152" s="158"/>
      <c r="R1152" s="158"/>
      <c r="S1152" s="158"/>
      <c r="T1152" s="586">
        <v>76000000</v>
      </c>
      <c r="U1152" s="158">
        <v>10</v>
      </c>
      <c r="V1152" s="311">
        <v>43586</v>
      </c>
      <c r="W1152" s="311"/>
      <c r="X1152" s="311"/>
      <c r="Y1152" s="214"/>
      <c r="Z1152" s="214"/>
      <c r="AA1152" s="214"/>
      <c r="AB1152" s="214"/>
      <c r="AC1152" s="214"/>
      <c r="AD1152" s="158"/>
      <c r="AE1152" s="158">
        <f t="shared" si="183"/>
        <v>0</v>
      </c>
      <c r="AF1152" s="158"/>
      <c r="AG1152" s="94">
        <v>0</v>
      </c>
      <c r="AH1152" s="94"/>
      <c r="AI1152" s="94"/>
      <c r="AJ1152" s="158">
        <f t="shared" si="184"/>
        <v>0</v>
      </c>
      <c r="AK1152" s="158">
        <v>877</v>
      </c>
      <c r="AL1152" s="158">
        <v>10</v>
      </c>
      <c r="AM1152" s="158"/>
      <c r="AN1152" s="158"/>
      <c r="AO1152" s="23"/>
      <c r="AP1152" s="23"/>
      <c r="AQ1152" s="23"/>
      <c r="AR1152" s="23"/>
      <c r="AS1152" s="2">
        <v>1</v>
      </c>
      <c r="AT1152" s="58" t="s">
        <v>646</v>
      </c>
      <c r="AU1152" s="386" t="s">
        <v>1397</v>
      </c>
      <c r="AV1152" s="23"/>
      <c r="AW1152" s="50"/>
      <c r="AX1152" s="50"/>
      <c r="AY1152" s="23">
        <v>1</v>
      </c>
      <c r="AZ1152" s="23"/>
      <c r="BA1152" s="50"/>
      <c r="BB1152" s="223">
        <v>1</v>
      </c>
      <c r="BC1152" s="223"/>
      <c r="BD1152" s="270">
        <v>2019</v>
      </c>
      <c r="BE1152" s="270">
        <v>2019</v>
      </c>
      <c r="BF1152" s="271"/>
    </row>
    <row r="1153" spans="1:58" ht="15" hidden="1" customHeight="1">
      <c r="A1153" s="160" t="s">
        <v>1</v>
      </c>
      <c r="B1153" s="58" t="s">
        <v>320</v>
      </c>
      <c r="C1153" s="66" t="s">
        <v>977</v>
      </c>
      <c r="D1153" s="33" t="s">
        <v>1183</v>
      </c>
      <c r="E1153" s="33"/>
      <c r="F1153" s="33"/>
      <c r="G1153" s="33"/>
      <c r="H1153" s="30" t="s">
        <v>655</v>
      </c>
      <c r="I1153" s="30"/>
      <c r="J1153" s="212"/>
      <c r="K1153" s="158"/>
      <c r="L1153" s="158"/>
      <c r="M1153" s="158"/>
      <c r="N1153" s="158"/>
      <c r="O1153" s="158"/>
      <c r="P1153" s="158"/>
      <c r="Q1153" s="158"/>
      <c r="R1153" s="158"/>
      <c r="S1153" s="158"/>
      <c r="T1153" s="586"/>
      <c r="U1153" s="158"/>
      <c r="V1153" s="311"/>
      <c r="W1153" s="311"/>
      <c r="X1153" s="311"/>
      <c r="Y1153" s="158"/>
      <c r="Z1153" s="158"/>
      <c r="AA1153" s="158"/>
      <c r="AB1153" s="158"/>
      <c r="AC1153" s="158"/>
      <c r="AD1153" s="158"/>
      <c r="AE1153" s="158"/>
      <c r="AF1153" s="158"/>
      <c r="AG1153" s="158"/>
      <c r="AH1153" s="158"/>
      <c r="AI1153" s="158"/>
      <c r="AJ1153" s="158"/>
      <c r="AK1153" s="158"/>
      <c r="AL1153" s="158"/>
      <c r="AM1153" s="158"/>
      <c r="AN1153" s="158"/>
      <c r="AO1153" s="158"/>
      <c r="AP1153" s="23"/>
      <c r="AQ1153" s="23"/>
      <c r="AR1153" s="23"/>
      <c r="AS1153" s="2">
        <v>1</v>
      </c>
      <c r="AT1153" s="58" t="s">
        <v>646</v>
      </c>
      <c r="AU1153" s="105"/>
      <c r="AV1153" s="23"/>
      <c r="AW1153" s="50"/>
      <c r="AX1153" s="158">
        <v>1</v>
      </c>
      <c r="AY1153" s="158"/>
      <c r="AZ1153" s="158"/>
      <c r="BA1153" s="158">
        <v>1</v>
      </c>
      <c r="BB1153" s="69"/>
      <c r="BC1153" s="69"/>
      <c r="BD1153" s="270">
        <v>2018</v>
      </c>
      <c r="BE1153" s="270"/>
      <c r="BF1153" s="268"/>
    </row>
    <row r="1154" spans="1:58" ht="15" hidden="1" customHeight="1">
      <c r="A1154" s="160" t="s">
        <v>1</v>
      </c>
      <c r="B1154" s="58" t="s">
        <v>320</v>
      </c>
      <c r="C1154" s="66" t="s">
        <v>1206</v>
      </c>
      <c r="D1154" s="33" t="s">
        <v>1183</v>
      </c>
      <c r="E1154" s="33"/>
      <c r="F1154" s="33"/>
      <c r="G1154" s="33"/>
      <c r="H1154" s="30" t="s">
        <v>663</v>
      </c>
      <c r="I1154" s="30"/>
      <c r="J1154" s="212"/>
      <c r="K1154" s="158"/>
      <c r="L1154" s="158"/>
      <c r="M1154" s="158"/>
      <c r="N1154" s="158"/>
      <c r="O1154" s="158"/>
      <c r="P1154" s="158"/>
      <c r="Q1154" s="158"/>
      <c r="R1154" s="158"/>
      <c r="S1154" s="158"/>
      <c r="T1154" s="586"/>
      <c r="U1154" s="158"/>
      <c r="V1154" s="311"/>
      <c r="W1154" s="311"/>
      <c r="X1154" s="311"/>
      <c r="Y1154" s="158"/>
      <c r="Z1154" s="158"/>
      <c r="AA1154" s="158"/>
      <c r="AB1154" s="158"/>
      <c r="AC1154" s="158"/>
      <c r="AD1154" s="158"/>
      <c r="AE1154" s="158"/>
      <c r="AF1154" s="158"/>
      <c r="AG1154" s="158"/>
      <c r="AH1154" s="158"/>
      <c r="AI1154" s="158"/>
      <c r="AJ1154" s="158"/>
      <c r="AK1154" s="158"/>
      <c r="AL1154" s="158"/>
      <c r="AM1154" s="158"/>
      <c r="AN1154" s="158"/>
      <c r="AO1154" s="158"/>
      <c r="AP1154" s="23"/>
      <c r="AQ1154" s="23"/>
      <c r="AR1154" s="23"/>
      <c r="AS1154" s="2">
        <v>1</v>
      </c>
      <c r="AT1154" s="58" t="s">
        <v>646</v>
      </c>
      <c r="AU1154" s="105"/>
      <c r="AV1154" s="23"/>
      <c r="AW1154" s="50"/>
      <c r="AX1154" s="158">
        <v>1</v>
      </c>
      <c r="AY1154" s="158"/>
      <c r="AZ1154" s="158"/>
      <c r="BA1154" s="158">
        <v>1</v>
      </c>
      <c r="BB1154" s="69"/>
      <c r="BC1154" s="69"/>
      <c r="BD1154" s="270">
        <v>2018</v>
      </c>
      <c r="BE1154" s="270"/>
      <c r="BF1154" s="268"/>
    </row>
    <row r="1155" spans="1:58" ht="15" hidden="1" customHeight="1">
      <c r="A1155" s="160" t="s">
        <v>1</v>
      </c>
      <c r="B1155" s="58" t="s">
        <v>320</v>
      </c>
      <c r="C1155" s="66" t="s">
        <v>1207</v>
      </c>
      <c r="D1155" s="33" t="s">
        <v>1183</v>
      </c>
      <c r="E1155" s="33"/>
      <c r="F1155" s="33"/>
      <c r="G1155" s="33"/>
      <c r="H1155" s="30" t="s">
        <v>657</v>
      </c>
      <c r="I1155" s="30"/>
      <c r="J1155" s="212"/>
      <c r="K1155" s="158"/>
      <c r="L1155" s="158"/>
      <c r="M1155" s="158"/>
      <c r="N1155" s="158"/>
      <c r="O1155" s="158"/>
      <c r="P1155" s="158"/>
      <c r="Q1155" s="158"/>
      <c r="R1155" s="158"/>
      <c r="S1155" s="158"/>
      <c r="T1155" s="586"/>
      <c r="U1155" s="158"/>
      <c r="V1155" s="311"/>
      <c r="W1155" s="311"/>
      <c r="X1155" s="311"/>
      <c r="Y1155" s="158"/>
      <c r="Z1155" s="158"/>
      <c r="AA1155" s="158"/>
      <c r="AB1155" s="158"/>
      <c r="AC1155" s="158"/>
      <c r="AD1155" s="158"/>
      <c r="AE1155" s="158"/>
      <c r="AF1155" s="158"/>
      <c r="AG1155" s="158"/>
      <c r="AH1155" s="158"/>
      <c r="AI1155" s="158"/>
      <c r="AJ1155" s="158"/>
      <c r="AK1155" s="158"/>
      <c r="AL1155" s="158"/>
      <c r="AM1155" s="158"/>
      <c r="AN1155" s="158"/>
      <c r="AO1155" s="158"/>
      <c r="AP1155" s="23"/>
      <c r="AQ1155" s="23"/>
      <c r="AR1155" s="23"/>
      <c r="AS1155" s="2">
        <v>1</v>
      </c>
      <c r="AT1155" s="58" t="s">
        <v>646</v>
      </c>
      <c r="AU1155" s="105"/>
      <c r="AV1155" s="23"/>
      <c r="AW1155" s="50"/>
      <c r="AX1155" s="158">
        <v>1</v>
      </c>
      <c r="AY1155" s="158"/>
      <c r="AZ1155" s="158"/>
      <c r="BA1155" s="158">
        <v>1</v>
      </c>
      <c r="BB1155" s="69"/>
      <c r="BC1155" s="69"/>
      <c r="BD1155" s="270">
        <v>2018</v>
      </c>
      <c r="BE1155" s="270"/>
      <c r="BF1155" s="268"/>
    </row>
    <row r="1156" spans="1:58" ht="18" hidden="1" customHeight="1">
      <c r="A1156" s="230" t="s">
        <v>1</v>
      </c>
      <c r="B1156" s="58" t="s">
        <v>320</v>
      </c>
      <c r="C1156" s="241" t="s">
        <v>1220</v>
      </c>
      <c r="D1156" s="33" t="s">
        <v>1936</v>
      </c>
      <c r="E1156" s="33"/>
      <c r="F1156" s="33"/>
      <c r="G1156" s="33"/>
      <c r="H1156" s="30" t="s">
        <v>647</v>
      </c>
      <c r="I1156" s="228" t="s">
        <v>1699</v>
      </c>
      <c r="J1156" s="215" t="s">
        <v>1698</v>
      </c>
      <c r="K1156" s="23"/>
      <c r="L1156" s="23">
        <v>1</v>
      </c>
      <c r="M1156" s="158"/>
      <c r="N1156" s="158"/>
      <c r="O1156" s="158"/>
      <c r="P1156" s="158">
        <v>61288248</v>
      </c>
      <c r="Q1156" s="158"/>
      <c r="R1156" s="158"/>
      <c r="S1156" s="158"/>
      <c r="T1156" s="586">
        <v>61288248</v>
      </c>
      <c r="U1156" s="158">
        <v>10</v>
      </c>
      <c r="V1156" s="311">
        <v>43497</v>
      </c>
      <c r="W1156" s="311"/>
      <c r="X1156" s="311"/>
      <c r="Y1156" s="158"/>
      <c r="Z1156" s="158"/>
      <c r="AA1156" s="5"/>
      <c r="AB1156" s="5"/>
      <c r="AC1156" s="5"/>
      <c r="AD1156" s="158"/>
      <c r="AE1156" s="158">
        <f t="shared" ref="AE1156:AE1219" si="185">P1156-T1156-Y1156</f>
        <v>0</v>
      </c>
      <c r="AF1156" s="158"/>
      <c r="AG1156" s="94">
        <v>0</v>
      </c>
      <c r="AH1156" s="94"/>
      <c r="AI1156" s="94"/>
      <c r="AJ1156" s="158">
        <f t="shared" ref="AJ1156:AJ1219" si="186">AE1156+AG1156</f>
        <v>0</v>
      </c>
      <c r="AK1156" s="158">
        <v>877</v>
      </c>
      <c r="AL1156" s="158">
        <v>10</v>
      </c>
      <c r="AM1156" s="158"/>
      <c r="AN1156" s="158"/>
      <c r="AO1156" s="158"/>
      <c r="AP1156" s="23"/>
      <c r="AQ1156" s="23"/>
      <c r="AR1156" s="23"/>
      <c r="AS1156" s="2">
        <v>1</v>
      </c>
      <c r="AT1156" s="58" t="s">
        <v>646</v>
      </c>
      <c r="AU1156" s="386" t="s">
        <v>1398</v>
      </c>
      <c r="AV1156" s="23"/>
      <c r="AW1156" s="50"/>
      <c r="AX1156" s="158"/>
      <c r="AY1156" s="23">
        <v>1</v>
      </c>
      <c r="AZ1156" s="23"/>
      <c r="BA1156" s="158"/>
      <c r="BB1156" s="223">
        <v>1</v>
      </c>
      <c r="BC1156" s="223"/>
      <c r="BD1156" s="270">
        <v>2019</v>
      </c>
      <c r="BE1156" s="270">
        <v>2019</v>
      </c>
      <c r="BF1156" s="271"/>
    </row>
    <row r="1157" spans="1:58" s="204" customFormat="1" ht="18" customHeight="1">
      <c r="A1157" s="160" t="s">
        <v>1</v>
      </c>
      <c r="B1157" s="58" t="s">
        <v>320</v>
      </c>
      <c r="C1157" s="66" t="s">
        <v>1221</v>
      </c>
      <c r="D1157" s="33" t="s">
        <v>387</v>
      </c>
      <c r="E1157" s="33"/>
      <c r="F1157" s="33"/>
      <c r="G1157" s="33"/>
      <c r="H1157" s="30" t="s">
        <v>647</v>
      </c>
      <c r="I1157" s="115" t="s">
        <v>1916</v>
      </c>
      <c r="J1157" s="215" t="s">
        <v>1917</v>
      </c>
      <c r="K1157" s="158"/>
      <c r="L1157" s="158"/>
      <c r="M1157" s="158">
        <v>1</v>
      </c>
      <c r="N1157" s="158">
        <v>1</v>
      </c>
      <c r="O1157" s="23"/>
      <c r="P1157" s="158">
        <v>63032547</v>
      </c>
      <c r="Q1157" s="158"/>
      <c r="R1157" s="158"/>
      <c r="S1157" s="158"/>
      <c r="T1157" s="586">
        <v>28364646</v>
      </c>
      <c r="U1157" s="158">
        <v>10</v>
      </c>
      <c r="V1157" s="311">
        <v>43497</v>
      </c>
      <c r="W1157" s="311"/>
      <c r="X1157" s="311"/>
      <c r="Y1157" s="158">
        <v>34667901</v>
      </c>
      <c r="Z1157" s="69">
        <v>20</v>
      </c>
      <c r="AA1157" s="311">
        <v>43800</v>
      </c>
      <c r="AB1157" s="577"/>
      <c r="AC1157" s="69"/>
      <c r="AD1157" s="158"/>
      <c r="AE1157" s="158">
        <f t="shared" si="185"/>
        <v>0</v>
      </c>
      <c r="AF1157" s="158"/>
      <c r="AG1157" s="94">
        <v>0</v>
      </c>
      <c r="AH1157" s="94"/>
      <c r="AI1157" s="94"/>
      <c r="AJ1157" s="158">
        <f t="shared" si="186"/>
        <v>0</v>
      </c>
      <c r="AK1157" s="158">
        <v>877</v>
      </c>
      <c r="AL1157" s="158">
        <v>20</v>
      </c>
      <c r="AM1157" s="158"/>
      <c r="AN1157" s="158">
        <v>1</v>
      </c>
      <c r="AO1157" s="158"/>
      <c r="AP1157" s="23"/>
      <c r="AQ1157" s="23"/>
      <c r="AR1157" s="23"/>
      <c r="AS1157" s="2">
        <v>0.45</v>
      </c>
      <c r="AT1157" s="58" t="s">
        <v>38</v>
      </c>
      <c r="AU1157" s="386"/>
      <c r="AV1157" s="23"/>
      <c r="AW1157" s="50"/>
      <c r="AX1157" s="158"/>
      <c r="AY1157" s="158"/>
      <c r="AZ1157" s="158"/>
      <c r="BA1157" s="158"/>
      <c r="BB1157" s="69"/>
      <c r="BC1157" s="69"/>
      <c r="BD1157" s="271"/>
      <c r="BE1157" s="271">
        <v>2019</v>
      </c>
      <c r="BF1157" s="271">
        <v>2020</v>
      </c>
    </row>
    <row r="1158" spans="1:58" ht="18" hidden="1" customHeight="1">
      <c r="A1158" s="160" t="s">
        <v>1</v>
      </c>
      <c r="B1158" s="58" t="s">
        <v>1427</v>
      </c>
      <c r="C1158" s="66" t="s">
        <v>1272</v>
      </c>
      <c r="D1158" s="33" t="s">
        <v>387</v>
      </c>
      <c r="E1158" s="33"/>
      <c r="F1158" s="33"/>
      <c r="G1158" s="33"/>
      <c r="H1158" s="30" t="s">
        <v>1232</v>
      </c>
      <c r="I1158" s="30">
        <v>755</v>
      </c>
      <c r="J1158" s="212">
        <v>43584</v>
      </c>
      <c r="K1158" s="158"/>
      <c r="L1158" s="158"/>
      <c r="M1158" s="158">
        <v>1</v>
      </c>
      <c r="N1158" s="158"/>
      <c r="O1158" s="158"/>
      <c r="P1158" s="158">
        <v>65788897</v>
      </c>
      <c r="Q1158" s="158"/>
      <c r="R1158" s="158"/>
      <c r="S1158" s="158"/>
      <c r="T1158" s="586">
        <v>65788897</v>
      </c>
      <c r="U1158" s="158">
        <v>20</v>
      </c>
      <c r="V1158" s="311">
        <v>43709</v>
      </c>
      <c r="W1158" s="311"/>
      <c r="X1158" s="311"/>
      <c r="Y1158" s="158"/>
      <c r="Z1158" s="69"/>
      <c r="AA1158" s="69"/>
      <c r="AB1158" s="69"/>
      <c r="AC1158" s="69"/>
      <c r="AD1158" s="158"/>
      <c r="AE1158" s="158">
        <f t="shared" si="185"/>
        <v>0</v>
      </c>
      <c r="AF1158" s="158"/>
      <c r="AG1158" s="94">
        <v>0</v>
      </c>
      <c r="AH1158" s="94"/>
      <c r="AI1158" s="94"/>
      <c r="AJ1158" s="158">
        <f t="shared" si="186"/>
        <v>0</v>
      </c>
      <c r="AK1158" s="158">
        <v>877</v>
      </c>
      <c r="AL1158" s="158">
        <v>20</v>
      </c>
      <c r="AM1158" s="158"/>
      <c r="AN1158" s="158"/>
      <c r="AO1158" s="158"/>
      <c r="AP1158" s="23"/>
      <c r="AQ1158" s="23"/>
      <c r="AR1158" s="23"/>
      <c r="AS1158" s="2">
        <v>1</v>
      </c>
      <c r="AT1158" s="58" t="s">
        <v>646</v>
      </c>
      <c r="AU1158" s="388" t="s">
        <v>1958</v>
      </c>
      <c r="AV1158" s="23"/>
      <c r="AW1158" s="50"/>
      <c r="AX1158" s="158"/>
      <c r="AY1158" s="158">
        <v>1</v>
      </c>
      <c r="AZ1158" s="158"/>
      <c r="BA1158" s="158"/>
      <c r="BB1158" s="69">
        <v>1</v>
      </c>
      <c r="BC1158" s="69"/>
      <c r="BD1158" s="270">
        <v>2019</v>
      </c>
      <c r="BE1158" s="270">
        <v>2019</v>
      </c>
      <c r="BF1158" s="271"/>
    </row>
    <row r="1159" spans="1:58" s="204" customFormat="1" ht="18" customHeight="1">
      <c r="A1159" s="248" t="s">
        <v>1</v>
      </c>
      <c r="B1159" s="58" t="s">
        <v>1428</v>
      </c>
      <c r="C1159" s="510" t="s">
        <v>1909</v>
      </c>
      <c r="D1159" s="483" t="s">
        <v>438</v>
      </c>
      <c r="E1159" s="483"/>
      <c r="F1159" s="483"/>
      <c r="G1159" s="483"/>
      <c r="H1159" s="30" t="s">
        <v>1232</v>
      </c>
      <c r="I1159" s="30">
        <v>587</v>
      </c>
      <c r="J1159" s="212">
        <v>43558</v>
      </c>
      <c r="K1159" s="158"/>
      <c r="L1159" s="158"/>
      <c r="M1159" s="158">
        <v>1</v>
      </c>
      <c r="N1159" s="158">
        <v>1</v>
      </c>
      <c r="O1159" s="23"/>
      <c r="P1159" s="158">
        <v>68135900</v>
      </c>
      <c r="Q1159" s="158"/>
      <c r="R1159" s="158"/>
      <c r="S1159" s="158"/>
      <c r="T1159" s="624">
        <v>68135900</v>
      </c>
      <c r="U1159" s="72">
        <v>10</v>
      </c>
      <c r="V1159" s="484">
        <v>43917</v>
      </c>
      <c r="W1159" s="484"/>
      <c r="X1159" s="484"/>
      <c r="Y1159" s="158"/>
      <c r="Z1159" s="158"/>
      <c r="AA1159" s="92"/>
      <c r="AB1159" s="633"/>
      <c r="AC1159" s="92"/>
      <c r="AD1159" s="158"/>
      <c r="AE1159" s="158">
        <f t="shared" si="185"/>
        <v>0</v>
      </c>
      <c r="AF1159" s="158"/>
      <c r="AG1159" s="94">
        <v>0</v>
      </c>
      <c r="AH1159" s="94"/>
      <c r="AI1159" s="94"/>
      <c r="AJ1159" s="158">
        <f t="shared" si="186"/>
        <v>0</v>
      </c>
      <c r="AK1159" s="158">
        <v>877</v>
      </c>
      <c r="AL1159" s="158">
        <v>10</v>
      </c>
      <c r="AM1159" s="158"/>
      <c r="AN1159" s="158"/>
      <c r="AO1159" s="592">
        <v>1</v>
      </c>
      <c r="AP1159" s="23"/>
      <c r="AQ1159" s="23"/>
      <c r="AR1159" s="23"/>
      <c r="AS1159" s="2">
        <v>1</v>
      </c>
      <c r="AT1159" s="594" t="s">
        <v>646</v>
      </c>
      <c r="AU1159" s="386"/>
      <c r="AV1159" s="23"/>
      <c r="AW1159" s="50"/>
      <c r="AX1159" s="158"/>
      <c r="AY1159" s="158"/>
      <c r="AZ1159" s="72">
        <v>1</v>
      </c>
      <c r="BA1159" s="158"/>
      <c r="BB1159" s="69"/>
      <c r="BC1159" s="69"/>
      <c r="BD1159" s="271"/>
      <c r="BE1159" s="271">
        <v>2019</v>
      </c>
      <c r="BF1159" s="271">
        <v>2020</v>
      </c>
    </row>
    <row r="1160" spans="1:58" s="204" customFormat="1" ht="18" customHeight="1">
      <c r="A1160" s="160" t="s">
        <v>1</v>
      </c>
      <c r="B1160" s="58" t="s">
        <v>1431</v>
      </c>
      <c r="C1160" s="503" t="s">
        <v>1429</v>
      </c>
      <c r="D1160" s="483" t="s">
        <v>438</v>
      </c>
      <c r="E1160" s="483"/>
      <c r="F1160" s="483"/>
      <c r="G1160" s="483"/>
      <c r="H1160" s="30" t="s">
        <v>1232</v>
      </c>
      <c r="I1160" s="30">
        <v>585</v>
      </c>
      <c r="J1160" s="212">
        <v>43558</v>
      </c>
      <c r="K1160" s="158"/>
      <c r="L1160" s="158"/>
      <c r="M1160" s="158">
        <v>1</v>
      </c>
      <c r="N1160" s="158">
        <v>1</v>
      </c>
      <c r="O1160" s="23"/>
      <c r="P1160" s="158">
        <v>77562674</v>
      </c>
      <c r="Q1160" s="158"/>
      <c r="R1160" s="158"/>
      <c r="S1160" s="158"/>
      <c r="T1160" s="624">
        <v>77562674</v>
      </c>
      <c r="U1160" s="72">
        <v>10</v>
      </c>
      <c r="V1160" s="484">
        <v>43917</v>
      </c>
      <c r="W1160" s="484"/>
      <c r="X1160" s="484"/>
      <c r="Y1160" s="158"/>
      <c r="Z1160" s="158"/>
      <c r="AA1160" s="158"/>
      <c r="AB1160" s="156"/>
      <c r="AC1160" s="158"/>
      <c r="AD1160" s="158"/>
      <c r="AE1160" s="158">
        <f t="shared" si="185"/>
        <v>0</v>
      </c>
      <c r="AF1160" s="158"/>
      <c r="AG1160" s="94">
        <v>0</v>
      </c>
      <c r="AH1160" s="94"/>
      <c r="AI1160" s="94"/>
      <c r="AJ1160" s="158">
        <f t="shared" si="186"/>
        <v>0</v>
      </c>
      <c r="AK1160" s="158">
        <v>877</v>
      </c>
      <c r="AL1160" s="158">
        <v>10</v>
      </c>
      <c r="AM1160" s="158"/>
      <c r="AN1160" s="158"/>
      <c r="AO1160" s="592">
        <v>1</v>
      </c>
      <c r="AP1160" s="23"/>
      <c r="AQ1160" s="23"/>
      <c r="AR1160" s="23"/>
      <c r="AS1160" s="2">
        <v>1</v>
      </c>
      <c r="AT1160" s="594" t="s">
        <v>646</v>
      </c>
      <c r="AU1160" s="386"/>
      <c r="AV1160" s="23"/>
      <c r="AW1160" s="50"/>
      <c r="AX1160" s="158"/>
      <c r="AY1160" s="158"/>
      <c r="AZ1160" s="158"/>
      <c r="BA1160" s="158"/>
      <c r="BB1160" s="69"/>
      <c r="BC1160" s="69"/>
      <c r="BD1160" s="271"/>
      <c r="BE1160" s="271">
        <v>2019</v>
      </c>
      <c r="BF1160" s="271">
        <v>2020</v>
      </c>
    </row>
    <row r="1161" spans="1:58" s="204" customFormat="1" ht="18" customHeight="1">
      <c r="A1161" s="160" t="s">
        <v>1</v>
      </c>
      <c r="B1161" s="58" t="s">
        <v>1432</v>
      </c>
      <c r="C1161" s="66" t="s">
        <v>1430</v>
      </c>
      <c r="D1161" s="33" t="s">
        <v>438</v>
      </c>
      <c r="E1161" s="33"/>
      <c r="F1161" s="33"/>
      <c r="G1161" s="33"/>
      <c r="H1161" s="30" t="s">
        <v>1232</v>
      </c>
      <c r="I1161" s="30">
        <v>591</v>
      </c>
      <c r="J1161" s="212">
        <v>43559</v>
      </c>
      <c r="K1161" s="158"/>
      <c r="L1161" s="158"/>
      <c r="M1161" s="158">
        <v>1</v>
      </c>
      <c r="N1161" s="158">
        <v>1</v>
      </c>
      <c r="O1161" s="23"/>
      <c r="P1161" s="158">
        <v>79800000</v>
      </c>
      <c r="Q1161" s="158"/>
      <c r="R1161" s="158"/>
      <c r="S1161" s="158"/>
      <c r="T1161" s="586"/>
      <c r="U1161" s="158"/>
      <c r="V1161" s="311"/>
      <c r="W1161" s="311"/>
      <c r="X1161" s="311"/>
      <c r="Y1161" s="158"/>
      <c r="Z1161" s="158"/>
      <c r="AA1161" s="158"/>
      <c r="AB1161" s="158"/>
      <c r="AC1161" s="158"/>
      <c r="AD1161" s="158"/>
      <c r="AE1161" s="158">
        <f t="shared" si="185"/>
        <v>79800000</v>
      </c>
      <c r="AF1161" s="158"/>
      <c r="AG1161" s="94">
        <v>0</v>
      </c>
      <c r="AH1161" s="94"/>
      <c r="AI1161" s="94"/>
      <c r="AJ1161" s="158">
        <f t="shared" si="186"/>
        <v>79800000</v>
      </c>
      <c r="AK1161" s="158">
        <v>877</v>
      </c>
      <c r="AL1161" s="158">
        <v>10</v>
      </c>
      <c r="AM1161" s="158">
        <v>1</v>
      </c>
      <c r="AN1161" s="158"/>
      <c r="AO1161" s="158"/>
      <c r="AP1161" s="23"/>
      <c r="AQ1161" s="23"/>
      <c r="AR1161" s="23"/>
      <c r="AS1161" s="2">
        <v>0</v>
      </c>
      <c r="AT1161" s="58" t="s">
        <v>521</v>
      </c>
      <c r="AU1161" s="386"/>
      <c r="AV1161" s="23"/>
      <c r="AW1161" s="50"/>
      <c r="AX1161" s="158"/>
      <c r="AY1161" s="158"/>
      <c r="AZ1161" s="158"/>
      <c r="BA1161" s="158"/>
      <c r="BB1161" s="69"/>
      <c r="BC1161" s="69"/>
      <c r="BD1161" s="271"/>
      <c r="BE1161" s="271">
        <v>2019</v>
      </c>
      <c r="BF1161" s="271">
        <v>2020</v>
      </c>
    </row>
    <row r="1162" spans="1:58" s="204" customFormat="1" ht="18" customHeight="1">
      <c r="A1162" s="160" t="s">
        <v>1</v>
      </c>
      <c r="B1162" s="58" t="s">
        <v>1434</v>
      </c>
      <c r="C1162" s="66" t="s">
        <v>1433</v>
      </c>
      <c r="D1162" s="33" t="s">
        <v>438</v>
      </c>
      <c r="E1162" s="33"/>
      <c r="F1162" s="33"/>
      <c r="G1162" s="33"/>
      <c r="H1162" s="30" t="s">
        <v>1232</v>
      </c>
      <c r="I1162" s="30">
        <v>586</v>
      </c>
      <c r="J1162" s="212">
        <v>43558</v>
      </c>
      <c r="K1162" s="158"/>
      <c r="L1162" s="158"/>
      <c r="M1162" s="158">
        <v>1</v>
      </c>
      <c r="N1162" s="158">
        <v>1</v>
      </c>
      <c r="O1162" s="23"/>
      <c r="P1162" s="158">
        <v>77520000</v>
      </c>
      <c r="Q1162" s="158"/>
      <c r="R1162" s="158"/>
      <c r="S1162" s="158"/>
      <c r="T1162" s="586"/>
      <c r="U1162" s="158"/>
      <c r="V1162" s="311"/>
      <c r="W1162" s="311"/>
      <c r="X1162" s="311"/>
      <c r="Y1162" s="158"/>
      <c r="Z1162" s="158"/>
      <c r="AA1162" s="158"/>
      <c r="AB1162" s="158"/>
      <c r="AC1162" s="158"/>
      <c r="AD1162" s="158"/>
      <c r="AE1162" s="158">
        <f t="shared" si="185"/>
        <v>77520000</v>
      </c>
      <c r="AF1162" s="158"/>
      <c r="AG1162" s="94">
        <v>0</v>
      </c>
      <c r="AH1162" s="94"/>
      <c r="AI1162" s="94"/>
      <c r="AJ1162" s="158">
        <f t="shared" si="186"/>
        <v>77520000</v>
      </c>
      <c r="AK1162" s="158">
        <v>877</v>
      </c>
      <c r="AL1162" s="158">
        <v>10</v>
      </c>
      <c r="AM1162" s="158">
        <v>1</v>
      </c>
      <c r="AN1162" s="158"/>
      <c r="AO1162" s="158"/>
      <c r="AP1162" s="23"/>
      <c r="AQ1162" s="23"/>
      <c r="AR1162" s="23"/>
      <c r="AS1162" s="2">
        <v>0</v>
      </c>
      <c r="AT1162" s="58" t="s">
        <v>521</v>
      </c>
      <c r="AU1162" s="386"/>
      <c r="AV1162" s="23"/>
      <c r="AW1162" s="50"/>
      <c r="AX1162" s="158"/>
      <c r="AY1162" s="158"/>
      <c r="AZ1162" s="158"/>
      <c r="BA1162" s="158"/>
      <c r="BB1162" s="69"/>
      <c r="BC1162" s="69"/>
      <c r="BD1162" s="271"/>
      <c r="BE1162" s="271">
        <v>2019</v>
      </c>
      <c r="BF1162" s="271">
        <v>2020</v>
      </c>
    </row>
    <row r="1163" spans="1:58" s="204" customFormat="1" ht="18" customHeight="1">
      <c r="A1163" s="160" t="s">
        <v>1</v>
      </c>
      <c r="B1163" s="58" t="s">
        <v>1438</v>
      </c>
      <c r="C1163" s="66" t="s">
        <v>1435</v>
      </c>
      <c r="D1163" s="33" t="s">
        <v>438</v>
      </c>
      <c r="E1163" s="33"/>
      <c r="F1163" s="33"/>
      <c r="G1163" s="33"/>
      <c r="H1163" s="30" t="s">
        <v>1232</v>
      </c>
      <c r="I1163" s="30">
        <v>649</v>
      </c>
      <c r="J1163" s="212">
        <v>43565</v>
      </c>
      <c r="K1163" s="158"/>
      <c r="L1163" s="158"/>
      <c r="M1163" s="158">
        <v>1</v>
      </c>
      <c r="N1163" s="158">
        <v>1</v>
      </c>
      <c r="O1163" s="23"/>
      <c r="P1163" s="158">
        <v>80277356</v>
      </c>
      <c r="Q1163" s="158"/>
      <c r="R1163" s="158"/>
      <c r="S1163" s="158"/>
      <c r="T1163" s="586"/>
      <c r="U1163" s="158"/>
      <c r="V1163" s="311"/>
      <c r="W1163" s="311"/>
      <c r="X1163" s="311"/>
      <c r="Y1163" s="158"/>
      <c r="Z1163" s="158"/>
      <c r="AA1163" s="158"/>
      <c r="AB1163" s="158"/>
      <c r="AC1163" s="158"/>
      <c r="AD1163" s="158"/>
      <c r="AE1163" s="158">
        <f t="shared" si="185"/>
        <v>80277356</v>
      </c>
      <c r="AF1163" s="158"/>
      <c r="AG1163" s="94">
        <v>0</v>
      </c>
      <c r="AH1163" s="94"/>
      <c r="AI1163" s="94"/>
      <c r="AJ1163" s="158">
        <f t="shared" si="186"/>
        <v>80277356</v>
      </c>
      <c r="AK1163" s="158">
        <v>877</v>
      </c>
      <c r="AL1163" s="158">
        <v>10</v>
      </c>
      <c r="AM1163" s="158">
        <v>1</v>
      </c>
      <c r="AN1163" s="158"/>
      <c r="AO1163" s="158"/>
      <c r="AP1163" s="23"/>
      <c r="AQ1163" s="23"/>
      <c r="AR1163" s="23"/>
      <c r="AS1163" s="2">
        <v>0</v>
      </c>
      <c r="AT1163" s="58" t="s">
        <v>521</v>
      </c>
      <c r="AU1163" s="386"/>
      <c r="AV1163" s="23"/>
      <c r="AW1163" s="50"/>
      <c r="AX1163" s="158"/>
      <c r="AY1163" s="158"/>
      <c r="AZ1163" s="158"/>
      <c r="BA1163" s="158"/>
      <c r="BB1163" s="69"/>
      <c r="BC1163" s="69"/>
      <c r="BD1163" s="271"/>
      <c r="BE1163" s="271">
        <v>2019</v>
      </c>
      <c r="BF1163" s="271">
        <v>2020</v>
      </c>
    </row>
    <row r="1164" spans="1:58" ht="18" hidden="1" customHeight="1">
      <c r="A1164" s="160" t="s">
        <v>1</v>
      </c>
      <c r="B1164" s="58" t="s">
        <v>1439</v>
      </c>
      <c r="C1164" s="66" t="s">
        <v>1871</v>
      </c>
      <c r="D1164" s="33" t="s">
        <v>438</v>
      </c>
      <c r="E1164" s="33"/>
      <c r="F1164" s="33"/>
      <c r="G1164" s="33"/>
      <c r="H1164" s="30" t="s">
        <v>1232</v>
      </c>
      <c r="I1164" s="30">
        <v>648</v>
      </c>
      <c r="J1164" s="212">
        <v>43565</v>
      </c>
      <c r="K1164" s="158"/>
      <c r="L1164" s="158"/>
      <c r="M1164" s="158">
        <v>1</v>
      </c>
      <c r="N1164" s="158"/>
      <c r="O1164" s="158"/>
      <c r="P1164" s="158">
        <v>73625000</v>
      </c>
      <c r="Q1164" s="158"/>
      <c r="R1164" s="158"/>
      <c r="S1164" s="158"/>
      <c r="T1164" s="586">
        <v>73625000</v>
      </c>
      <c r="U1164" s="158">
        <v>20</v>
      </c>
      <c r="V1164" s="311">
        <v>43739</v>
      </c>
      <c r="W1164" s="311"/>
      <c r="X1164" s="311"/>
      <c r="Y1164" s="158"/>
      <c r="Z1164" s="158"/>
      <c r="AA1164" s="158"/>
      <c r="AB1164" s="158"/>
      <c r="AC1164" s="158"/>
      <c r="AD1164" s="158"/>
      <c r="AE1164" s="158">
        <f t="shared" si="185"/>
        <v>0</v>
      </c>
      <c r="AF1164" s="158"/>
      <c r="AG1164" s="94">
        <v>0</v>
      </c>
      <c r="AH1164" s="94"/>
      <c r="AI1164" s="94"/>
      <c r="AJ1164" s="158">
        <f t="shared" si="186"/>
        <v>0</v>
      </c>
      <c r="AK1164" s="158">
        <v>877</v>
      </c>
      <c r="AL1164" s="158">
        <v>20</v>
      </c>
      <c r="AM1164" s="158"/>
      <c r="AN1164" s="158"/>
      <c r="AO1164" s="158"/>
      <c r="AP1164" s="23"/>
      <c r="AQ1164" s="23"/>
      <c r="AR1164" s="23"/>
      <c r="AS1164" s="2">
        <v>1</v>
      </c>
      <c r="AT1164" s="58" t="s">
        <v>646</v>
      </c>
      <c r="AU1164" s="386" t="s">
        <v>1817</v>
      </c>
      <c r="AV1164" s="23"/>
      <c r="AW1164" s="50"/>
      <c r="AX1164" s="158"/>
      <c r="AY1164" s="158">
        <v>1</v>
      </c>
      <c r="AZ1164" s="158"/>
      <c r="BA1164" s="158"/>
      <c r="BB1164" s="69">
        <v>1</v>
      </c>
      <c r="BC1164" s="69"/>
      <c r="BD1164" s="270">
        <v>2019</v>
      </c>
      <c r="BE1164" s="270">
        <v>2019</v>
      </c>
      <c r="BF1164" s="271"/>
    </row>
    <row r="1165" spans="1:58" s="204" customFormat="1" ht="18" customHeight="1">
      <c r="A1165" s="160" t="s">
        <v>1</v>
      </c>
      <c r="B1165" s="58" t="s">
        <v>1440</v>
      </c>
      <c r="C1165" s="66" t="s">
        <v>1436</v>
      </c>
      <c r="D1165" s="33" t="s">
        <v>387</v>
      </c>
      <c r="E1165" s="33"/>
      <c r="F1165" s="33"/>
      <c r="G1165" s="33"/>
      <c r="H1165" s="30" t="s">
        <v>1232</v>
      </c>
      <c r="I1165" s="30">
        <v>758</v>
      </c>
      <c r="J1165" s="212">
        <v>43585</v>
      </c>
      <c r="K1165" s="158"/>
      <c r="L1165" s="158"/>
      <c r="M1165" s="158">
        <v>1</v>
      </c>
      <c r="N1165" s="158">
        <v>1</v>
      </c>
      <c r="O1165" s="23"/>
      <c r="P1165" s="158">
        <v>63601392</v>
      </c>
      <c r="Q1165" s="158"/>
      <c r="R1165" s="158"/>
      <c r="S1165" s="158"/>
      <c r="T1165" s="586"/>
      <c r="U1165" s="158"/>
      <c r="V1165" s="311"/>
      <c r="W1165" s="311"/>
      <c r="X1165" s="311"/>
      <c r="Y1165" s="158"/>
      <c r="Z1165" s="158"/>
      <c r="AA1165" s="158"/>
      <c r="AB1165" s="158"/>
      <c r="AC1165" s="158"/>
      <c r="AD1165" s="158"/>
      <c r="AE1165" s="158">
        <f t="shared" si="185"/>
        <v>63601392</v>
      </c>
      <c r="AF1165" s="158"/>
      <c r="AG1165" s="94">
        <v>0</v>
      </c>
      <c r="AH1165" s="94"/>
      <c r="AI1165" s="94"/>
      <c r="AJ1165" s="158">
        <f t="shared" si="186"/>
        <v>63601392</v>
      </c>
      <c r="AK1165" s="158">
        <v>877</v>
      </c>
      <c r="AL1165" s="158">
        <v>10</v>
      </c>
      <c r="AM1165" s="158">
        <v>1</v>
      </c>
      <c r="AN1165" s="158"/>
      <c r="AO1165" s="158"/>
      <c r="AP1165" s="23"/>
      <c r="AQ1165" s="23"/>
      <c r="AR1165" s="23"/>
      <c r="AS1165" s="2">
        <v>0</v>
      </c>
      <c r="AT1165" s="58" t="s">
        <v>521</v>
      </c>
      <c r="AU1165" s="386"/>
      <c r="AV1165" s="23"/>
      <c r="AW1165" s="50"/>
      <c r="AX1165" s="158"/>
      <c r="AY1165" s="158"/>
      <c r="AZ1165" s="158"/>
      <c r="BA1165" s="158"/>
      <c r="BB1165" s="69"/>
      <c r="BC1165" s="69"/>
      <c r="BD1165" s="271"/>
      <c r="BE1165" s="271">
        <v>2019</v>
      </c>
      <c r="BF1165" s="271">
        <v>2020</v>
      </c>
    </row>
    <row r="1166" spans="1:58" ht="18" hidden="1" customHeight="1">
      <c r="A1166" s="160" t="s">
        <v>1</v>
      </c>
      <c r="B1166" s="58" t="s">
        <v>1441</v>
      </c>
      <c r="C1166" s="66" t="s">
        <v>1437</v>
      </c>
      <c r="D1166" s="33" t="s">
        <v>438</v>
      </c>
      <c r="E1166" s="33"/>
      <c r="F1166" s="33"/>
      <c r="G1166" s="33"/>
      <c r="H1166" s="30" t="s">
        <v>1232</v>
      </c>
      <c r="I1166" s="30">
        <v>760</v>
      </c>
      <c r="J1166" s="212">
        <v>43585</v>
      </c>
      <c r="K1166" s="158"/>
      <c r="L1166" s="158"/>
      <c r="M1166" s="158">
        <v>1</v>
      </c>
      <c r="N1166" s="158"/>
      <c r="O1166" s="158"/>
      <c r="P1166" s="158">
        <v>77900000</v>
      </c>
      <c r="Q1166" s="158"/>
      <c r="R1166" s="158"/>
      <c r="S1166" s="158"/>
      <c r="T1166" s="586">
        <v>77900000</v>
      </c>
      <c r="U1166" s="158">
        <v>20</v>
      </c>
      <c r="V1166" s="311">
        <v>43739</v>
      </c>
      <c r="W1166" s="311"/>
      <c r="X1166" s="311"/>
      <c r="Y1166" s="158"/>
      <c r="Z1166" s="158"/>
      <c r="AA1166" s="158"/>
      <c r="AB1166" s="158"/>
      <c r="AC1166" s="158"/>
      <c r="AD1166" s="158"/>
      <c r="AE1166" s="158">
        <f t="shared" si="185"/>
        <v>0</v>
      </c>
      <c r="AF1166" s="158"/>
      <c r="AG1166" s="94">
        <v>0</v>
      </c>
      <c r="AH1166" s="94"/>
      <c r="AI1166" s="94"/>
      <c r="AJ1166" s="158">
        <f t="shared" si="186"/>
        <v>0</v>
      </c>
      <c r="AK1166" s="158">
        <v>877</v>
      </c>
      <c r="AL1166" s="158">
        <v>20</v>
      </c>
      <c r="AM1166" s="158"/>
      <c r="AN1166" s="158"/>
      <c r="AO1166" s="158"/>
      <c r="AP1166" s="23"/>
      <c r="AQ1166" s="23"/>
      <c r="AR1166" s="23"/>
      <c r="AS1166" s="2">
        <v>1</v>
      </c>
      <c r="AT1166" s="58" t="s">
        <v>646</v>
      </c>
      <c r="AU1166" s="386" t="s">
        <v>1818</v>
      </c>
      <c r="AV1166" s="23"/>
      <c r="AW1166" s="50"/>
      <c r="AX1166" s="158"/>
      <c r="AY1166" s="158">
        <v>1</v>
      </c>
      <c r="AZ1166" s="158"/>
      <c r="BA1166" s="158"/>
      <c r="BB1166" s="69">
        <v>1</v>
      </c>
      <c r="BC1166" s="69"/>
      <c r="BD1166" s="270">
        <v>2019</v>
      </c>
      <c r="BE1166" s="270">
        <v>2019</v>
      </c>
      <c r="BF1166" s="271"/>
    </row>
    <row r="1167" spans="1:58" ht="18" hidden="1" customHeight="1">
      <c r="A1167" s="160" t="s">
        <v>1</v>
      </c>
      <c r="B1167" s="58" t="s">
        <v>1442</v>
      </c>
      <c r="C1167" s="66" t="s">
        <v>1281</v>
      </c>
      <c r="D1167" s="33" t="s">
        <v>438</v>
      </c>
      <c r="E1167" s="33"/>
      <c r="F1167" s="33"/>
      <c r="G1167" s="33"/>
      <c r="H1167" s="30" t="s">
        <v>1232</v>
      </c>
      <c r="I1167" s="30">
        <v>754</v>
      </c>
      <c r="J1167" s="212">
        <v>43584</v>
      </c>
      <c r="K1167" s="158"/>
      <c r="L1167" s="158"/>
      <c r="M1167" s="158">
        <v>1</v>
      </c>
      <c r="N1167" s="158"/>
      <c r="O1167" s="158"/>
      <c r="P1167" s="158">
        <v>79800000</v>
      </c>
      <c r="Q1167" s="158"/>
      <c r="R1167" s="158"/>
      <c r="S1167" s="158"/>
      <c r="T1167" s="586">
        <v>79800000</v>
      </c>
      <c r="U1167" s="158">
        <v>20</v>
      </c>
      <c r="V1167" s="311">
        <v>43739</v>
      </c>
      <c r="W1167" s="311"/>
      <c r="X1167" s="311"/>
      <c r="Y1167" s="158"/>
      <c r="Z1167" s="158"/>
      <c r="AA1167" s="158"/>
      <c r="AB1167" s="158"/>
      <c r="AC1167" s="158"/>
      <c r="AD1167" s="158"/>
      <c r="AE1167" s="158">
        <f t="shared" si="185"/>
        <v>0</v>
      </c>
      <c r="AF1167" s="158"/>
      <c r="AG1167" s="94">
        <v>0</v>
      </c>
      <c r="AH1167" s="94"/>
      <c r="AI1167" s="94"/>
      <c r="AJ1167" s="158">
        <f t="shared" si="186"/>
        <v>0</v>
      </c>
      <c r="AK1167" s="158">
        <v>877</v>
      </c>
      <c r="AL1167" s="158">
        <v>20</v>
      </c>
      <c r="AM1167" s="158"/>
      <c r="AN1167" s="158"/>
      <c r="AO1167" s="158"/>
      <c r="AP1167" s="23"/>
      <c r="AQ1167" s="23"/>
      <c r="AR1167" s="23"/>
      <c r="AS1167" s="2">
        <v>1</v>
      </c>
      <c r="AT1167" s="58" t="s">
        <v>646</v>
      </c>
      <c r="AU1167" s="386" t="s">
        <v>1819</v>
      </c>
      <c r="AV1167" s="23"/>
      <c r="AW1167" s="50"/>
      <c r="AX1167" s="158"/>
      <c r="AY1167" s="158">
        <v>1</v>
      </c>
      <c r="AZ1167" s="158"/>
      <c r="BA1167" s="158"/>
      <c r="BB1167" s="69">
        <v>1</v>
      </c>
      <c r="BC1167" s="69"/>
      <c r="BD1167" s="270">
        <v>2019</v>
      </c>
      <c r="BE1167" s="270">
        <v>2019</v>
      </c>
      <c r="BF1167" s="271"/>
    </row>
    <row r="1168" spans="1:58" s="204" customFormat="1" ht="18" customHeight="1">
      <c r="A1168" s="160" t="s">
        <v>1</v>
      </c>
      <c r="B1168" s="58" t="s">
        <v>320</v>
      </c>
      <c r="C1168" s="66" t="s">
        <v>1284</v>
      </c>
      <c r="D1168" s="33" t="s">
        <v>438</v>
      </c>
      <c r="E1168" s="33"/>
      <c r="F1168" s="33"/>
      <c r="G1168" s="33"/>
      <c r="H1168" s="30" t="s">
        <v>1113</v>
      </c>
      <c r="I1168" s="30">
        <v>858</v>
      </c>
      <c r="J1168" s="212">
        <v>43462</v>
      </c>
      <c r="K1168" s="158"/>
      <c r="L1168" s="158"/>
      <c r="M1168" s="158">
        <v>1</v>
      </c>
      <c r="N1168" s="158">
        <v>1</v>
      </c>
      <c r="O1168" s="23"/>
      <c r="P1168" s="158">
        <v>76000000</v>
      </c>
      <c r="Q1168" s="158"/>
      <c r="R1168" s="158"/>
      <c r="S1168" s="158"/>
      <c r="T1168" s="586"/>
      <c r="U1168" s="158"/>
      <c r="V1168" s="311"/>
      <c r="W1168" s="311"/>
      <c r="X1168" s="311"/>
      <c r="Y1168" s="158"/>
      <c r="Z1168" s="158"/>
      <c r="AA1168" s="158"/>
      <c r="AB1168" s="158"/>
      <c r="AC1168" s="158"/>
      <c r="AD1168" s="158"/>
      <c r="AE1168" s="158">
        <f t="shared" si="185"/>
        <v>76000000</v>
      </c>
      <c r="AF1168" s="158"/>
      <c r="AG1168" s="94">
        <v>0</v>
      </c>
      <c r="AH1168" s="94"/>
      <c r="AI1168" s="94"/>
      <c r="AJ1168" s="158">
        <f t="shared" si="186"/>
        <v>76000000</v>
      </c>
      <c r="AK1168" s="158">
        <v>877</v>
      </c>
      <c r="AL1168" s="158">
        <v>20</v>
      </c>
      <c r="AM1168" s="158">
        <v>1</v>
      </c>
      <c r="AN1168" s="158"/>
      <c r="AO1168" s="158"/>
      <c r="AP1168" s="23"/>
      <c r="AQ1168" s="23"/>
      <c r="AR1168" s="23"/>
      <c r="AS1168" s="2">
        <v>0</v>
      </c>
      <c r="AT1168" s="58" t="s">
        <v>521</v>
      </c>
      <c r="AU1168" s="386"/>
      <c r="AV1168" s="23"/>
      <c r="AW1168" s="50"/>
      <c r="AX1168" s="158"/>
      <c r="AY1168" s="158"/>
      <c r="AZ1168" s="158"/>
      <c r="BA1168" s="158"/>
      <c r="BB1168" s="69"/>
      <c r="BC1168" s="69"/>
      <c r="BD1168" s="271"/>
      <c r="BE1168" s="271">
        <v>2019</v>
      </c>
      <c r="BF1168" s="271">
        <v>2020</v>
      </c>
    </row>
    <row r="1169" spans="1:58" ht="18" hidden="1" customHeight="1">
      <c r="A1169" s="160" t="s">
        <v>1</v>
      </c>
      <c r="B1169" s="58" t="s">
        <v>320</v>
      </c>
      <c r="C1169" s="66" t="s">
        <v>1285</v>
      </c>
      <c r="D1169" s="33" t="s">
        <v>438</v>
      </c>
      <c r="E1169" s="33"/>
      <c r="F1169" s="33"/>
      <c r="G1169" s="33"/>
      <c r="H1169" s="30" t="s">
        <v>1113</v>
      </c>
      <c r="I1169" s="115" t="s">
        <v>1759</v>
      </c>
      <c r="J1169" s="215" t="s">
        <v>1760</v>
      </c>
      <c r="K1169" s="158"/>
      <c r="L1169" s="158">
        <v>1</v>
      </c>
      <c r="M1169" s="158"/>
      <c r="N1169" s="158"/>
      <c r="O1169" s="158"/>
      <c r="P1169" s="158">
        <v>71250000</v>
      </c>
      <c r="Q1169" s="158"/>
      <c r="R1169" s="158"/>
      <c r="S1169" s="158"/>
      <c r="T1169" s="586">
        <v>71250000</v>
      </c>
      <c r="U1169" s="158">
        <v>20</v>
      </c>
      <c r="V1169" s="311">
        <v>43678</v>
      </c>
      <c r="W1169" s="311"/>
      <c r="X1169" s="311"/>
      <c r="Y1169" s="158"/>
      <c r="Z1169" s="158"/>
      <c r="AA1169" s="158"/>
      <c r="AB1169" s="158"/>
      <c r="AC1169" s="158"/>
      <c r="AD1169" s="158"/>
      <c r="AE1169" s="158">
        <f t="shared" si="185"/>
        <v>0</v>
      </c>
      <c r="AF1169" s="158"/>
      <c r="AG1169" s="94">
        <v>0</v>
      </c>
      <c r="AH1169" s="94"/>
      <c r="AI1169" s="94"/>
      <c r="AJ1169" s="158">
        <f t="shared" si="186"/>
        <v>0</v>
      </c>
      <c r="AK1169" s="158">
        <v>877</v>
      </c>
      <c r="AL1169" s="158">
        <v>20</v>
      </c>
      <c r="AM1169" s="158"/>
      <c r="AN1169" s="158"/>
      <c r="AO1169" s="158"/>
      <c r="AP1169" s="23"/>
      <c r="AQ1169" s="23"/>
      <c r="AR1169" s="23"/>
      <c r="AS1169" s="2">
        <v>1</v>
      </c>
      <c r="AT1169" s="58" t="s">
        <v>646</v>
      </c>
      <c r="AU1169" s="386" t="s">
        <v>1798</v>
      </c>
      <c r="AV1169" s="23"/>
      <c r="AW1169" s="50"/>
      <c r="AX1169" s="158"/>
      <c r="AY1169" s="158">
        <v>1</v>
      </c>
      <c r="AZ1169" s="158"/>
      <c r="BA1169" s="158"/>
      <c r="BB1169" s="69">
        <v>1</v>
      </c>
      <c r="BC1169" s="69"/>
      <c r="BD1169" s="270">
        <v>2019</v>
      </c>
      <c r="BE1169" s="270">
        <v>2019</v>
      </c>
      <c r="BF1169" s="271"/>
    </row>
    <row r="1170" spans="1:58" ht="18" hidden="1" customHeight="1">
      <c r="A1170" s="160" t="s">
        <v>1</v>
      </c>
      <c r="B1170" s="58" t="s">
        <v>320</v>
      </c>
      <c r="C1170" s="66" t="s">
        <v>1407</v>
      </c>
      <c r="D1170" s="33" t="s">
        <v>1936</v>
      </c>
      <c r="E1170" s="33"/>
      <c r="F1170" s="33"/>
      <c r="G1170" s="33"/>
      <c r="H1170" s="30" t="s">
        <v>655</v>
      </c>
      <c r="I1170" s="30">
        <v>768</v>
      </c>
      <c r="J1170" s="212">
        <v>43585</v>
      </c>
      <c r="K1170" s="23"/>
      <c r="L1170" s="23">
        <v>1</v>
      </c>
      <c r="M1170" s="158"/>
      <c r="N1170" s="158"/>
      <c r="O1170" s="158"/>
      <c r="P1170" s="158">
        <v>69314090</v>
      </c>
      <c r="Q1170" s="158"/>
      <c r="R1170" s="158"/>
      <c r="S1170" s="158"/>
      <c r="T1170" s="586">
        <v>69314090</v>
      </c>
      <c r="U1170" s="158">
        <v>20</v>
      </c>
      <c r="V1170" s="311">
        <v>43586</v>
      </c>
      <c r="W1170" s="311"/>
      <c r="X1170" s="311"/>
      <c r="Y1170" s="158"/>
      <c r="Z1170" s="158"/>
      <c r="AA1170" s="158"/>
      <c r="AB1170" s="158"/>
      <c r="AC1170" s="158"/>
      <c r="AD1170" s="158"/>
      <c r="AE1170" s="158">
        <f t="shared" si="185"/>
        <v>0</v>
      </c>
      <c r="AF1170" s="158"/>
      <c r="AG1170" s="94">
        <v>0</v>
      </c>
      <c r="AH1170" s="94"/>
      <c r="AI1170" s="94"/>
      <c r="AJ1170" s="158">
        <f t="shared" si="186"/>
        <v>0</v>
      </c>
      <c r="AK1170" s="158">
        <v>877</v>
      </c>
      <c r="AL1170" s="158">
        <v>20</v>
      </c>
      <c r="AM1170" s="158"/>
      <c r="AN1170" s="158"/>
      <c r="AO1170" s="158"/>
      <c r="AP1170" s="23"/>
      <c r="AQ1170" s="23"/>
      <c r="AR1170" s="23"/>
      <c r="AS1170" s="2">
        <v>1</v>
      </c>
      <c r="AT1170" s="58" t="s">
        <v>646</v>
      </c>
      <c r="AU1170" s="386" t="s">
        <v>1408</v>
      </c>
      <c r="AV1170" s="23"/>
      <c r="AW1170" s="50"/>
      <c r="AX1170" s="158"/>
      <c r="AY1170" s="158">
        <v>1</v>
      </c>
      <c r="AZ1170" s="158"/>
      <c r="BA1170" s="158"/>
      <c r="BB1170" s="223">
        <v>1</v>
      </c>
      <c r="BC1170" s="223"/>
      <c r="BD1170" s="270">
        <v>2019</v>
      </c>
      <c r="BE1170" s="270">
        <v>2019</v>
      </c>
      <c r="BF1170" s="271"/>
    </row>
    <row r="1171" spans="1:58" s="204" customFormat="1" ht="18" customHeight="1">
      <c r="A1171" s="160" t="s">
        <v>1</v>
      </c>
      <c r="B1171" s="58" t="s">
        <v>320</v>
      </c>
      <c r="C1171" s="66" t="s">
        <v>1409</v>
      </c>
      <c r="D1171" s="33" t="s">
        <v>387</v>
      </c>
      <c r="E1171" s="33"/>
      <c r="F1171" s="33"/>
      <c r="G1171" s="33"/>
      <c r="H1171" s="30" t="s">
        <v>647</v>
      </c>
      <c r="I1171" s="30">
        <v>164</v>
      </c>
      <c r="J1171" s="212">
        <v>43384</v>
      </c>
      <c r="K1171" s="158"/>
      <c r="L1171" s="158"/>
      <c r="M1171" s="158">
        <v>1</v>
      </c>
      <c r="N1171" s="158">
        <v>1</v>
      </c>
      <c r="O1171" s="23"/>
      <c r="P1171" s="158">
        <v>56548064</v>
      </c>
      <c r="Q1171" s="158"/>
      <c r="R1171" s="158"/>
      <c r="S1171" s="158"/>
      <c r="T1171" s="586">
        <v>56548064</v>
      </c>
      <c r="U1171" s="158">
        <v>20</v>
      </c>
      <c r="V1171" s="311">
        <v>43586</v>
      </c>
      <c r="W1171" s="311"/>
      <c r="X1171" s="311"/>
      <c r="Y1171" s="158"/>
      <c r="Z1171" s="158"/>
      <c r="AA1171" s="158"/>
      <c r="AB1171" s="158"/>
      <c r="AC1171" s="158"/>
      <c r="AD1171" s="158"/>
      <c r="AE1171" s="158">
        <f t="shared" si="185"/>
        <v>0</v>
      </c>
      <c r="AF1171" s="158"/>
      <c r="AG1171" s="94">
        <v>0</v>
      </c>
      <c r="AH1171" s="94"/>
      <c r="AI1171" s="94"/>
      <c r="AJ1171" s="158">
        <f t="shared" si="186"/>
        <v>0</v>
      </c>
      <c r="AK1171" s="158">
        <v>877</v>
      </c>
      <c r="AL1171" s="158">
        <v>20</v>
      </c>
      <c r="AM1171" s="158"/>
      <c r="AN1171" s="158">
        <v>1</v>
      </c>
      <c r="AO1171" s="158"/>
      <c r="AP1171" s="23"/>
      <c r="AQ1171" s="23"/>
      <c r="AR1171" s="23"/>
      <c r="AS1171" s="2">
        <v>0.45</v>
      </c>
      <c r="AT1171" s="58" t="s">
        <v>38</v>
      </c>
      <c r="AU1171" s="386"/>
      <c r="AV1171" s="23"/>
      <c r="AW1171" s="50"/>
      <c r="AX1171" s="158"/>
      <c r="AY1171" s="158"/>
      <c r="AZ1171" s="158"/>
      <c r="BA1171" s="158"/>
      <c r="BB1171" s="69"/>
      <c r="BC1171" s="69"/>
      <c r="BD1171" s="271"/>
      <c r="BE1171" s="271">
        <v>2019</v>
      </c>
      <c r="BF1171" s="271">
        <v>2020</v>
      </c>
    </row>
    <row r="1172" spans="1:58" ht="18" hidden="1" customHeight="1">
      <c r="A1172" s="160" t="s">
        <v>1</v>
      </c>
      <c r="B1172" s="58" t="s">
        <v>320</v>
      </c>
      <c r="C1172" s="66" t="s">
        <v>1410</v>
      </c>
      <c r="D1172" s="33" t="s">
        <v>1936</v>
      </c>
      <c r="E1172" s="33"/>
      <c r="F1172" s="33"/>
      <c r="G1172" s="33"/>
      <c r="H1172" s="30" t="s">
        <v>1113</v>
      </c>
      <c r="I1172" s="30">
        <v>859</v>
      </c>
      <c r="J1172" s="212">
        <v>43462</v>
      </c>
      <c r="K1172" s="158"/>
      <c r="L1172" s="158"/>
      <c r="M1172" s="158">
        <v>1</v>
      </c>
      <c r="N1172" s="158"/>
      <c r="O1172" s="158"/>
      <c r="P1172" s="158">
        <v>64000000</v>
      </c>
      <c r="Q1172" s="158"/>
      <c r="R1172" s="158"/>
      <c r="S1172" s="158"/>
      <c r="T1172" s="586">
        <v>64000000</v>
      </c>
      <c r="U1172" s="158">
        <v>20</v>
      </c>
      <c r="V1172" s="311">
        <v>43739</v>
      </c>
      <c r="W1172" s="311"/>
      <c r="X1172" s="311"/>
      <c r="Y1172" s="158"/>
      <c r="Z1172" s="158"/>
      <c r="AA1172" s="158"/>
      <c r="AB1172" s="158"/>
      <c r="AC1172" s="158"/>
      <c r="AD1172" s="158"/>
      <c r="AE1172" s="158">
        <f t="shared" si="185"/>
        <v>0</v>
      </c>
      <c r="AF1172" s="158"/>
      <c r="AG1172" s="94">
        <v>0</v>
      </c>
      <c r="AH1172" s="94"/>
      <c r="AI1172" s="94"/>
      <c r="AJ1172" s="158">
        <f t="shared" si="186"/>
        <v>0</v>
      </c>
      <c r="AK1172" s="158">
        <v>877</v>
      </c>
      <c r="AL1172" s="158">
        <v>20</v>
      </c>
      <c r="AM1172" s="158"/>
      <c r="AN1172" s="158"/>
      <c r="AO1172" s="158"/>
      <c r="AP1172" s="23"/>
      <c r="AQ1172" s="23"/>
      <c r="AR1172" s="23"/>
      <c r="AS1172" s="2">
        <v>1</v>
      </c>
      <c r="AT1172" s="58" t="s">
        <v>646</v>
      </c>
      <c r="AU1172" s="386" t="s">
        <v>1820</v>
      </c>
      <c r="AV1172" s="23"/>
      <c r="AW1172" s="50"/>
      <c r="AX1172" s="158"/>
      <c r="AY1172" s="158">
        <v>1</v>
      </c>
      <c r="AZ1172" s="158"/>
      <c r="BA1172" s="158"/>
      <c r="BB1172" s="69">
        <v>1</v>
      </c>
      <c r="BC1172" s="69"/>
      <c r="BD1172" s="270">
        <v>2019</v>
      </c>
      <c r="BE1172" s="270">
        <v>2019</v>
      </c>
      <c r="BF1172" s="271"/>
    </row>
    <row r="1173" spans="1:58" ht="18" hidden="1" customHeight="1">
      <c r="A1173" s="160" t="s">
        <v>1</v>
      </c>
      <c r="B1173" s="58" t="s">
        <v>320</v>
      </c>
      <c r="C1173" s="210" t="s">
        <v>1411</v>
      </c>
      <c r="D1173" s="33" t="s">
        <v>1936</v>
      </c>
      <c r="E1173" s="33"/>
      <c r="F1173" s="33"/>
      <c r="G1173" s="33"/>
      <c r="H1173" s="30" t="s">
        <v>664</v>
      </c>
      <c r="I1173" s="115" t="s">
        <v>1738</v>
      </c>
      <c r="J1173" s="215" t="s">
        <v>1739</v>
      </c>
      <c r="K1173" s="158"/>
      <c r="L1173" s="158">
        <v>1</v>
      </c>
      <c r="M1173" s="158"/>
      <c r="N1173" s="158"/>
      <c r="O1173" s="158"/>
      <c r="P1173" s="158">
        <v>80277356</v>
      </c>
      <c r="Q1173" s="158"/>
      <c r="R1173" s="158"/>
      <c r="S1173" s="158"/>
      <c r="T1173" s="586">
        <v>80277356</v>
      </c>
      <c r="U1173" s="158">
        <v>20</v>
      </c>
      <c r="V1173" s="311">
        <v>43617</v>
      </c>
      <c r="W1173" s="311"/>
      <c r="X1173" s="311"/>
      <c r="Y1173" s="158"/>
      <c r="Z1173" s="158"/>
      <c r="AA1173" s="158"/>
      <c r="AB1173" s="158"/>
      <c r="AC1173" s="158"/>
      <c r="AD1173" s="158"/>
      <c r="AE1173" s="158">
        <f t="shared" si="185"/>
        <v>0</v>
      </c>
      <c r="AF1173" s="158"/>
      <c r="AG1173" s="94">
        <v>0</v>
      </c>
      <c r="AH1173" s="94"/>
      <c r="AI1173" s="94"/>
      <c r="AJ1173" s="158">
        <f t="shared" si="186"/>
        <v>0</v>
      </c>
      <c r="AK1173" s="158">
        <v>877</v>
      </c>
      <c r="AL1173" s="158">
        <v>20</v>
      </c>
      <c r="AM1173" s="158"/>
      <c r="AN1173" s="158"/>
      <c r="AO1173" s="158"/>
      <c r="AP1173" s="23"/>
      <c r="AQ1173" s="23"/>
      <c r="AR1173" s="23"/>
      <c r="AS1173" s="2">
        <v>1</v>
      </c>
      <c r="AT1173" s="58" t="s">
        <v>646</v>
      </c>
      <c r="AU1173" s="388" t="s">
        <v>1751</v>
      </c>
      <c r="AV1173" s="23"/>
      <c r="AW1173" s="50"/>
      <c r="AX1173" s="158"/>
      <c r="AY1173" s="158">
        <v>1</v>
      </c>
      <c r="AZ1173" s="158"/>
      <c r="BA1173" s="158"/>
      <c r="BB1173" s="69">
        <v>1</v>
      </c>
      <c r="BC1173" s="69"/>
      <c r="BD1173" s="270">
        <v>2019</v>
      </c>
      <c r="BE1173" s="270">
        <v>2019</v>
      </c>
      <c r="BF1173" s="271"/>
    </row>
    <row r="1174" spans="1:58" ht="18" hidden="1" customHeight="1">
      <c r="A1174" s="160" t="s">
        <v>1</v>
      </c>
      <c r="B1174" s="58" t="s">
        <v>320</v>
      </c>
      <c r="C1174" s="66" t="s">
        <v>1412</v>
      </c>
      <c r="D1174" s="33" t="s">
        <v>1936</v>
      </c>
      <c r="E1174" s="33"/>
      <c r="F1174" s="33"/>
      <c r="G1174" s="33"/>
      <c r="H1174" s="30" t="s">
        <v>647</v>
      </c>
      <c r="I1174" s="115" t="s">
        <v>1740</v>
      </c>
      <c r="J1174" s="215" t="s">
        <v>1741</v>
      </c>
      <c r="K1174" s="158"/>
      <c r="L1174" s="158">
        <v>1</v>
      </c>
      <c r="M1174" s="158"/>
      <c r="N1174" s="158"/>
      <c r="O1174" s="158"/>
      <c r="P1174" s="158">
        <v>80277356</v>
      </c>
      <c r="Q1174" s="158"/>
      <c r="R1174" s="158"/>
      <c r="S1174" s="158"/>
      <c r="T1174" s="586">
        <v>80277356</v>
      </c>
      <c r="U1174" s="158">
        <v>20</v>
      </c>
      <c r="V1174" s="311">
        <v>43617</v>
      </c>
      <c r="W1174" s="311"/>
      <c r="X1174" s="311"/>
      <c r="Y1174" s="158"/>
      <c r="Z1174" s="158"/>
      <c r="AA1174" s="158"/>
      <c r="AB1174" s="158"/>
      <c r="AC1174" s="158"/>
      <c r="AD1174" s="158"/>
      <c r="AE1174" s="158">
        <f t="shared" si="185"/>
        <v>0</v>
      </c>
      <c r="AF1174" s="158"/>
      <c r="AG1174" s="94">
        <v>0</v>
      </c>
      <c r="AH1174" s="94"/>
      <c r="AI1174" s="94"/>
      <c r="AJ1174" s="158">
        <f t="shared" si="186"/>
        <v>0</v>
      </c>
      <c r="AK1174" s="158">
        <v>877</v>
      </c>
      <c r="AL1174" s="158">
        <v>20</v>
      </c>
      <c r="AM1174" s="158"/>
      <c r="AN1174" s="158"/>
      <c r="AO1174" s="158"/>
      <c r="AP1174" s="23"/>
      <c r="AQ1174" s="23"/>
      <c r="AR1174" s="23"/>
      <c r="AS1174" s="2">
        <v>1</v>
      </c>
      <c r="AT1174" s="58" t="s">
        <v>646</v>
      </c>
      <c r="AU1174" s="386" t="s">
        <v>1752</v>
      </c>
      <c r="AV1174" s="23"/>
      <c r="AW1174" s="50"/>
      <c r="AX1174" s="158"/>
      <c r="AY1174" s="158">
        <v>1</v>
      </c>
      <c r="AZ1174" s="158"/>
      <c r="BA1174" s="158"/>
      <c r="BB1174" s="69">
        <v>1</v>
      </c>
      <c r="BC1174" s="69"/>
      <c r="BD1174" s="270">
        <v>2019</v>
      </c>
      <c r="BE1174" s="270">
        <v>2019</v>
      </c>
      <c r="BF1174" s="271"/>
    </row>
    <row r="1175" spans="1:58" ht="18" hidden="1" customHeight="1">
      <c r="A1175" s="160" t="s">
        <v>1</v>
      </c>
      <c r="B1175" s="58" t="s">
        <v>320</v>
      </c>
      <c r="C1175" s="66" t="s">
        <v>1406</v>
      </c>
      <c r="D1175" s="33" t="s">
        <v>1936</v>
      </c>
      <c r="E1175" s="33"/>
      <c r="F1175" s="33"/>
      <c r="G1175" s="33"/>
      <c r="H1175" s="30" t="s">
        <v>647</v>
      </c>
      <c r="I1175" s="115" t="s">
        <v>1736</v>
      </c>
      <c r="J1175" s="215" t="s">
        <v>1737</v>
      </c>
      <c r="K1175" s="158"/>
      <c r="L1175" s="158">
        <v>1</v>
      </c>
      <c r="M1175" s="158"/>
      <c r="N1175" s="158"/>
      <c r="O1175" s="158"/>
      <c r="P1175" s="158">
        <v>69312000</v>
      </c>
      <c r="Q1175" s="158"/>
      <c r="R1175" s="158"/>
      <c r="S1175" s="158"/>
      <c r="T1175" s="586">
        <v>69312000</v>
      </c>
      <c r="U1175" s="158">
        <v>20</v>
      </c>
      <c r="V1175" s="311">
        <v>43617</v>
      </c>
      <c r="W1175" s="311"/>
      <c r="X1175" s="311"/>
      <c r="Y1175" s="158"/>
      <c r="Z1175" s="158"/>
      <c r="AA1175" s="158"/>
      <c r="AB1175" s="158"/>
      <c r="AC1175" s="158"/>
      <c r="AD1175" s="158"/>
      <c r="AE1175" s="158">
        <f t="shared" si="185"/>
        <v>0</v>
      </c>
      <c r="AF1175" s="158"/>
      <c r="AG1175" s="94">
        <v>0</v>
      </c>
      <c r="AH1175" s="94"/>
      <c r="AI1175" s="94"/>
      <c r="AJ1175" s="158">
        <f t="shared" si="186"/>
        <v>0</v>
      </c>
      <c r="AK1175" s="158">
        <v>877</v>
      </c>
      <c r="AL1175" s="158">
        <v>20</v>
      </c>
      <c r="AM1175" s="158"/>
      <c r="AN1175" s="158"/>
      <c r="AO1175" s="158"/>
      <c r="AP1175" s="23"/>
      <c r="AQ1175" s="23"/>
      <c r="AR1175" s="23"/>
      <c r="AS1175" s="2">
        <v>1</v>
      </c>
      <c r="AT1175" s="58" t="s">
        <v>646</v>
      </c>
      <c r="AU1175" s="386" t="s">
        <v>1753</v>
      </c>
      <c r="AV1175" s="23"/>
      <c r="AW1175" s="50"/>
      <c r="AX1175" s="158"/>
      <c r="AY1175" s="158">
        <v>1</v>
      </c>
      <c r="AZ1175" s="158"/>
      <c r="BA1175" s="158"/>
      <c r="BB1175" s="69">
        <v>1</v>
      </c>
      <c r="BC1175" s="69"/>
      <c r="BD1175" s="270">
        <v>2019</v>
      </c>
      <c r="BE1175" s="270">
        <v>2019</v>
      </c>
      <c r="BF1175" s="271"/>
    </row>
    <row r="1176" spans="1:58" s="204" customFormat="1" ht="18" customHeight="1">
      <c r="A1176" s="160" t="s">
        <v>1</v>
      </c>
      <c r="B1176" s="58" t="s">
        <v>320</v>
      </c>
      <c r="C1176" s="66" t="s">
        <v>1415</v>
      </c>
      <c r="D1176" s="33" t="s">
        <v>387</v>
      </c>
      <c r="E1176" s="33"/>
      <c r="F1176" s="33"/>
      <c r="G1176" s="33"/>
      <c r="H1176" s="30" t="s">
        <v>647</v>
      </c>
      <c r="I1176" s="115" t="s">
        <v>1913</v>
      </c>
      <c r="J1176" s="215" t="s">
        <v>1914</v>
      </c>
      <c r="K1176" s="158"/>
      <c r="L1176" s="158"/>
      <c r="M1176" s="158">
        <v>1</v>
      </c>
      <c r="N1176" s="158">
        <v>1</v>
      </c>
      <c r="O1176" s="23"/>
      <c r="P1176" s="158">
        <v>63601392</v>
      </c>
      <c r="Q1176" s="158"/>
      <c r="R1176" s="158"/>
      <c r="S1176" s="158"/>
      <c r="T1176" s="586">
        <v>28620626</v>
      </c>
      <c r="U1176" s="158">
        <v>20</v>
      </c>
      <c r="V1176" s="311">
        <v>43800</v>
      </c>
      <c r="W1176" s="311"/>
      <c r="X1176" s="311"/>
      <c r="Y1176" s="158"/>
      <c r="Z1176" s="158"/>
      <c r="AA1176" s="158"/>
      <c r="AB1176" s="158"/>
      <c r="AC1176" s="158"/>
      <c r="AD1176" s="158"/>
      <c r="AE1176" s="158">
        <f t="shared" si="185"/>
        <v>34980766</v>
      </c>
      <c r="AF1176" s="158"/>
      <c r="AG1176" s="94">
        <v>0</v>
      </c>
      <c r="AH1176" s="94"/>
      <c r="AI1176" s="94"/>
      <c r="AJ1176" s="158">
        <f t="shared" si="186"/>
        <v>34980766</v>
      </c>
      <c r="AK1176" s="158">
        <v>877</v>
      </c>
      <c r="AL1176" s="158">
        <v>20</v>
      </c>
      <c r="AM1176" s="158">
        <v>1</v>
      </c>
      <c r="AN1176" s="158"/>
      <c r="AO1176" s="158"/>
      <c r="AP1176" s="23"/>
      <c r="AQ1176" s="23"/>
      <c r="AR1176" s="23"/>
      <c r="AS1176" s="2">
        <v>0</v>
      </c>
      <c r="AT1176" s="58" t="s">
        <v>521</v>
      </c>
      <c r="AU1176" s="386"/>
      <c r="AV1176" s="23"/>
      <c r="AW1176" s="50"/>
      <c r="AX1176" s="158"/>
      <c r="AY1176" s="158"/>
      <c r="AZ1176" s="158"/>
      <c r="BA1176" s="158"/>
      <c r="BB1176" s="69"/>
      <c r="BC1176" s="69"/>
      <c r="BD1176" s="271"/>
      <c r="BE1176" s="271">
        <v>2019</v>
      </c>
      <c r="BF1176" s="271">
        <v>2020</v>
      </c>
    </row>
    <row r="1177" spans="1:58" ht="18" hidden="1" customHeight="1">
      <c r="A1177" s="160" t="s">
        <v>1</v>
      </c>
      <c r="B1177" s="58" t="s">
        <v>320</v>
      </c>
      <c r="C1177" s="66" t="s">
        <v>1416</v>
      </c>
      <c r="D1177" s="33" t="s">
        <v>1936</v>
      </c>
      <c r="E1177" s="33"/>
      <c r="F1177" s="33"/>
      <c r="G1177" s="33"/>
      <c r="H1177" s="30" t="s">
        <v>647</v>
      </c>
      <c r="I1177" s="228">
        <v>767</v>
      </c>
      <c r="J1177" s="212">
        <v>43585</v>
      </c>
      <c r="K1177" s="158"/>
      <c r="L1177" s="158">
        <v>1</v>
      </c>
      <c r="M1177" s="158"/>
      <c r="N1177" s="158"/>
      <c r="O1177" s="158"/>
      <c r="P1177" s="158">
        <v>69313900</v>
      </c>
      <c r="Q1177" s="158"/>
      <c r="R1177" s="158"/>
      <c r="S1177" s="158"/>
      <c r="T1177" s="586">
        <v>69313900</v>
      </c>
      <c r="U1177" s="158">
        <v>20</v>
      </c>
      <c r="V1177" s="311">
        <v>43647</v>
      </c>
      <c r="W1177" s="311"/>
      <c r="X1177" s="311"/>
      <c r="Y1177" s="158"/>
      <c r="Z1177" s="158"/>
      <c r="AA1177" s="158"/>
      <c r="AB1177" s="158"/>
      <c r="AC1177" s="158"/>
      <c r="AD1177" s="158"/>
      <c r="AE1177" s="158">
        <f t="shared" si="185"/>
        <v>0</v>
      </c>
      <c r="AF1177" s="158"/>
      <c r="AG1177" s="94">
        <v>0</v>
      </c>
      <c r="AH1177" s="94"/>
      <c r="AI1177" s="94"/>
      <c r="AJ1177" s="158">
        <f t="shared" si="186"/>
        <v>0</v>
      </c>
      <c r="AK1177" s="158">
        <v>877</v>
      </c>
      <c r="AL1177" s="158">
        <v>20</v>
      </c>
      <c r="AM1177" s="158"/>
      <c r="AN1177" s="158"/>
      <c r="AO1177" s="158"/>
      <c r="AP1177" s="23"/>
      <c r="AQ1177" s="23"/>
      <c r="AR1177" s="23"/>
      <c r="AS1177" s="2">
        <v>1</v>
      </c>
      <c r="AT1177" s="58" t="s">
        <v>646</v>
      </c>
      <c r="AU1177" s="386" t="s">
        <v>1750</v>
      </c>
      <c r="AV1177" s="23"/>
      <c r="AW1177" s="50"/>
      <c r="AX1177" s="158"/>
      <c r="AY1177" s="158">
        <v>1</v>
      </c>
      <c r="AZ1177" s="158"/>
      <c r="BA1177" s="158"/>
      <c r="BB1177" s="69">
        <v>1</v>
      </c>
      <c r="BC1177" s="69"/>
      <c r="BD1177" s="270">
        <v>2019</v>
      </c>
      <c r="BE1177" s="270">
        <v>2019</v>
      </c>
      <c r="BF1177" s="271"/>
    </row>
    <row r="1178" spans="1:58" ht="18" hidden="1" customHeight="1">
      <c r="A1178" s="160" t="s">
        <v>1</v>
      </c>
      <c r="B1178" s="58" t="s">
        <v>320</v>
      </c>
      <c r="C1178" s="66" t="s">
        <v>1754</v>
      </c>
      <c r="D1178" s="33" t="s">
        <v>1936</v>
      </c>
      <c r="E1178" s="33"/>
      <c r="F1178" s="33"/>
      <c r="G1178" s="33"/>
      <c r="H1178" s="30" t="s">
        <v>647</v>
      </c>
      <c r="I1178" s="228" t="s">
        <v>1755</v>
      </c>
      <c r="J1178" s="333" t="s">
        <v>1756</v>
      </c>
      <c r="K1178" s="158"/>
      <c r="L1178" s="158">
        <v>1</v>
      </c>
      <c r="M1178" s="158"/>
      <c r="N1178" s="158"/>
      <c r="O1178" s="158"/>
      <c r="P1178" s="158">
        <v>79800000</v>
      </c>
      <c r="Q1178" s="158"/>
      <c r="R1178" s="158"/>
      <c r="S1178" s="158"/>
      <c r="T1178" s="586">
        <v>79800000</v>
      </c>
      <c r="U1178" s="158">
        <v>20</v>
      </c>
      <c r="V1178" s="311">
        <v>43647</v>
      </c>
      <c r="W1178" s="311"/>
      <c r="X1178" s="311"/>
      <c r="Y1178" s="158"/>
      <c r="Z1178" s="158"/>
      <c r="AA1178" s="158"/>
      <c r="AB1178" s="158"/>
      <c r="AC1178" s="158"/>
      <c r="AD1178" s="158"/>
      <c r="AE1178" s="158">
        <f t="shared" si="185"/>
        <v>0</v>
      </c>
      <c r="AF1178" s="158"/>
      <c r="AG1178" s="94">
        <v>0</v>
      </c>
      <c r="AH1178" s="94"/>
      <c r="AI1178" s="94"/>
      <c r="AJ1178" s="158">
        <f t="shared" si="186"/>
        <v>0</v>
      </c>
      <c r="AK1178" s="158">
        <v>877</v>
      </c>
      <c r="AL1178" s="158">
        <v>20</v>
      </c>
      <c r="AM1178" s="158"/>
      <c r="AN1178" s="158"/>
      <c r="AO1178" s="158"/>
      <c r="AP1178" s="23"/>
      <c r="AQ1178" s="23"/>
      <c r="AR1178" s="23"/>
      <c r="AS1178" s="2">
        <v>1</v>
      </c>
      <c r="AT1178" s="58" t="s">
        <v>646</v>
      </c>
      <c r="AU1178" s="386" t="s">
        <v>1758</v>
      </c>
      <c r="AV1178" s="23"/>
      <c r="AW1178" s="50"/>
      <c r="AX1178" s="158"/>
      <c r="AY1178" s="158">
        <v>1</v>
      </c>
      <c r="AZ1178" s="158"/>
      <c r="BA1178" s="158"/>
      <c r="BB1178" s="69">
        <v>1</v>
      </c>
      <c r="BC1178" s="69"/>
      <c r="BD1178" s="270">
        <v>2019</v>
      </c>
      <c r="BE1178" s="270">
        <v>2019</v>
      </c>
      <c r="BF1178" s="271"/>
    </row>
    <row r="1179" spans="1:58" ht="18" hidden="1" customHeight="1">
      <c r="A1179" s="160" t="s">
        <v>1</v>
      </c>
      <c r="B1179" s="58" t="s">
        <v>320</v>
      </c>
      <c r="C1179" s="66" t="s">
        <v>1405</v>
      </c>
      <c r="D1179" s="33" t="s">
        <v>1936</v>
      </c>
      <c r="E1179" s="33"/>
      <c r="F1179" s="33"/>
      <c r="G1179" s="33"/>
      <c r="H1179" s="30" t="s">
        <v>647</v>
      </c>
      <c r="I1179" s="115" t="s">
        <v>1742</v>
      </c>
      <c r="J1179" s="215" t="s">
        <v>1743</v>
      </c>
      <c r="K1179" s="158"/>
      <c r="L1179" s="158">
        <v>1</v>
      </c>
      <c r="M1179" s="158"/>
      <c r="N1179" s="158"/>
      <c r="O1179" s="158"/>
      <c r="P1179" s="158">
        <v>76950000</v>
      </c>
      <c r="Q1179" s="158"/>
      <c r="R1179" s="158"/>
      <c r="S1179" s="158"/>
      <c r="T1179" s="586">
        <v>76950000</v>
      </c>
      <c r="U1179" s="158">
        <v>20</v>
      </c>
      <c r="V1179" s="311">
        <v>43617</v>
      </c>
      <c r="W1179" s="311"/>
      <c r="X1179" s="311"/>
      <c r="Y1179" s="158"/>
      <c r="Z1179" s="158"/>
      <c r="AA1179" s="158"/>
      <c r="AB1179" s="158"/>
      <c r="AC1179" s="158"/>
      <c r="AD1179" s="158"/>
      <c r="AE1179" s="158">
        <f t="shared" si="185"/>
        <v>0</v>
      </c>
      <c r="AF1179" s="158"/>
      <c r="AG1179" s="94">
        <v>0</v>
      </c>
      <c r="AH1179" s="94"/>
      <c r="AI1179" s="94"/>
      <c r="AJ1179" s="158">
        <f t="shared" si="186"/>
        <v>0</v>
      </c>
      <c r="AK1179" s="158">
        <v>877</v>
      </c>
      <c r="AL1179" s="158">
        <v>20</v>
      </c>
      <c r="AM1179" s="158"/>
      <c r="AN1179" s="158"/>
      <c r="AO1179" s="158"/>
      <c r="AP1179" s="23"/>
      <c r="AQ1179" s="23"/>
      <c r="AR1179" s="23"/>
      <c r="AS1179" s="2">
        <v>1</v>
      </c>
      <c r="AT1179" s="58" t="s">
        <v>646</v>
      </c>
      <c r="AU1179" s="388" t="s">
        <v>1757</v>
      </c>
      <c r="AV1179" s="23"/>
      <c r="AW1179" s="50"/>
      <c r="AX1179" s="158"/>
      <c r="AY1179" s="158">
        <v>1</v>
      </c>
      <c r="AZ1179" s="158"/>
      <c r="BA1179" s="158"/>
      <c r="BB1179" s="69">
        <v>1</v>
      </c>
      <c r="BC1179" s="69"/>
      <c r="BD1179" s="270">
        <v>2019</v>
      </c>
      <c r="BE1179" s="270">
        <v>2019</v>
      </c>
      <c r="BF1179" s="271"/>
    </row>
    <row r="1180" spans="1:58" ht="18" hidden="1" customHeight="1">
      <c r="A1180" s="230" t="s">
        <v>1</v>
      </c>
      <c r="B1180" s="58" t="s">
        <v>320</v>
      </c>
      <c r="C1180" s="241" t="s">
        <v>1546</v>
      </c>
      <c r="D1180" s="33" t="s">
        <v>438</v>
      </c>
      <c r="E1180" s="33"/>
      <c r="F1180" s="33"/>
      <c r="G1180" s="33"/>
      <c r="H1180" s="30" t="s">
        <v>1113</v>
      </c>
      <c r="I1180" s="30">
        <v>861</v>
      </c>
      <c r="J1180" s="212">
        <v>43462</v>
      </c>
      <c r="K1180" s="158"/>
      <c r="L1180" s="158"/>
      <c r="M1180" s="158">
        <v>1</v>
      </c>
      <c r="N1180" s="158"/>
      <c r="O1180" s="158"/>
      <c r="P1180" s="158">
        <v>80275000</v>
      </c>
      <c r="Q1180" s="158"/>
      <c r="R1180" s="158"/>
      <c r="S1180" s="158"/>
      <c r="T1180" s="586">
        <v>80275000</v>
      </c>
      <c r="U1180" s="158">
        <v>20</v>
      </c>
      <c r="V1180" s="311">
        <v>43617</v>
      </c>
      <c r="W1180" s="311"/>
      <c r="X1180" s="311"/>
      <c r="Y1180" s="158"/>
      <c r="Z1180" s="158"/>
      <c r="AA1180" s="5"/>
      <c r="AB1180" s="5"/>
      <c r="AC1180" s="5"/>
      <c r="AD1180" s="158"/>
      <c r="AE1180" s="158">
        <f t="shared" si="185"/>
        <v>0</v>
      </c>
      <c r="AF1180" s="158"/>
      <c r="AG1180" s="94">
        <v>0</v>
      </c>
      <c r="AH1180" s="94"/>
      <c r="AI1180" s="94"/>
      <c r="AJ1180" s="158">
        <f t="shared" si="186"/>
        <v>0</v>
      </c>
      <c r="AK1180" s="158">
        <v>877</v>
      </c>
      <c r="AL1180" s="158">
        <v>20</v>
      </c>
      <c r="AM1180" s="158"/>
      <c r="AN1180" s="158"/>
      <c r="AO1180" s="158"/>
      <c r="AP1180" s="23"/>
      <c r="AQ1180" s="23"/>
      <c r="AR1180" s="23"/>
      <c r="AS1180" s="2">
        <v>1</v>
      </c>
      <c r="AT1180" s="58" t="s">
        <v>646</v>
      </c>
      <c r="AU1180" s="388" t="s">
        <v>1959</v>
      </c>
      <c r="AV1180" s="23"/>
      <c r="AW1180" s="50"/>
      <c r="AX1180" s="158"/>
      <c r="AY1180" s="158">
        <v>1</v>
      </c>
      <c r="AZ1180" s="158"/>
      <c r="BA1180" s="158"/>
      <c r="BB1180" s="69">
        <v>1</v>
      </c>
      <c r="BC1180" s="69"/>
      <c r="BD1180" s="270">
        <v>2019</v>
      </c>
      <c r="BE1180" s="270">
        <v>2019</v>
      </c>
      <c r="BF1180" s="271"/>
    </row>
    <row r="1181" spans="1:58" s="204" customFormat="1" ht="18" customHeight="1">
      <c r="A1181" s="160" t="s">
        <v>1</v>
      </c>
      <c r="B1181" s="58" t="s">
        <v>320</v>
      </c>
      <c r="C1181" s="66" t="s">
        <v>1545</v>
      </c>
      <c r="D1181" s="33" t="s">
        <v>438</v>
      </c>
      <c r="E1181" s="33"/>
      <c r="F1181" s="33"/>
      <c r="G1181" s="33"/>
      <c r="H1181" s="30" t="s">
        <v>661</v>
      </c>
      <c r="I1181" s="228" t="s">
        <v>1988</v>
      </c>
      <c r="J1181" s="212">
        <v>41145</v>
      </c>
      <c r="K1181" s="158"/>
      <c r="L1181" s="158"/>
      <c r="M1181" s="158">
        <v>1</v>
      </c>
      <c r="N1181" s="158">
        <v>1</v>
      </c>
      <c r="O1181" s="23"/>
      <c r="P1181" s="158">
        <f>55714595+8719235</f>
        <v>64433830</v>
      </c>
      <c r="Q1181" s="298"/>
      <c r="R1181" s="158"/>
      <c r="S1181" s="158"/>
      <c r="T1181" s="586"/>
      <c r="U1181" s="158"/>
      <c r="V1181" s="311"/>
      <c r="W1181" s="311"/>
      <c r="X1181" s="311"/>
      <c r="Y1181" s="158"/>
      <c r="Z1181" s="69"/>
      <c r="AA1181" s="276"/>
      <c r="AB1181" s="276"/>
      <c r="AC1181" s="276"/>
      <c r="AD1181" s="158"/>
      <c r="AE1181" s="158">
        <f t="shared" si="185"/>
        <v>64433830</v>
      </c>
      <c r="AF1181" s="158"/>
      <c r="AG1181" s="94">
        <v>0</v>
      </c>
      <c r="AH1181" s="94"/>
      <c r="AI1181" s="94"/>
      <c r="AJ1181" s="158">
        <f t="shared" si="186"/>
        <v>64433830</v>
      </c>
      <c r="AK1181" s="158" t="s">
        <v>2184</v>
      </c>
      <c r="AL1181" s="158">
        <v>10</v>
      </c>
      <c r="AM1181" s="158">
        <v>1</v>
      </c>
      <c r="AN1181" s="158"/>
      <c r="AO1181" s="158"/>
      <c r="AP1181" s="23"/>
      <c r="AQ1181" s="23"/>
      <c r="AR1181" s="23"/>
      <c r="AS1181" s="2">
        <v>0</v>
      </c>
      <c r="AT1181" s="58" t="s">
        <v>521</v>
      </c>
      <c r="AU1181" s="386" t="s">
        <v>1694</v>
      </c>
      <c r="AV1181" s="23"/>
      <c r="AW1181" s="50"/>
      <c r="AX1181" s="158"/>
      <c r="AY1181" s="158"/>
      <c r="AZ1181" s="158"/>
      <c r="BA1181" s="158"/>
      <c r="BB1181" s="69"/>
      <c r="BC1181" s="69"/>
      <c r="BD1181" s="271"/>
      <c r="BE1181" s="271">
        <v>2019</v>
      </c>
      <c r="BF1181" s="271">
        <v>2020</v>
      </c>
    </row>
    <row r="1182" spans="1:58" ht="18" hidden="1" customHeight="1">
      <c r="A1182" s="160" t="s">
        <v>1</v>
      </c>
      <c r="B1182" s="58" t="s">
        <v>320</v>
      </c>
      <c r="C1182" s="241" t="s">
        <v>1761</v>
      </c>
      <c r="D1182" s="33" t="s">
        <v>438</v>
      </c>
      <c r="E1182" s="33"/>
      <c r="F1182" s="33"/>
      <c r="G1182" s="33"/>
      <c r="H1182" s="30" t="s">
        <v>1605</v>
      </c>
      <c r="I1182" s="78">
        <v>1411</v>
      </c>
      <c r="J1182" s="212">
        <v>43693</v>
      </c>
      <c r="K1182" s="158"/>
      <c r="L1182" s="158"/>
      <c r="M1182" s="158">
        <v>1</v>
      </c>
      <c r="N1182" s="158"/>
      <c r="O1182" s="158"/>
      <c r="P1182" s="158">
        <v>80277356</v>
      </c>
      <c r="Q1182" s="298"/>
      <c r="R1182" s="158"/>
      <c r="S1182" s="158"/>
      <c r="T1182" s="586">
        <v>80277356</v>
      </c>
      <c r="U1182" s="158">
        <v>20</v>
      </c>
      <c r="V1182" s="311">
        <v>43770</v>
      </c>
      <c r="W1182" s="311"/>
      <c r="X1182" s="311"/>
      <c r="Y1182" s="158"/>
      <c r="Z1182" s="69"/>
      <c r="AA1182" s="276"/>
      <c r="AB1182" s="276"/>
      <c r="AC1182" s="276"/>
      <c r="AD1182" s="158"/>
      <c r="AE1182" s="158">
        <f t="shared" si="185"/>
        <v>0</v>
      </c>
      <c r="AF1182" s="158"/>
      <c r="AG1182" s="94">
        <v>0</v>
      </c>
      <c r="AH1182" s="94"/>
      <c r="AI1182" s="94"/>
      <c r="AJ1182" s="158">
        <f t="shared" si="186"/>
        <v>0</v>
      </c>
      <c r="AK1182" s="158">
        <v>877</v>
      </c>
      <c r="AL1182" s="158">
        <v>20</v>
      </c>
      <c r="AM1182" s="158"/>
      <c r="AN1182" s="158"/>
      <c r="AO1182" s="158"/>
      <c r="AP1182" s="23"/>
      <c r="AQ1182" s="23"/>
      <c r="AR1182" s="23"/>
      <c r="AS1182" s="2">
        <v>1</v>
      </c>
      <c r="AT1182" s="58" t="s">
        <v>646</v>
      </c>
      <c r="AU1182" s="388" t="s">
        <v>1960</v>
      </c>
      <c r="AV1182" s="23"/>
      <c r="AW1182" s="50"/>
      <c r="AX1182" s="158"/>
      <c r="AY1182" s="158">
        <v>1</v>
      </c>
      <c r="AZ1182" s="158"/>
      <c r="BA1182" s="158"/>
      <c r="BB1182" s="69">
        <v>1</v>
      </c>
      <c r="BC1182" s="69"/>
      <c r="BD1182" s="270">
        <v>2019</v>
      </c>
      <c r="BE1182" s="270">
        <v>2019</v>
      </c>
      <c r="BF1182" s="271"/>
    </row>
    <row r="1183" spans="1:58" s="204" customFormat="1" ht="18" customHeight="1">
      <c r="A1183" s="160" t="s">
        <v>1</v>
      </c>
      <c r="B1183" s="58" t="s">
        <v>320</v>
      </c>
      <c r="C1183" s="241" t="s">
        <v>1899</v>
      </c>
      <c r="D1183" s="33" t="s">
        <v>1936</v>
      </c>
      <c r="E1183" s="33"/>
      <c r="F1183" s="33"/>
      <c r="G1183" s="33"/>
      <c r="H1183" s="30" t="s">
        <v>1605</v>
      </c>
      <c r="I1183" s="78">
        <v>1407</v>
      </c>
      <c r="J1183" s="212">
        <v>43693</v>
      </c>
      <c r="K1183" s="158"/>
      <c r="L1183" s="158"/>
      <c r="M1183" s="158">
        <v>1</v>
      </c>
      <c r="N1183" s="158">
        <v>1</v>
      </c>
      <c r="O1183" s="23"/>
      <c r="P1183" s="158">
        <f>79800000</f>
        <v>79800000</v>
      </c>
      <c r="Q1183" s="298"/>
      <c r="R1183" s="158"/>
      <c r="S1183" s="158"/>
      <c r="T1183" s="586"/>
      <c r="U1183" s="158"/>
      <c r="V1183" s="311"/>
      <c r="W1183" s="311"/>
      <c r="X1183" s="311"/>
      <c r="Y1183" s="158"/>
      <c r="Z1183" s="69"/>
      <c r="AA1183" s="276"/>
      <c r="AB1183" s="276"/>
      <c r="AC1183" s="276"/>
      <c r="AD1183" s="158"/>
      <c r="AE1183" s="158">
        <f t="shared" si="185"/>
        <v>79800000</v>
      </c>
      <c r="AF1183" s="158"/>
      <c r="AG1183" s="94">
        <v>0</v>
      </c>
      <c r="AH1183" s="94"/>
      <c r="AI1183" s="94"/>
      <c r="AJ1183" s="158">
        <f t="shared" si="186"/>
        <v>79800000</v>
      </c>
      <c r="AK1183" s="158">
        <v>877</v>
      </c>
      <c r="AL1183" s="158">
        <v>10</v>
      </c>
      <c r="AM1183" s="158">
        <v>1</v>
      </c>
      <c r="AN1183" s="158"/>
      <c r="AO1183" s="158"/>
      <c r="AP1183" s="23"/>
      <c r="AQ1183" s="23"/>
      <c r="AR1183" s="23"/>
      <c r="AS1183" s="56">
        <v>0</v>
      </c>
      <c r="AT1183" s="58" t="s">
        <v>521</v>
      </c>
      <c r="AU1183" s="386"/>
      <c r="AV1183" s="23"/>
      <c r="AW1183" s="50"/>
      <c r="AX1183" s="158"/>
      <c r="AY1183" s="158"/>
      <c r="AZ1183" s="158"/>
      <c r="BA1183" s="158"/>
      <c r="BB1183" s="69"/>
      <c r="BC1183" s="69"/>
      <c r="BD1183" s="271"/>
      <c r="BE1183" s="271">
        <v>2019</v>
      </c>
      <c r="BF1183" s="271">
        <v>2020</v>
      </c>
    </row>
    <row r="1184" spans="1:58" s="204" customFormat="1" ht="18" customHeight="1">
      <c r="A1184" s="160" t="s">
        <v>1</v>
      </c>
      <c r="B1184" s="58" t="s">
        <v>320</v>
      </c>
      <c r="C1184" s="241" t="s">
        <v>1900</v>
      </c>
      <c r="D1184" s="33" t="s">
        <v>1936</v>
      </c>
      <c r="E1184" s="33"/>
      <c r="F1184" s="33"/>
      <c r="G1184" s="33"/>
      <c r="H1184" s="30" t="s">
        <v>1605</v>
      </c>
      <c r="I1184" s="78">
        <v>1425</v>
      </c>
      <c r="J1184" s="212">
        <v>43697</v>
      </c>
      <c r="K1184" s="158"/>
      <c r="L1184" s="158"/>
      <c r="M1184" s="158">
        <v>1</v>
      </c>
      <c r="N1184" s="158">
        <v>1</v>
      </c>
      <c r="O1184" s="23"/>
      <c r="P1184" s="158">
        <f>58100000</f>
        <v>58100000</v>
      </c>
      <c r="Q1184" s="298"/>
      <c r="R1184" s="158"/>
      <c r="S1184" s="158"/>
      <c r="T1184" s="586"/>
      <c r="U1184" s="158"/>
      <c r="V1184" s="311"/>
      <c r="W1184" s="311"/>
      <c r="X1184" s="311"/>
      <c r="Y1184" s="158"/>
      <c r="Z1184" s="69"/>
      <c r="AA1184" s="276"/>
      <c r="AB1184" s="276"/>
      <c r="AC1184" s="276"/>
      <c r="AD1184" s="158"/>
      <c r="AE1184" s="158">
        <f t="shared" si="185"/>
        <v>58100000</v>
      </c>
      <c r="AF1184" s="158"/>
      <c r="AG1184" s="94">
        <v>0</v>
      </c>
      <c r="AH1184" s="94"/>
      <c r="AI1184" s="94"/>
      <c r="AJ1184" s="158">
        <f t="shared" si="186"/>
        <v>58100000</v>
      </c>
      <c r="AK1184" s="158">
        <v>877</v>
      </c>
      <c r="AL1184" s="158">
        <v>10</v>
      </c>
      <c r="AM1184" s="158">
        <v>1</v>
      </c>
      <c r="AN1184" s="158"/>
      <c r="AO1184" s="158"/>
      <c r="AP1184" s="23"/>
      <c r="AQ1184" s="23"/>
      <c r="AR1184" s="23"/>
      <c r="AS1184" s="56">
        <v>0</v>
      </c>
      <c r="AT1184" s="58" t="s">
        <v>521</v>
      </c>
      <c r="AU1184" s="386"/>
      <c r="AV1184" s="23"/>
      <c r="AW1184" s="50"/>
      <c r="AX1184" s="158"/>
      <c r="AY1184" s="158"/>
      <c r="AZ1184" s="158"/>
      <c r="BA1184" s="158"/>
      <c r="BB1184" s="69"/>
      <c r="BC1184" s="69"/>
      <c r="BD1184" s="271"/>
      <c r="BE1184" s="271">
        <v>2019</v>
      </c>
      <c r="BF1184" s="271">
        <v>2020</v>
      </c>
    </row>
    <row r="1185" spans="1:58" s="204" customFormat="1" ht="18" customHeight="1">
      <c r="A1185" s="160" t="s">
        <v>1</v>
      </c>
      <c r="B1185" s="58" t="s">
        <v>320</v>
      </c>
      <c r="C1185" s="241" t="s">
        <v>1901</v>
      </c>
      <c r="D1185" s="33" t="s">
        <v>387</v>
      </c>
      <c r="E1185" s="33"/>
      <c r="F1185" s="33"/>
      <c r="G1185" s="33"/>
      <c r="H1185" s="30" t="s">
        <v>1605</v>
      </c>
      <c r="I1185" s="78">
        <v>1412</v>
      </c>
      <c r="J1185" s="212">
        <v>43696</v>
      </c>
      <c r="K1185" s="158"/>
      <c r="L1185" s="158"/>
      <c r="M1185" s="158">
        <v>1</v>
      </c>
      <c r="N1185" s="158">
        <v>1</v>
      </c>
      <c r="O1185" s="23"/>
      <c r="P1185" s="158">
        <f>65827432</f>
        <v>65827432</v>
      </c>
      <c r="Q1185" s="298"/>
      <c r="R1185" s="158"/>
      <c r="S1185" s="158"/>
      <c r="T1185" s="586">
        <v>29622344</v>
      </c>
      <c r="U1185" s="158">
        <v>20</v>
      </c>
      <c r="V1185" s="311">
        <v>43800</v>
      </c>
      <c r="W1185" s="311"/>
      <c r="X1185" s="311"/>
      <c r="Y1185" s="158"/>
      <c r="Z1185" s="69"/>
      <c r="AA1185" s="276"/>
      <c r="AB1185" s="276"/>
      <c r="AC1185" s="276"/>
      <c r="AD1185" s="158"/>
      <c r="AE1185" s="158">
        <f t="shared" si="185"/>
        <v>36205088</v>
      </c>
      <c r="AF1185" s="158"/>
      <c r="AG1185" s="94">
        <v>0</v>
      </c>
      <c r="AH1185" s="94"/>
      <c r="AI1185" s="94"/>
      <c r="AJ1185" s="158">
        <f t="shared" si="186"/>
        <v>36205088</v>
      </c>
      <c r="AK1185" s="158">
        <v>877</v>
      </c>
      <c r="AL1185" s="158">
        <v>10</v>
      </c>
      <c r="AM1185" s="158">
        <v>1</v>
      </c>
      <c r="AN1185" s="158"/>
      <c r="AO1185" s="158"/>
      <c r="AP1185" s="23"/>
      <c r="AQ1185" s="23"/>
      <c r="AR1185" s="23"/>
      <c r="AS1185" s="56">
        <v>0</v>
      </c>
      <c r="AT1185" s="58" t="s">
        <v>521</v>
      </c>
      <c r="AU1185" s="386"/>
      <c r="AV1185" s="23"/>
      <c r="AW1185" s="50"/>
      <c r="AX1185" s="158"/>
      <c r="AY1185" s="158"/>
      <c r="AZ1185" s="158"/>
      <c r="BA1185" s="158"/>
      <c r="BB1185" s="69"/>
      <c r="BC1185" s="69"/>
      <c r="BD1185" s="271"/>
      <c r="BE1185" s="271">
        <v>2019</v>
      </c>
      <c r="BF1185" s="271">
        <v>2020</v>
      </c>
    </row>
    <row r="1186" spans="1:58" s="204" customFormat="1" ht="18" customHeight="1">
      <c r="A1186" s="160" t="s">
        <v>1</v>
      </c>
      <c r="B1186" s="58" t="s">
        <v>320</v>
      </c>
      <c r="C1186" s="241" t="s">
        <v>1896</v>
      </c>
      <c r="D1186" s="33" t="s">
        <v>1936</v>
      </c>
      <c r="E1186" s="33"/>
      <c r="F1186" s="33"/>
      <c r="G1186" s="33"/>
      <c r="H1186" s="30" t="s">
        <v>1605</v>
      </c>
      <c r="I1186" s="78">
        <v>1417</v>
      </c>
      <c r="J1186" s="212">
        <v>43696</v>
      </c>
      <c r="K1186" s="158"/>
      <c r="L1186" s="158"/>
      <c r="M1186" s="158">
        <v>1</v>
      </c>
      <c r="N1186" s="158">
        <v>1</v>
      </c>
      <c r="O1186" s="23"/>
      <c r="P1186" s="158">
        <v>56000000</v>
      </c>
      <c r="Q1186" s="298"/>
      <c r="R1186" s="158"/>
      <c r="S1186" s="158"/>
      <c r="T1186" s="586">
        <v>56000000</v>
      </c>
      <c r="U1186" s="158">
        <v>20</v>
      </c>
      <c r="V1186" s="311">
        <v>43800</v>
      </c>
      <c r="W1186" s="311"/>
      <c r="X1186" s="311"/>
      <c r="Y1186" s="158"/>
      <c r="Z1186" s="69"/>
      <c r="AA1186" s="276"/>
      <c r="AB1186" s="276"/>
      <c r="AC1186" s="276"/>
      <c r="AD1186" s="158"/>
      <c r="AE1186" s="158">
        <f>P1186-T1186-Y1186</f>
        <v>0</v>
      </c>
      <c r="AF1186" s="158"/>
      <c r="AG1186" s="94">
        <v>0</v>
      </c>
      <c r="AH1186" s="94"/>
      <c r="AI1186" s="94"/>
      <c r="AJ1186" s="158">
        <f t="shared" si="186"/>
        <v>0</v>
      </c>
      <c r="AK1186" s="158">
        <v>877</v>
      </c>
      <c r="AL1186" s="158">
        <v>20</v>
      </c>
      <c r="AM1186" s="158">
        <v>1</v>
      </c>
      <c r="AN1186" s="158"/>
      <c r="AO1186" s="158"/>
      <c r="AP1186" s="23"/>
      <c r="AQ1186" s="23"/>
      <c r="AR1186" s="23"/>
      <c r="AS1186" s="56">
        <v>0</v>
      </c>
      <c r="AT1186" s="58" t="s">
        <v>521</v>
      </c>
      <c r="AU1186" s="386" t="s">
        <v>1966</v>
      </c>
      <c r="AV1186" s="23"/>
      <c r="AW1186" s="50"/>
      <c r="AX1186" s="158"/>
      <c r="AY1186" s="158"/>
      <c r="AZ1186" s="158"/>
      <c r="BA1186" s="158"/>
      <c r="BB1186" s="69"/>
      <c r="BC1186" s="69"/>
      <c r="BD1186" s="271"/>
      <c r="BE1186" s="271">
        <v>2019</v>
      </c>
      <c r="BF1186" s="271">
        <v>2020</v>
      </c>
    </row>
    <row r="1187" spans="1:58" s="204" customFormat="1" ht="18" customHeight="1">
      <c r="A1187" s="160" t="s">
        <v>1</v>
      </c>
      <c r="B1187" s="58" t="s">
        <v>320</v>
      </c>
      <c r="C1187" s="241" t="s">
        <v>1897</v>
      </c>
      <c r="D1187" s="33" t="s">
        <v>1936</v>
      </c>
      <c r="E1187" s="33"/>
      <c r="F1187" s="33"/>
      <c r="G1187" s="33"/>
      <c r="H1187" s="30" t="s">
        <v>1605</v>
      </c>
      <c r="I1187" s="78">
        <v>1423</v>
      </c>
      <c r="J1187" s="212">
        <v>43696</v>
      </c>
      <c r="K1187" s="158"/>
      <c r="L1187" s="158"/>
      <c r="M1187" s="158">
        <v>1</v>
      </c>
      <c r="N1187" s="158">
        <v>1</v>
      </c>
      <c r="O1187" s="23"/>
      <c r="P1187" s="158">
        <v>76000000</v>
      </c>
      <c r="Q1187" s="298"/>
      <c r="R1187" s="158"/>
      <c r="S1187" s="158"/>
      <c r="T1187" s="586">
        <v>76000000</v>
      </c>
      <c r="U1187" s="158">
        <v>20</v>
      </c>
      <c r="V1187" s="311">
        <v>43800</v>
      </c>
      <c r="W1187" s="311"/>
      <c r="X1187" s="311"/>
      <c r="Y1187" s="158"/>
      <c r="Z1187" s="69"/>
      <c r="AA1187" s="276"/>
      <c r="AB1187" s="276"/>
      <c r="AC1187" s="276"/>
      <c r="AD1187" s="158"/>
      <c r="AE1187" s="158">
        <f t="shared" si="185"/>
        <v>0</v>
      </c>
      <c r="AF1187" s="158"/>
      <c r="AG1187" s="94">
        <v>0</v>
      </c>
      <c r="AH1187" s="94"/>
      <c r="AI1187" s="94"/>
      <c r="AJ1187" s="158">
        <f t="shared" si="186"/>
        <v>0</v>
      </c>
      <c r="AK1187" s="158">
        <v>877</v>
      </c>
      <c r="AL1187" s="158">
        <v>20</v>
      </c>
      <c r="AM1187" s="158">
        <v>1</v>
      </c>
      <c r="AN1187" s="158"/>
      <c r="AO1187" s="158"/>
      <c r="AP1187" s="23"/>
      <c r="AQ1187" s="23"/>
      <c r="AR1187" s="23"/>
      <c r="AS1187" s="56">
        <v>0</v>
      </c>
      <c r="AT1187" s="58" t="s">
        <v>521</v>
      </c>
      <c r="AU1187" s="386" t="s">
        <v>1967</v>
      </c>
      <c r="AV1187" s="23"/>
      <c r="AW1187" s="50"/>
      <c r="AX1187" s="158"/>
      <c r="AY1187" s="158"/>
      <c r="AZ1187" s="158"/>
      <c r="BA1187" s="158"/>
      <c r="BB1187" s="69"/>
      <c r="BC1187" s="69"/>
      <c r="BD1187" s="271"/>
      <c r="BE1187" s="271">
        <v>2019</v>
      </c>
      <c r="BF1187" s="271">
        <v>2020</v>
      </c>
    </row>
    <row r="1188" spans="1:58" s="204" customFormat="1" ht="18" customHeight="1">
      <c r="A1188" s="160" t="s">
        <v>1</v>
      </c>
      <c r="B1188" s="58" t="s">
        <v>320</v>
      </c>
      <c r="C1188" s="500" t="s">
        <v>1902</v>
      </c>
      <c r="D1188" s="483" t="s">
        <v>1936</v>
      </c>
      <c r="E1188" s="483"/>
      <c r="F1188" s="483"/>
      <c r="G1188" s="483"/>
      <c r="H1188" s="30" t="s">
        <v>1605</v>
      </c>
      <c r="I1188" s="78">
        <v>1397</v>
      </c>
      <c r="J1188" s="212">
        <v>43691</v>
      </c>
      <c r="K1188" s="158"/>
      <c r="L1188" s="158"/>
      <c r="M1188" s="158">
        <v>1</v>
      </c>
      <c r="N1188" s="158">
        <v>1</v>
      </c>
      <c r="O1188" s="23"/>
      <c r="P1188" s="158">
        <v>76000000</v>
      </c>
      <c r="Q1188" s="298"/>
      <c r="R1188" s="158"/>
      <c r="S1188" s="158"/>
      <c r="T1188" s="624">
        <v>76000000</v>
      </c>
      <c r="U1188" s="72">
        <v>10</v>
      </c>
      <c r="V1188" s="484">
        <v>43920</v>
      </c>
      <c r="W1188" s="484"/>
      <c r="X1188" s="484"/>
      <c r="Y1188" s="158"/>
      <c r="Z1188" s="69"/>
      <c r="AA1188" s="276"/>
      <c r="AB1188" s="634"/>
      <c r="AC1188" s="276"/>
      <c r="AD1188" s="158"/>
      <c r="AE1188" s="158">
        <f t="shared" si="185"/>
        <v>0</v>
      </c>
      <c r="AF1188" s="158"/>
      <c r="AG1188" s="94">
        <v>0</v>
      </c>
      <c r="AH1188" s="94"/>
      <c r="AI1188" s="94"/>
      <c r="AJ1188" s="158">
        <f t="shared" si="186"/>
        <v>0</v>
      </c>
      <c r="AK1188" s="158">
        <v>877</v>
      </c>
      <c r="AL1188" s="158">
        <v>10</v>
      </c>
      <c r="AM1188" s="158"/>
      <c r="AN1188" s="158"/>
      <c r="AO1188" s="592">
        <v>1</v>
      </c>
      <c r="AP1188" s="23"/>
      <c r="AQ1188" s="23"/>
      <c r="AR1188" s="23"/>
      <c r="AS1188" s="494">
        <v>1</v>
      </c>
      <c r="AT1188" s="594" t="s">
        <v>646</v>
      </c>
      <c r="AU1188" s="386"/>
      <c r="AV1188" s="23"/>
      <c r="AW1188" s="50"/>
      <c r="AX1188" s="158"/>
      <c r="AY1188" s="158"/>
      <c r="AZ1188" s="158"/>
      <c r="BA1188" s="158"/>
      <c r="BB1188" s="69"/>
      <c r="BC1188" s="69"/>
      <c r="BD1188" s="271"/>
      <c r="BE1188" s="271">
        <v>2019</v>
      </c>
      <c r="BF1188" s="271">
        <v>2020</v>
      </c>
    </row>
    <row r="1189" spans="1:58" s="204" customFormat="1" ht="18" customHeight="1">
      <c r="A1189" s="160" t="s">
        <v>1</v>
      </c>
      <c r="B1189" s="58" t="s">
        <v>320</v>
      </c>
      <c r="C1189" s="241" t="s">
        <v>1898</v>
      </c>
      <c r="D1189" s="33" t="s">
        <v>1936</v>
      </c>
      <c r="E1189" s="33"/>
      <c r="F1189" s="33"/>
      <c r="G1189" s="33"/>
      <c r="H1189" s="30" t="s">
        <v>1605</v>
      </c>
      <c r="I1189" s="78">
        <v>1414</v>
      </c>
      <c r="J1189" s="212">
        <v>43696</v>
      </c>
      <c r="K1189" s="158"/>
      <c r="L1189" s="158"/>
      <c r="M1189" s="158">
        <v>1</v>
      </c>
      <c r="N1189" s="158">
        <v>1</v>
      </c>
      <c r="O1189" s="23"/>
      <c r="P1189" s="158">
        <v>76000000</v>
      </c>
      <c r="Q1189" s="298"/>
      <c r="R1189" s="158"/>
      <c r="S1189" s="158"/>
      <c r="T1189" s="586">
        <v>76000000</v>
      </c>
      <c r="U1189" s="158">
        <v>20</v>
      </c>
      <c r="V1189" s="311">
        <v>43800</v>
      </c>
      <c r="W1189" s="311"/>
      <c r="X1189" s="311"/>
      <c r="Y1189" s="158"/>
      <c r="Z1189" s="69"/>
      <c r="AA1189" s="276"/>
      <c r="AB1189" s="276"/>
      <c r="AC1189" s="276"/>
      <c r="AD1189" s="158"/>
      <c r="AE1189" s="158">
        <f t="shared" si="185"/>
        <v>0</v>
      </c>
      <c r="AF1189" s="158"/>
      <c r="AG1189" s="94">
        <v>0</v>
      </c>
      <c r="AH1189" s="94"/>
      <c r="AI1189" s="94"/>
      <c r="AJ1189" s="158">
        <f t="shared" si="186"/>
        <v>0</v>
      </c>
      <c r="AK1189" s="158">
        <v>877</v>
      </c>
      <c r="AL1189" s="158">
        <v>20</v>
      </c>
      <c r="AM1189" s="158">
        <v>1</v>
      </c>
      <c r="AN1189" s="158"/>
      <c r="AO1189" s="158"/>
      <c r="AP1189" s="23"/>
      <c r="AQ1189" s="23"/>
      <c r="AR1189" s="23"/>
      <c r="AS1189" s="56">
        <v>0</v>
      </c>
      <c r="AT1189" s="58" t="s">
        <v>521</v>
      </c>
      <c r="AU1189" s="386" t="s">
        <v>1965</v>
      </c>
      <c r="AV1189" s="23"/>
      <c r="AW1189" s="50"/>
      <c r="AX1189" s="158"/>
      <c r="AY1189" s="158"/>
      <c r="AZ1189" s="158"/>
      <c r="BA1189" s="158"/>
      <c r="BB1189" s="69"/>
      <c r="BC1189" s="69"/>
      <c r="BD1189" s="271"/>
      <c r="BE1189" s="271">
        <v>2019</v>
      </c>
      <c r="BF1189" s="271">
        <v>2020</v>
      </c>
    </row>
    <row r="1190" spans="1:58" s="204" customFormat="1" ht="18" customHeight="1">
      <c r="A1190" s="160" t="s">
        <v>1</v>
      </c>
      <c r="B1190" s="58" t="s">
        <v>320</v>
      </c>
      <c r="C1190" s="500" t="s">
        <v>1903</v>
      </c>
      <c r="D1190" s="483" t="s">
        <v>1936</v>
      </c>
      <c r="E1190" s="483"/>
      <c r="F1190" s="483"/>
      <c r="G1190" s="483"/>
      <c r="H1190" s="30" t="s">
        <v>1605</v>
      </c>
      <c r="I1190" s="78">
        <v>1420</v>
      </c>
      <c r="J1190" s="212">
        <v>43696</v>
      </c>
      <c r="K1190" s="158"/>
      <c r="L1190" s="158"/>
      <c r="M1190" s="158">
        <v>1</v>
      </c>
      <c r="N1190" s="158">
        <v>1</v>
      </c>
      <c r="O1190" s="23"/>
      <c r="P1190" s="158">
        <v>77562674</v>
      </c>
      <c r="Q1190" s="298"/>
      <c r="R1190" s="158"/>
      <c r="S1190" s="158"/>
      <c r="T1190" s="624">
        <v>77562674</v>
      </c>
      <c r="U1190" s="72">
        <v>10</v>
      </c>
      <c r="V1190" s="484">
        <v>43888</v>
      </c>
      <c r="W1190" s="484"/>
      <c r="X1190" s="484"/>
      <c r="Y1190" s="158"/>
      <c r="Z1190" s="69"/>
      <c r="AA1190" s="276"/>
      <c r="AB1190" s="634"/>
      <c r="AC1190" s="276"/>
      <c r="AD1190" s="158"/>
      <c r="AE1190" s="158">
        <f t="shared" si="185"/>
        <v>0</v>
      </c>
      <c r="AF1190" s="158"/>
      <c r="AG1190" s="94">
        <v>0</v>
      </c>
      <c r="AH1190" s="94"/>
      <c r="AI1190" s="94"/>
      <c r="AJ1190" s="158">
        <f t="shared" si="186"/>
        <v>0</v>
      </c>
      <c r="AK1190" s="158">
        <v>877</v>
      </c>
      <c r="AL1190" s="158">
        <v>10</v>
      </c>
      <c r="AM1190" s="158"/>
      <c r="AN1190" s="158"/>
      <c r="AO1190" s="592">
        <v>1</v>
      </c>
      <c r="AP1190" s="23"/>
      <c r="AQ1190" s="23"/>
      <c r="AR1190" s="23"/>
      <c r="AS1190" s="494">
        <v>1</v>
      </c>
      <c r="AT1190" s="594" t="s">
        <v>646</v>
      </c>
      <c r="AU1190" s="386"/>
      <c r="AV1190" s="23"/>
      <c r="AW1190" s="50"/>
      <c r="AX1190" s="158"/>
      <c r="AY1190" s="158"/>
      <c r="AZ1190" s="72">
        <v>1</v>
      </c>
      <c r="BA1190" s="158"/>
      <c r="BB1190" s="69"/>
      <c r="BC1190" s="69"/>
      <c r="BD1190" s="271"/>
      <c r="BE1190" s="271">
        <v>2019</v>
      </c>
      <c r="BF1190" s="430">
        <v>2020</v>
      </c>
    </row>
    <row r="1191" spans="1:58" s="204" customFormat="1" ht="18" customHeight="1">
      <c r="A1191" s="160" t="s">
        <v>1</v>
      </c>
      <c r="B1191" s="58" t="s">
        <v>320</v>
      </c>
      <c r="C1191" s="500" t="s">
        <v>1904</v>
      </c>
      <c r="D1191" s="483" t="s">
        <v>387</v>
      </c>
      <c r="E1191" s="483"/>
      <c r="F1191" s="483">
        <v>4</v>
      </c>
      <c r="G1191" s="483"/>
      <c r="H1191" s="30" t="s">
        <v>1605</v>
      </c>
      <c r="I1191" s="78">
        <v>1396</v>
      </c>
      <c r="J1191" s="212">
        <v>43691</v>
      </c>
      <c r="K1191" s="158"/>
      <c r="L1191" s="158"/>
      <c r="M1191" s="158">
        <v>1</v>
      </c>
      <c r="N1191" s="158">
        <v>1</v>
      </c>
      <c r="O1191" s="23"/>
      <c r="P1191" s="158">
        <v>63601392</v>
      </c>
      <c r="Q1191" s="298"/>
      <c r="R1191" s="158"/>
      <c r="S1191" s="158"/>
      <c r="T1191" s="586">
        <v>28620626</v>
      </c>
      <c r="U1191" s="72">
        <v>10</v>
      </c>
      <c r="V1191" s="484">
        <v>43980</v>
      </c>
      <c r="W1191" s="484"/>
      <c r="X1191" s="484"/>
      <c r="Y1191" s="158"/>
      <c r="Z1191" s="69"/>
      <c r="AA1191" s="276"/>
      <c r="AB1191" s="276"/>
      <c r="AC1191" s="276"/>
      <c r="AD1191" s="158"/>
      <c r="AE1191" s="158">
        <f t="shared" si="185"/>
        <v>34980766</v>
      </c>
      <c r="AF1191" s="158"/>
      <c r="AG1191" s="94">
        <v>0</v>
      </c>
      <c r="AH1191" s="94"/>
      <c r="AI1191" s="94"/>
      <c r="AJ1191" s="158">
        <f t="shared" si="186"/>
        <v>34980766</v>
      </c>
      <c r="AK1191" s="158">
        <v>877</v>
      </c>
      <c r="AL1191" s="158">
        <v>10</v>
      </c>
      <c r="AM1191" s="158"/>
      <c r="AN1191" s="72">
        <v>1</v>
      </c>
      <c r="AO1191" s="158"/>
      <c r="AP1191" s="23"/>
      <c r="AQ1191" s="23"/>
      <c r="AR1191" s="23"/>
      <c r="AS1191" s="494">
        <v>0</v>
      </c>
      <c r="AT1191" s="485" t="s">
        <v>38</v>
      </c>
      <c r="AU1191" s="386"/>
      <c r="AV1191" s="23"/>
      <c r="AW1191" s="50"/>
      <c r="AX1191" s="158"/>
      <c r="AY1191" s="158"/>
      <c r="AZ1191" s="158"/>
      <c r="BA1191" s="158"/>
      <c r="BB1191" s="69"/>
      <c r="BC1191" s="69"/>
      <c r="BD1191" s="271"/>
      <c r="BE1191" s="271">
        <v>2019</v>
      </c>
      <c r="BF1191" s="271">
        <v>2020</v>
      </c>
    </row>
    <row r="1192" spans="1:58" s="204" customFormat="1" ht="18" customHeight="1">
      <c r="A1192" s="160" t="s">
        <v>1</v>
      </c>
      <c r="B1192" s="58" t="s">
        <v>320</v>
      </c>
      <c r="C1192" s="241" t="s">
        <v>1905</v>
      </c>
      <c r="D1192" s="33" t="s">
        <v>1936</v>
      </c>
      <c r="E1192" s="33"/>
      <c r="F1192" s="33"/>
      <c r="G1192" s="33"/>
      <c r="H1192" s="30" t="s">
        <v>1605</v>
      </c>
      <c r="I1192" s="78">
        <v>1438</v>
      </c>
      <c r="J1192" s="212">
        <v>43699</v>
      </c>
      <c r="K1192" s="158"/>
      <c r="L1192" s="158"/>
      <c r="M1192" s="158">
        <v>1</v>
      </c>
      <c r="N1192" s="158">
        <v>1</v>
      </c>
      <c r="O1192" s="23"/>
      <c r="P1192" s="158">
        <v>66800000</v>
      </c>
      <c r="Q1192" s="298"/>
      <c r="R1192" s="158"/>
      <c r="S1192" s="158"/>
      <c r="T1192" s="586"/>
      <c r="U1192" s="158"/>
      <c r="V1192" s="311"/>
      <c r="W1192" s="311"/>
      <c r="X1192" s="311"/>
      <c r="Y1192" s="158"/>
      <c r="Z1192" s="69"/>
      <c r="AA1192" s="276"/>
      <c r="AB1192" s="276"/>
      <c r="AC1192" s="276"/>
      <c r="AD1192" s="158"/>
      <c r="AE1192" s="158">
        <f t="shared" si="185"/>
        <v>66800000</v>
      </c>
      <c r="AF1192" s="158"/>
      <c r="AG1192" s="94">
        <v>0</v>
      </c>
      <c r="AH1192" s="94"/>
      <c r="AI1192" s="94"/>
      <c r="AJ1192" s="158">
        <f t="shared" si="186"/>
        <v>66800000</v>
      </c>
      <c r="AK1192" s="158">
        <v>877</v>
      </c>
      <c r="AL1192" s="158">
        <v>10</v>
      </c>
      <c r="AM1192" s="158">
        <v>1</v>
      </c>
      <c r="AN1192" s="158"/>
      <c r="AO1192" s="158"/>
      <c r="AP1192" s="23"/>
      <c r="AQ1192" s="23"/>
      <c r="AR1192" s="23"/>
      <c r="AS1192" s="56">
        <v>0</v>
      </c>
      <c r="AT1192" s="58" t="s">
        <v>521</v>
      </c>
      <c r="AU1192" s="386"/>
      <c r="AV1192" s="23"/>
      <c r="AW1192" s="50"/>
      <c r="AX1192" s="158"/>
      <c r="AY1192" s="158"/>
      <c r="AZ1192" s="158"/>
      <c r="BA1192" s="158"/>
      <c r="BB1192" s="69"/>
      <c r="BC1192" s="69"/>
      <c r="BD1192" s="271"/>
      <c r="BE1192" s="271">
        <v>2019</v>
      </c>
      <c r="BF1192" s="271">
        <v>2020</v>
      </c>
    </row>
    <row r="1193" spans="1:58" s="204" customFormat="1" ht="18" customHeight="1">
      <c r="A1193" s="160" t="s">
        <v>1</v>
      </c>
      <c r="B1193" s="58" t="s">
        <v>320</v>
      </c>
      <c r="C1193" s="241" t="s">
        <v>1978</v>
      </c>
      <c r="D1193" s="33" t="s">
        <v>1936</v>
      </c>
      <c r="E1193" s="33"/>
      <c r="F1193" s="33"/>
      <c r="G1193" s="33"/>
      <c r="H1193" s="30" t="s">
        <v>1605</v>
      </c>
      <c r="I1193" s="78">
        <v>1418</v>
      </c>
      <c r="J1193" s="212">
        <v>43696</v>
      </c>
      <c r="K1193" s="158"/>
      <c r="L1193" s="158"/>
      <c r="M1193" s="158">
        <v>1</v>
      </c>
      <c r="N1193" s="158">
        <v>1</v>
      </c>
      <c r="O1193" s="23"/>
      <c r="P1193" s="158">
        <v>68581733</v>
      </c>
      <c r="Q1193" s="298"/>
      <c r="R1193" s="158"/>
      <c r="S1193" s="158"/>
      <c r="T1193" s="586"/>
      <c r="U1193" s="158"/>
      <c r="V1193" s="311"/>
      <c r="W1193" s="311"/>
      <c r="X1193" s="311"/>
      <c r="Y1193" s="158"/>
      <c r="Z1193" s="69"/>
      <c r="AA1193" s="276"/>
      <c r="AB1193" s="276"/>
      <c r="AC1193" s="276"/>
      <c r="AD1193" s="158"/>
      <c r="AE1193" s="158">
        <f t="shared" si="185"/>
        <v>68581733</v>
      </c>
      <c r="AF1193" s="158"/>
      <c r="AG1193" s="94">
        <v>0</v>
      </c>
      <c r="AH1193" s="94"/>
      <c r="AI1193" s="94"/>
      <c r="AJ1193" s="158">
        <f t="shared" si="186"/>
        <v>68581733</v>
      </c>
      <c r="AK1193" s="158">
        <v>877</v>
      </c>
      <c r="AL1193" s="158">
        <v>10</v>
      </c>
      <c r="AM1193" s="158">
        <v>1</v>
      </c>
      <c r="AN1193" s="158"/>
      <c r="AO1193" s="158"/>
      <c r="AP1193" s="23"/>
      <c r="AQ1193" s="23"/>
      <c r="AR1193" s="23"/>
      <c r="AS1193" s="56">
        <v>0</v>
      </c>
      <c r="AT1193" s="58" t="s">
        <v>521</v>
      </c>
      <c r="AU1193" s="386"/>
      <c r="AV1193" s="23"/>
      <c r="AW1193" s="50"/>
      <c r="AX1193" s="158"/>
      <c r="AY1193" s="158"/>
      <c r="AZ1193" s="158"/>
      <c r="BA1193" s="158"/>
      <c r="BB1193" s="69"/>
      <c r="BC1193" s="69"/>
      <c r="BD1193" s="271"/>
      <c r="BE1193" s="271">
        <v>2019</v>
      </c>
      <c r="BF1193" s="271">
        <v>2020</v>
      </c>
    </row>
    <row r="1194" spans="1:58" s="204" customFormat="1" ht="18" customHeight="1">
      <c r="A1194" s="160" t="s">
        <v>1</v>
      </c>
      <c r="B1194" s="58" t="s">
        <v>320</v>
      </c>
      <c r="C1194" s="241" t="s">
        <v>1906</v>
      </c>
      <c r="D1194" s="33" t="s">
        <v>1936</v>
      </c>
      <c r="E1194" s="33"/>
      <c r="F1194" s="33"/>
      <c r="G1194" s="33"/>
      <c r="H1194" s="30" t="s">
        <v>1605</v>
      </c>
      <c r="I1194" s="78">
        <v>1408</v>
      </c>
      <c r="J1194" s="212">
        <v>43693</v>
      </c>
      <c r="K1194" s="158"/>
      <c r="L1194" s="158"/>
      <c r="M1194" s="158">
        <v>1</v>
      </c>
      <c r="N1194" s="158">
        <v>1</v>
      </c>
      <c r="O1194" s="23"/>
      <c r="P1194" s="158">
        <v>80750000</v>
      </c>
      <c r="Q1194" s="298"/>
      <c r="R1194" s="158"/>
      <c r="S1194" s="158"/>
      <c r="T1194" s="586"/>
      <c r="U1194" s="158"/>
      <c r="V1194" s="311"/>
      <c r="W1194" s="311"/>
      <c r="X1194" s="311"/>
      <c r="Y1194" s="158"/>
      <c r="Z1194" s="69"/>
      <c r="AA1194" s="276"/>
      <c r="AB1194" s="276"/>
      <c r="AC1194" s="276"/>
      <c r="AD1194" s="158"/>
      <c r="AE1194" s="158">
        <f t="shared" si="185"/>
        <v>80750000</v>
      </c>
      <c r="AF1194" s="158"/>
      <c r="AG1194" s="94">
        <v>0</v>
      </c>
      <c r="AH1194" s="94"/>
      <c r="AI1194" s="94"/>
      <c r="AJ1194" s="158">
        <f t="shared" si="186"/>
        <v>80750000</v>
      </c>
      <c r="AK1194" s="158">
        <v>877</v>
      </c>
      <c r="AL1194" s="158">
        <v>10</v>
      </c>
      <c r="AM1194" s="158">
        <v>1</v>
      </c>
      <c r="AN1194" s="158"/>
      <c r="AO1194" s="158"/>
      <c r="AP1194" s="23"/>
      <c r="AQ1194" s="23"/>
      <c r="AR1194" s="23"/>
      <c r="AS1194" s="56">
        <v>0</v>
      </c>
      <c r="AT1194" s="58" t="s">
        <v>521</v>
      </c>
      <c r="AU1194" s="386"/>
      <c r="AV1194" s="23"/>
      <c r="AW1194" s="50"/>
      <c r="AX1194" s="158"/>
      <c r="AY1194" s="158"/>
      <c r="AZ1194" s="158"/>
      <c r="BA1194" s="158"/>
      <c r="BB1194" s="69"/>
      <c r="BC1194" s="69"/>
      <c r="BD1194" s="271"/>
      <c r="BE1194" s="271">
        <v>2019</v>
      </c>
      <c r="BF1194" s="271">
        <v>2020</v>
      </c>
    </row>
    <row r="1195" spans="1:58" s="204" customFormat="1" ht="18" customHeight="1">
      <c r="A1195" s="160" t="s">
        <v>1</v>
      </c>
      <c r="B1195" s="58" t="s">
        <v>320</v>
      </c>
      <c r="C1195" s="500" t="s">
        <v>1907</v>
      </c>
      <c r="D1195" s="483" t="s">
        <v>1936</v>
      </c>
      <c r="E1195" s="483"/>
      <c r="F1195" s="483"/>
      <c r="G1195" s="483"/>
      <c r="H1195" s="30" t="s">
        <v>1605</v>
      </c>
      <c r="I1195" s="78">
        <v>1470</v>
      </c>
      <c r="J1195" s="212">
        <v>43704</v>
      </c>
      <c r="K1195" s="158"/>
      <c r="L1195" s="158"/>
      <c r="M1195" s="158">
        <v>1</v>
      </c>
      <c r="N1195" s="158">
        <v>1</v>
      </c>
      <c r="O1195" s="23"/>
      <c r="P1195" s="158">
        <v>76000000</v>
      </c>
      <c r="Q1195" s="298"/>
      <c r="R1195" s="158"/>
      <c r="S1195" s="158"/>
      <c r="T1195" s="624">
        <v>76000000</v>
      </c>
      <c r="U1195" s="72">
        <v>10</v>
      </c>
      <c r="V1195" s="484">
        <v>43917</v>
      </c>
      <c r="W1195" s="484"/>
      <c r="X1195" s="484"/>
      <c r="Y1195" s="158"/>
      <c r="Z1195" s="69"/>
      <c r="AA1195" s="276"/>
      <c r="AB1195" s="634"/>
      <c r="AC1195" s="276"/>
      <c r="AD1195" s="158"/>
      <c r="AE1195" s="158">
        <f t="shared" si="185"/>
        <v>0</v>
      </c>
      <c r="AF1195" s="158"/>
      <c r="AG1195" s="94">
        <v>0</v>
      </c>
      <c r="AH1195" s="94"/>
      <c r="AI1195" s="94"/>
      <c r="AJ1195" s="158">
        <f t="shared" si="186"/>
        <v>0</v>
      </c>
      <c r="AK1195" s="158">
        <v>877</v>
      </c>
      <c r="AL1195" s="158">
        <v>10</v>
      </c>
      <c r="AM1195" s="158"/>
      <c r="AN1195" s="158"/>
      <c r="AO1195" s="592">
        <v>1</v>
      </c>
      <c r="AP1195" s="23"/>
      <c r="AQ1195" s="23"/>
      <c r="AR1195" s="23"/>
      <c r="AS1195" s="494">
        <v>1</v>
      </c>
      <c r="AT1195" s="594" t="s">
        <v>646</v>
      </c>
      <c r="AU1195" s="386"/>
      <c r="AV1195" s="23"/>
      <c r="AW1195" s="50"/>
      <c r="AX1195" s="158"/>
      <c r="AY1195" s="158"/>
      <c r="AZ1195" s="158"/>
      <c r="BA1195" s="158"/>
      <c r="BB1195" s="69"/>
      <c r="BC1195" s="69"/>
      <c r="BD1195" s="271"/>
      <c r="BE1195" s="271">
        <v>2019</v>
      </c>
      <c r="BF1195" s="271">
        <v>2020</v>
      </c>
    </row>
    <row r="1196" spans="1:58" s="204" customFormat="1" ht="18" customHeight="1">
      <c r="A1196" s="160" t="s">
        <v>1</v>
      </c>
      <c r="B1196" s="58" t="s">
        <v>320</v>
      </c>
      <c r="C1196" s="500" t="s">
        <v>1908</v>
      </c>
      <c r="D1196" s="483" t="s">
        <v>1936</v>
      </c>
      <c r="E1196" s="483"/>
      <c r="F1196" s="483"/>
      <c r="G1196" s="483"/>
      <c r="H1196" s="30" t="s">
        <v>1605</v>
      </c>
      <c r="I1196" s="78">
        <v>1394</v>
      </c>
      <c r="J1196" s="212">
        <v>43691</v>
      </c>
      <c r="K1196" s="158"/>
      <c r="L1196" s="158"/>
      <c r="M1196" s="158">
        <v>1</v>
      </c>
      <c r="N1196" s="158">
        <v>1</v>
      </c>
      <c r="O1196" s="23"/>
      <c r="P1196" s="158">
        <v>77562674</v>
      </c>
      <c r="Q1196" s="298"/>
      <c r="R1196" s="158"/>
      <c r="S1196" s="158"/>
      <c r="T1196" s="624">
        <v>77562674</v>
      </c>
      <c r="U1196" s="72">
        <v>10</v>
      </c>
      <c r="V1196" s="484">
        <v>43888</v>
      </c>
      <c r="W1196" s="484"/>
      <c r="X1196" s="484"/>
      <c r="Y1196" s="158"/>
      <c r="Z1196" s="69"/>
      <c r="AA1196" s="276"/>
      <c r="AB1196" s="634"/>
      <c r="AC1196" s="276"/>
      <c r="AD1196" s="158"/>
      <c r="AE1196" s="158">
        <f t="shared" si="185"/>
        <v>0</v>
      </c>
      <c r="AF1196" s="158"/>
      <c r="AG1196" s="94">
        <v>0</v>
      </c>
      <c r="AH1196" s="94"/>
      <c r="AI1196" s="94"/>
      <c r="AJ1196" s="158">
        <f t="shared" si="186"/>
        <v>0</v>
      </c>
      <c r="AK1196" s="158">
        <v>877</v>
      </c>
      <c r="AL1196" s="158">
        <v>10</v>
      </c>
      <c r="AM1196" s="158"/>
      <c r="AN1196" s="158"/>
      <c r="AO1196" s="592">
        <v>1</v>
      </c>
      <c r="AP1196" s="23"/>
      <c r="AQ1196" s="23"/>
      <c r="AR1196" s="23"/>
      <c r="AS1196" s="494">
        <v>1</v>
      </c>
      <c r="AT1196" s="594" t="s">
        <v>646</v>
      </c>
      <c r="AU1196" s="386"/>
      <c r="AV1196" s="23"/>
      <c r="AW1196" s="50"/>
      <c r="AX1196" s="158"/>
      <c r="AY1196" s="158"/>
      <c r="AZ1196" s="72">
        <v>1</v>
      </c>
      <c r="BA1196" s="158"/>
      <c r="BB1196" s="69"/>
      <c r="BC1196" s="69"/>
      <c r="BD1196" s="271"/>
      <c r="BE1196" s="271">
        <v>2019</v>
      </c>
      <c r="BF1196" s="430">
        <v>2020</v>
      </c>
    </row>
    <row r="1197" spans="1:58" s="204" customFormat="1" ht="18" customHeight="1">
      <c r="A1197" s="160" t="s">
        <v>1</v>
      </c>
      <c r="B1197" s="58" t="s">
        <v>320</v>
      </c>
      <c r="C1197" s="503" t="s">
        <v>2232</v>
      </c>
      <c r="D1197" s="483" t="s">
        <v>1936</v>
      </c>
      <c r="E1197" s="483"/>
      <c r="F1197" s="483"/>
      <c r="G1197" s="483"/>
      <c r="H1197" s="30" t="s">
        <v>1605</v>
      </c>
      <c r="I1197" s="78">
        <v>1443</v>
      </c>
      <c r="J1197" s="212">
        <v>43700</v>
      </c>
      <c r="K1197" s="158"/>
      <c r="L1197" s="158"/>
      <c r="M1197" s="158">
        <v>1</v>
      </c>
      <c r="N1197" s="158">
        <v>1</v>
      </c>
      <c r="O1197" s="23"/>
      <c r="P1197" s="158">
        <v>66500000</v>
      </c>
      <c r="Q1197" s="298"/>
      <c r="R1197" s="158"/>
      <c r="S1197" s="158"/>
      <c r="T1197" s="624">
        <v>66500000</v>
      </c>
      <c r="U1197" s="72">
        <v>10</v>
      </c>
      <c r="V1197" s="484">
        <v>43917</v>
      </c>
      <c r="W1197" s="484"/>
      <c r="X1197" s="484"/>
      <c r="Y1197" s="158"/>
      <c r="Z1197" s="69"/>
      <c r="AA1197" s="158"/>
      <c r="AB1197" s="156"/>
      <c r="AC1197" s="158"/>
      <c r="AD1197" s="158"/>
      <c r="AE1197" s="158">
        <f t="shared" si="185"/>
        <v>0</v>
      </c>
      <c r="AF1197" s="158"/>
      <c r="AG1197" s="94">
        <v>0</v>
      </c>
      <c r="AH1197" s="94"/>
      <c r="AI1197" s="94"/>
      <c r="AJ1197" s="158">
        <f t="shared" si="186"/>
        <v>0</v>
      </c>
      <c r="AK1197" s="158">
        <v>877</v>
      </c>
      <c r="AL1197" s="158">
        <v>10</v>
      </c>
      <c r="AM1197" s="158"/>
      <c r="AN1197" s="158"/>
      <c r="AO1197" s="592">
        <v>1</v>
      </c>
      <c r="AP1197" s="23"/>
      <c r="AQ1197" s="23"/>
      <c r="AR1197" s="23"/>
      <c r="AS1197" s="494">
        <v>1</v>
      </c>
      <c r="AT1197" s="594" t="s">
        <v>646</v>
      </c>
      <c r="AU1197" s="386"/>
      <c r="AV1197" s="23"/>
      <c r="AW1197" s="50"/>
      <c r="AX1197" s="158"/>
      <c r="AY1197" s="158"/>
      <c r="AZ1197" s="158"/>
      <c r="BA1197" s="158"/>
      <c r="BB1197" s="69"/>
      <c r="BC1197" s="69"/>
      <c r="BD1197" s="271"/>
      <c r="BE1197" s="271">
        <v>2019</v>
      </c>
      <c r="BF1197" s="271">
        <v>2020</v>
      </c>
    </row>
    <row r="1198" spans="1:58" s="204" customFormat="1" ht="18" customHeight="1">
      <c r="A1198" s="230" t="s">
        <v>1</v>
      </c>
      <c r="B1198" s="58" t="s">
        <v>320</v>
      </c>
      <c r="C1198" s="241" t="s">
        <v>1597</v>
      </c>
      <c r="D1198" s="33" t="s">
        <v>387</v>
      </c>
      <c r="E1198" s="33"/>
      <c r="F1198" s="33"/>
      <c r="G1198" s="33"/>
      <c r="H1198" s="30" t="s">
        <v>1553</v>
      </c>
      <c r="I1198" s="30">
        <v>1717</v>
      </c>
      <c r="J1198" s="212">
        <v>43738</v>
      </c>
      <c r="K1198" s="158"/>
      <c r="L1198" s="158"/>
      <c r="M1198" s="158">
        <v>1</v>
      </c>
      <c r="N1198" s="158">
        <v>1</v>
      </c>
      <c r="O1198" s="23"/>
      <c r="P1198" s="158">
        <v>65827432</v>
      </c>
      <c r="Q1198" s="158"/>
      <c r="R1198" s="158"/>
      <c r="S1198" s="158"/>
      <c r="T1198" s="586"/>
      <c r="U1198" s="158"/>
      <c r="V1198" s="311"/>
      <c r="W1198" s="311"/>
      <c r="X1198" s="311"/>
      <c r="Y1198" s="158"/>
      <c r="Z1198" s="69"/>
      <c r="AA1198" s="276"/>
      <c r="AB1198" s="276"/>
      <c r="AC1198" s="276"/>
      <c r="AD1198" s="158"/>
      <c r="AE1198" s="158">
        <f>P1198-T1198-Y1198-36205088</f>
        <v>29622344</v>
      </c>
      <c r="AF1198" s="158"/>
      <c r="AG1198" s="158">
        <v>36205088</v>
      </c>
      <c r="AH1198" s="158"/>
      <c r="AI1198" s="158"/>
      <c r="AJ1198" s="158">
        <f t="shared" si="186"/>
        <v>65827432</v>
      </c>
      <c r="AK1198" s="158">
        <v>877</v>
      </c>
      <c r="AL1198" s="158">
        <v>10</v>
      </c>
      <c r="AM1198" s="158">
        <v>1</v>
      </c>
      <c r="AN1198" s="158"/>
      <c r="AO1198" s="158"/>
      <c r="AP1198" s="23"/>
      <c r="AQ1198" s="23"/>
      <c r="AR1198" s="23"/>
      <c r="AS1198" s="2">
        <v>0</v>
      </c>
      <c r="AT1198" s="58" t="s">
        <v>521</v>
      </c>
      <c r="AU1198" s="386"/>
      <c r="AV1198" s="23"/>
      <c r="AW1198" s="50"/>
      <c r="AX1198" s="158"/>
      <c r="AY1198" s="158"/>
      <c r="AZ1198" s="158"/>
      <c r="BA1198" s="158"/>
      <c r="BB1198" s="69"/>
      <c r="BC1198" s="69"/>
      <c r="BD1198" s="271"/>
      <c r="BE1198" s="271">
        <v>2019</v>
      </c>
      <c r="BF1198" s="271">
        <v>2020</v>
      </c>
    </row>
    <row r="1199" spans="1:58" s="204" customFormat="1" ht="18" customHeight="1">
      <c r="A1199" s="230" t="s">
        <v>1</v>
      </c>
      <c r="B1199" s="58" t="s">
        <v>320</v>
      </c>
      <c r="C1199" s="500" t="s">
        <v>1598</v>
      </c>
      <c r="D1199" s="483" t="s">
        <v>387</v>
      </c>
      <c r="E1199" s="483"/>
      <c r="F1199" s="483">
        <v>4</v>
      </c>
      <c r="G1199" s="483"/>
      <c r="H1199" s="30" t="s">
        <v>1553</v>
      </c>
      <c r="I1199" s="30">
        <v>1718</v>
      </c>
      <c r="J1199" s="212">
        <v>43738</v>
      </c>
      <c r="K1199" s="158"/>
      <c r="L1199" s="158"/>
      <c r="M1199" s="158">
        <v>1</v>
      </c>
      <c r="N1199" s="158">
        <v>1</v>
      </c>
      <c r="O1199" s="23"/>
      <c r="P1199" s="158">
        <v>65827432</v>
      </c>
      <c r="Q1199" s="158"/>
      <c r="R1199" s="158"/>
      <c r="S1199" s="158"/>
      <c r="T1199" s="586">
        <v>29622344</v>
      </c>
      <c r="U1199" s="72">
        <v>10</v>
      </c>
      <c r="V1199" s="484">
        <v>43980</v>
      </c>
      <c r="W1199" s="484"/>
      <c r="X1199" s="484"/>
      <c r="Y1199" s="158"/>
      <c r="Z1199" s="69"/>
      <c r="AA1199" s="276"/>
      <c r="AB1199" s="276"/>
      <c r="AC1199" s="276"/>
      <c r="AD1199" s="158"/>
      <c r="AE1199" s="158">
        <f t="shared" ref="AE1199" si="187">P1199-T1199-Y1199-AG1199</f>
        <v>0</v>
      </c>
      <c r="AF1199" s="158"/>
      <c r="AG1199" s="158">
        <f t="shared" ref="AG1199:AG1207" si="188">P1199-T1199-Y1199</f>
        <v>36205088</v>
      </c>
      <c r="AH1199" s="158"/>
      <c r="AI1199" s="158"/>
      <c r="AJ1199" s="158">
        <f t="shared" si="186"/>
        <v>36205088</v>
      </c>
      <c r="AK1199" s="158">
        <v>877</v>
      </c>
      <c r="AL1199" s="158">
        <v>10</v>
      </c>
      <c r="AM1199" s="158"/>
      <c r="AN1199" s="72">
        <v>1</v>
      </c>
      <c r="AO1199" s="158"/>
      <c r="AP1199" s="23"/>
      <c r="AQ1199" s="23"/>
      <c r="AR1199" s="23"/>
      <c r="AS1199" s="493">
        <v>0</v>
      </c>
      <c r="AT1199" s="485" t="s">
        <v>38</v>
      </c>
      <c r="AU1199" s="386"/>
      <c r="AV1199" s="23"/>
      <c r="AW1199" s="50"/>
      <c r="AX1199" s="158"/>
      <c r="AY1199" s="158"/>
      <c r="AZ1199" s="158"/>
      <c r="BA1199" s="158"/>
      <c r="BB1199" s="69"/>
      <c r="BC1199" s="69"/>
      <c r="BD1199" s="271"/>
      <c r="BE1199" s="271">
        <v>2019</v>
      </c>
      <c r="BF1199" s="271">
        <v>2020</v>
      </c>
    </row>
    <row r="1200" spans="1:58" s="204" customFormat="1" ht="18" customHeight="1">
      <c r="A1200" s="230" t="s">
        <v>1</v>
      </c>
      <c r="B1200" s="58" t="s">
        <v>320</v>
      </c>
      <c r="C1200" s="500" t="s">
        <v>2231</v>
      </c>
      <c r="D1200" s="483" t="s">
        <v>1936</v>
      </c>
      <c r="E1200" s="483"/>
      <c r="F1200" s="483"/>
      <c r="G1200" s="483"/>
      <c r="H1200" s="30" t="s">
        <v>1553</v>
      </c>
      <c r="I1200" s="30">
        <v>1703</v>
      </c>
      <c r="J1200" s="212">
        <v>43735</v>
      </c>
      <c r="K1200" s="158"/>
      <c r="L1200" s="158"/>
      <c r="M1200" s="158">
        <v>1</v>
      </c>
      <c r="N1200" s="158">
        <v>1</v>
      </c>
      <c r="O1200" s="23"/>
      <c r="P1200" s="158">
        <v>76000000</v>
      </c>
      <c r="Q1200" s="158"/>
      <c r="R1200" s="158"/>
      <c r="S1200" s="158"/>
      <c r="T1200" s="624">
        <v>76000000</v>
      </c>
      <c r="U1200" s="72">
        <v>10</v>
      </c>
      <c r="V1200" s="484">
        <v>43917</v>
      </c>
      <c r="W1200" s="484"/>
      <c r="X1200" s="484"/>
      <c r="Y1200" s="158"/>
      <c r="Z1200" s="69"/>
      <c r="AA1200" s="276"/>
      <c r="AB1200" s="634"/>
      <c r="AC1200" s="276"/>
      <c r="AD1200" s="158"/>
      <c r="AE1200" s="158">
        <f t="shared" ref="AE1200:AE1209" si="189">P1200-T1200-Y1200</f>
        <v>0</v>
      </c>
      <c r="AF1200" s="158"/>
      <c r="AG1200" s="94">
        <v>0</v>
      </c>
      <c r="AH1200" s="94"/>
      <c r="AI1200" s="94"/>
      <c r="AJ1200" s="158">
        <f t="shared" si="186"/>
        <v>0</v>
      </c>
      <c r="AK1200" s="158">
        <v>877</v>
      </c>
      <c r="AL1200" s="158">
        <v>10</v>
      </c>
      <c r="AM1200" s="158"/>
      <c r="AN1200" s="158"/>
      <c r="AO1200" s="592">
        <v>1</v>
      </c>
      <c r="AP1200" s="23"/>
      <c r="AQ1200" s="23"/>
      <c r="AR1200" s="23"/>
      <c r="AS1200" s="493">
        <v>1</v>
      </c>
      <c r="AT1200" s="594" t="s">
        <v>646</v>
      </c>
      <c r="AU1200" s="386"/>
      <c r="AV1200" s="23"/>
      <c r="AW1200" s="50"/>
      <c r="AX1200" s="158"/>
      <c r="AY1200" s="158"/>
      <c r="AZ1200" s="158"/>
      <c r="BA1200" s="158"/>
      <c r="BB1200" s="69"/>
      <c r="BC1200" s="69"/>
      <c r="BD1200" s="271"/>
      <c r="BE1200" s="271">
        <v>2019</v>
      </c>
      <c r="BF1200" s="271">
        <v>2020</v>
      </c>
    </row>
    <row r="1201" spans="1:58" s="204" customFormat="1" ht="18" customHeight="1">
      <c r="A1201" s="230" t="s">
        <v>1</v>
      </c>
      <c r="B1201" s="58" t="s">
        <v>320</v>
      </c>
      <c r="C1201" s="241" t="s">
        <v>1599</v>
      </c>
      <c r="D1201" s="33" t="s">
        <v>1936</v>
      </c>
      <c r="E1201" s="33"/>
      <c r="F1201" s="33"/>
      <c r="G1201" s="33"/>
      <c r="H1201" s="30" t="s">
        <v>1553</v>
      </c>
      <c r="I1201" s="30">
        <v>1710</v>
      </c>
      <c r="J1201" s="212">
        <v>43738</v>
      </c>
      <c r="K1201" s="158"/>
      <c r="L1201" s="158"/>
      <c r="M1201" s="158">
        <v>1</v>
      </c>
      <c r="N1201" s="158">
        <v>1</v>
      </c>
      <c r="O1201" s="23"/>
      <c r="P1201" s="158">
        <v>68581733</v>
      </c>
      <c r="Q1201" s="158"/>
      <c r="R1201" s="158"/>
      <c r="S1201" s="158"/>
      <c r="T1201" s="586"/>
      <c r="U1201" s="158"/>
      <c r="V1201" s="311"/>
      <c r="W1201" s="311"/>
      <c r="X1201" s="311"/>
      <c r="Y1201" s="158"/>
      <c r="Z1201" s="69"/>
      <c r="AA1201" s="276"/>
      <c r="AB1201" s="276"/>
      <c r="AC1201" s="276"/>
      <c r="AD1201" s="158"/>
      <c r="AE1201" s="158">
        <f t="shared" si="189"/>
        <v>68581733</v>
      </c>
      <c r="AF1201" s="158"/>
      <c r="AG1201" s="94">
        <v>0</v>
      </c>
      <c r="AH1201" s="94"/>
      <c r="AI1201" s="94"/>
      <c r="AJ1201" s="158">
        <f t="shared" si="186"/>
        <v>68581733</v>
      </c>
      <c r="AK1201" s="158">
        <v>877</v>
      </c>
      <c r="AL1201" s="158">
        <v>10</v>
      </c>
      <c r="AM1201" s="158">
        <v>1</v>
      </c>
      <c r="AN1201" s="158"/>
      <c r="AO1201" s="158"/>
      <c r="AP1201" s="23"/>
      <c r="AQ1201" s="23"/>
      <c r="AR1201" s="23"/>
      <c r="AS1201" s="2">
        <v>0</v>
      </c>
      <c r="AT1201" s="58" t="s">
        <v>521</v>
      </c>
      <c r="AU1201" s="386"/>
      <c r="AV1201" s="23"/>
      <c r="AW1201" s="50"/>
      <c r="AX1201" s="158"/>
      <c r="AY1201" s="158"/>
      <c r="AZ1201" s="158"/>
      <c r="BA1201" s="158"/>
      <c r="BB1201" s="69"/>
      <c r="BC1201" s="69"/>
      <c r="BD1201" s="271"/>
      <c r="BE1201" s="271">
        <v>2019</v>
      </c>
      <c r="BF1201" s="271">
        <v>2020</v>
      </c>
    </row>
    <row r="1202" spans="1:58" s="204" customFormat="1" ht="18" customHeight="1">
      <c r="A1202" s="230" t="s">
        <v>1</v>
      </c>
      <c r="B1202" s="58" t="s">
        <v>320</v>
      </c>
      <c r="C1202" s="500" t="s">
        <v>1600</v>
      </c>
      <c r="D1202" s="483" t="s">
        <v>1936</v>
      </c>
      <c r="E1202" s="483"/>
      <c r="F1202" s="483"/>
      <c r="G1202" s="483"/>
      <c r="H1202" s="30" t="s">
        <v>1553</v>
      </c>
      <c r="I1202" s="30">
        <v>1712</v>
      </c>
      <c r="J1202" s="212">
        <v>43738</v>
      </c>
      <c r="K1202" s="158"/>
      <c r="L1202" s="158"/>
      <c r="M1202" s="158">
        <v>1</v>
      </c>
      <c r="N1202" s="158">
        <v>1</v>
      </c>
      <c r="O1202" s="23"/>
      <c r="P1202" s="158">
        <v>76000000</v>
      </c>
      <c r="Q1202" s="158"/>
      <c r="R1202" s="158"/>
      <c r="S1202" s="158"/>
      <c r="T1202" s="624">
        <v>76000000</v>
      </c>
      <c r="U1202" s="72">
        <v>10</v>
      </c>
      <c r="V1202" s="484">
        <v>43888</v>
      </c>
      <c r="W1202" s="484"/>
      <c r="X1202" s="484"/>
      <c r="Y1202" s="158"/>
      <c r="Z1202" s="69"/>
      <c r="AA1202" s="276"/>
      <c r="AB1202" s="634"/>
      <c r="AC1202" s="276"/>
      <c r="AD1202" s="158"/>
      <c r="AE1202" s="158">
        <f t="shared" si="189"/>
        <v>0</v>
      </c>
      <c r="AF1202" s="158"/>
      <c r="AG1202" s="94">
        <v>0</v>
      </c>
      <c r="AH1202" s="94"/>
      <c r="AI1202" s="94"/>
      <c r="AJ1202" s="158">
        <f t="shared" si="186"/>
        <v>0</v>
      </c>
      <c r="AK1202" s="158">
        <v>877</v>
      </c>
      <c r="AL1202" s="158">
        <v>10</v>
      </c>
      <c r="AM1202" s="158"/>
      <c r="AN1202" s="158"/>
      <c r="AO1202" s="592">
        <v>1</v>
      </c>
      <c r="AP1202" s="23"/>
      <c r="AQ1202" s="23"/>
      <c r="AR1202" s="23"/>
      <c r="AS1202" s="493">
        <v>1</v>
      </c>
      <c r="AT1202" s="594" t="s">
        <v>646</v>
      </c>
      <c r="AU1202" s="386"/>
      <c r="AV1202" s="23"/>
      <c r="AW1202" s="50"/>
      <c r="AX1202" s="158"/>
      <c r="AY1202" s="158"/>
      <c r="AZ1202" s="72">
        <v>1</v>
      </c>
      <c r="BA1202" s="158"/>
      <c r="BB1202" s="69"/>
      <c r="BC1202" s="69"/>
      <c r="BD1202" s="271"/>
      <c r="BE1202" s="271">
        <v>2019</v>
      </c>
      <c r="BF1202" s="430">
        <v>2020</v>
      </c>
    </row>
    <row r="1203" spans="1:58" s="204" customFormat="1" ht="18" customHeight="1">
      <c r="A1203" s="230" t="s">
        <v>1</v>
      </c>
      <c r="B1203" s="58" t="s">
        <v>320</v>
      </c>
      <c r="C1203" s="241" t="s">
        <v>1601</v>
      </c>
      <c r="D1203" s="33" t="s">
        <v>1936</v>
      </c>
      <c r="E1203" s="33"/>
      <c r="F1203" s="33"/>
      <c r="G1203" s="33"/>
      <c r="H1203" s="30" t="s">
        <v>1553</v>
      </c>
      <c r="I1203" s="30">
        <v>1702</v>
      </c>
      <c r="J1203" s="212">
        <v>43735</v>
      </c>
      <c r="K1203" s="158"/>
      <c r="L1203" s="158"/>
      <c r="M1203" s="158">
        <v>1</v>
      </c>
      <c r="N1203" s="158">
        <v>1</v>
      </c>
      <c r="O1203" s="23"/>
      <c r="P1203" s="158">
        <v>68581733</v>
      </c>
      <c r="Q1203" s="158"/>
      <c r="R1203" s="158"/>
      <c r="S1203" s="158"/>
      <c r="T1203" s="586"/>
      <c r="U1203" s="158"/>
      <c r="V1203" s="311"/>
      <c r="W1203" s="311"/>
      <c r="X1203" s="311"/>
      <c r="Y1203" s="158"/>
      <c r="Z1203" s="69"/>
      <c r="AA1203" s="276"/>
      <c r="AB1203" s="276"/>
      <c r="AC1203" s="276"/>
      <c r="AD1203" s="158"/>
      <c r="AE1203" s="158">
        <f t="shared" si="189"/>
        <v>68581733</v>
      </c>
      <c r="AF1203" s="158"/>
      <c r="AG1203" s="94">
        <v>0</v>
      </c>
      <c r="AH1203" s="94"/>
      <c r="AI1203" s="94"/>
      <c r="AJ1203" s="158">
        <f t="shared" si="186"/>
        <v>68581733</v>
      </c>
      <c r="AK1203" s="158">
        <v>877</v>
      </c>
      <c r="AL1203" s="158">
        <v>10</v>
      </c>
      <c r="AM1203" s="158">
        <v>1</v>
      </c>
      <c r="AN1203" s="158"/>
      <c r="AO1203" s="158"/>
      <c r="AP1203" s="23"/>
      <c r="AQ1203" s="23"/>
      <c r="AR1203" s="23"/>
      <c r="AS1203" s="2">
        <v>0</v>
      </c>
      <c r="AT1203" s="58" t="s">
        <v>521</v>
      </c>
      <c r="AU1203" s="386"/>
      <c r="AV1203" s="23"/>
      <c r="AW1203" s="50"/>
      <c r="AX1203" s="158"/>
      <c r="AY1203" s="158"/>
      <c r="AZ1203" s="158"/>
      <c r="BA1203" s="158"/>
      <c r="BB1203" s="69"/>
      <c r="BC1203" s="69"/>
      <c r="BD1203" s="271"/>
      <c r="BE1203" s="271">
        <v>2019</v>
      </c>
      <c r="BF1203" s="271">
        <v>2020</v>
      </c>
    </row>
    <row r="1204" spans="1:58" s="204" customFormat="1" ht="18" customHeight="1">
      <c r="A1204" s="230" t="s">
        <v>1</v>
      </c>
      <c r="B1204" s="58" t="s">
        <v>320</v>
      </c>
      <c r="C1204" s="500" t="s">
        <v>2224</v>
      </c>
      <c r="D1204" s="483" t="s">
        <v>1936</v>
      </c>
      <c r="E1204" s="483"/>
      <c r="F1204" s="483"/>
      <c r="G1204" s="483"/>
      <c r="H1204" s="30" t="s">
        <v>1553</v>
      </c>
      <c r="I1204" s="30">
        <v>1709</v>
      </c>
      <c r="J1204" s="212">
        <v>43738</v>
      </c>
      <c r="K1204" s="158"/>
      <c r="L1204" s="158"/>
      <c r="M1204" s="158">
        <v>1</v>
      </c>
      <c r="N1204" s="158">
        <v>1</v>
      </c>
      <c r="O1204" s="23"/>
      <c r="P1204" s="158">
        <v>77562674</v>
      </c>
      <c r="Q1204" s="158"/>
      <c r="R1204" s="158"/>
      <c r="S1204" s="158"/>
      <c r="T1204" s="624">
        <v>77562674</v>
      </c>
      <c r="U1204" s="72">
        <v>10</v>
      </c>
      <c r="V1204" s="484">
        <v>43888</v>
      </c>
      <c r="W1204" s="484"/>
      <c r="X1204" s="484"/>
      <c r="Y1204" s="158"/>
      <c r="Z1204" s="69"/>
      <c r="AA1204" s="276"/>
      <c r="AB1204" s="634"/>
      <c r="AC1204" s="276"/>
      <c r="AD1204" s="158"/>
      <c r="AE1204" s="158">
        <f t="shared" si="189"/>
        <v>0</v>
      </c>
      <c r="AF1204" s="158"/>
      <c r="AG1204" s="94">
        <v>0</v>
      </c>
      <c r="AH1204" s="94"/>
      <c r="AI1204" s="94"/>
      <c r="AJ1204" s="158">
        <f t="shared" si="186"/>
        <v>0</v>
      </c>
      <c r="AK1204" s="158">
        <v>877</v>
      </c>
      <c r="AL1204" s="158">
        <v>10</v>
      </c>
      <c r="AM1204" s="158"/>
      <c r="AN1204" s="158"/>
      <c r="AO1204" s="592">
        <v>1</v>
      </c>
      <c r="AP1204" s="23"/>
      <c r="AQ1204" s="23"/>
      <c r="AR1204" s="23"/>
      <c r="AS1204" s="493">
        <v>1</v>
      </c>
      <c r="AT1204" s="594" t="s">
        <v>646</v>
      </c>
      <c r="AU1204" s="386"/>
      <c r="AV1204" s="23"/>
      <c r="AW1204" s="50"/>
      <c r="AX1204" s="158"/>
      <c r="AY1204" s="158"/>
      <c r="AZ1204" s="72">
        <v>1</v>
      </c>
      <c r="BA1204" s="158"/>
      <c r="BB1204" s="69"/>
      <c r="BC1204" s="69"/>
      <c r="BD1204" s="271"/>
      <c r="BE1204" s="271">
        <v>2019</v>
      </c>
      <c r="BF1204" s="430">
        <v>2020</v>
      </c>
    </row>
    <row r="1205" spans="1:58" s="204" customFormat="1" ht="18" customHeight="1">
      <c r="A1205" s="230" t="s">
        <v>1</v>
      </c>
      <c r="B1205" s="58" t="s">
        <v>320</v>
      </c>
      <c r="C1205" s="500" t="s">
        <v>1602</v>
      </c>
      <c r="D1205" s="483" t="s">
        <v>1936</v>
      </c>
      <c r="E1205" s="483"/>
      <c r="F1205" s="483"/>
      <c r="G1205" s="483"/>
      <c r="H1205" s="30" t="s">
        <v>1553</v>
      </c>
      <c r="I1205" s="30">
        <v>1724</v>
      </c>
      <c r="J1205" s="212">
        <v>43738</v>
      </c>
      <c r="K1205" s="158"/>
      <c r="L1205" s="158"/>
      <c r="M1205" s="158">
        <v>1</v>
      </c>
      <c r="N1205" s="158">
        <v>1</v>
      </c>
      <c r="O1205" s="23"/>
      <c r="P1205" s="158">
        <v>76000000</v>
      </c>
      <c r="Q1205" s="158"/>
      <c r="R1205" s="158"/>
      <c r="S1205" s="158"/>
      <c r="T1205" s="624">
        <v>76000000</v>
      </c>
      <c r="U1205" s="72">
        <v>10</v>
      </c>
      <c r="V1205" s="484">
        <v>43885</v>
      </c>
      <c r="W1205" s="484"/>
      <c r="X1205" s="484"/>
      <c r="Y1205" s="158"/>
      <c r="Z1205" s="69"/>
      <c r="AA1205" s="276"/>
      <c r="AB1205" s="634"/>
      <c r="AC1205" s="276"/>
      <c r="AD1205" s="158"/>
      <c r="AE1205" s="158">
        <f t="shared" si="189"/>
        <v>0</v>
      </c>
      <c r="AF1205" s="158"/>
      <c r="AG1205" s="94">
        <v>0</v>
      </c>
      <c r="AH1205" s="94"/>
      <c r="AI1205" s="94"/>
      <c r="AJ1205" s="158">
        <f t="shared" si="186"/>
        <v>0</v>
      </c>
      <c r="AK1205" s="158">
        <v>877</v>
      </c>
      <c r="AL1205" s="158">
        <v>10</v>
      </c>
      <c r="AM1205" s="158"/>
      <c r="AN1205" s="158"/>
      <c r="AO1205" s="592">
        <v>1</v>
      </c>
      <c r="AP1205" s="23"/>
      <c r="AQ1205" s="23"/>
      <c r="AR1205" s="23"/>
      <c r="AS1205" s="493">
        <v>1</v>
      </c>
      <c r="AT1205" s="594" t="s">
        <v>646</v>
      </c>
      <c r="AU1205" s="386"/>
      <c r="AV1205" s="23"/>
      <c r="AW1205" s="50"/>
      <c r="AX1205" s="158"/>
      <c r="AY1205" s="158"/>
      <c r="AZ1205" s="72">
        <v>1</v>
      </c>
      <c r="BA1205" s="158"/>
      <c r="BB1205" s="69"/>
      <c r="BC1205" s="69"/>
      <c r="BD1205" s="271"/>
      <c r="BE1205" s="271">
        <v>2019</v>
      </c>
      <c r="BF1205" s="430">
        <v>2020</v>
      </c>
    </row>
    <row r="1206" spans="1:58" s="204" customFormat="1" ht="18" customHeight="1">
      <c r="A1206" s="160" t="s">
        <v>1</v>
      </c>
      <c r="B1206" s="58" t="s">
        <v>320</v>
      </c>
      <c r="C1206" s="66" t="s">
        <v>1603</v>
      </c>
      <c r="D1206" s="33" t="s">
        <v>1936</v>
      </c>
      <c r="E1206" s="33"/>
      <c r="F1206" s="33"/>
      <c r="G1206" s="33"/>
      <c r="H1206" s="30" t="s">
        <v>1553</v>
      </c>
      <c r="I1206" s="30">
        <v>1723</v>
      </c>
      <c r="J1206" s="212">
        <v>43738</v>
      </c>
      <c r="K1206" s="158"/>
      <c r="L1206" s="158"/>
      <c r="M1206" s="158">
        <v>1</v>
      </c>
      <c r="N1206" s="158">
        <v>1</v>
      </c>
      <c r="O1206" s="23"/>
      <c r="P1206" s="158">
        <v>80275000</v>
      </c>
      <c r="Q1206" s="158"/>
      <c r="R1206" s="158"/>
      <c r="S1206" s="158"/>
      <c r="T1206" s="586"/>
      <c r="U1206" s="158"/>
      <c r="V1206" s="311"/>
      <c r="W1206" s="311"/>
      <c r="X1206" s="311"/>
      <c r="Y1206" s="158"/>
      <c r="Z1206" s="69"/>
      <c r="AA1206" s="69"/>
      <c r="AB1206" s="69"/>
      <c r="AC1206" s="158"/>
      <c r="AD1206" s="158"/>
      <c r="AE1206" s="158">
        <f t="shared" si="189"/>
        <v>80275000</v>
      </c>
      <c r="AF1206" s="158"/>
      <c r="AG1206" s="94">
        <v>0</v>
      </c>
      <c r="AH1206" s="94"/>
      <c r="AI1206" s="94"/>
      <c r="AJ1206" s="158">
        <f t="shared" si="186"/>
        <v>80275000</v>
      </c>
      <c r="AK1206" s="158">
        <v>877</v>
      </c>
      <c r="AL1206" s="158">
        <v>10</v>
      </c>
      <c r="AM1206" s="158">
        <v>1</v>
      </c>
      <c r="AN1206" s="158"/>
      <c r="AO1206" s="158"/>
      <c r="AP1206" s="23"/>
      <c r="AQ1206" s="23"/>
      <c r="AR1206" s="23"/>
      <c r="AS1206" s="2">
        <v>0</v>
      </c>
      <c r="AT1206" s="58" t="s">
        <v>521</v>
      </c>
      <c r="AU1206" s="386"/>
      <c r="AV1206" s="23"/>
      <c r="AW1206" s="50"/>
      <c r="AX1206" s="158"/>
      <c r="AY1206" s="158"/>
      <c r="AZ1206" s="158"/>
      <c r="BA1206" s="158"/>
      <c r="BB1206" s="69"/>
      <c r="BC1206" s="69"/>
      <c r="BD1206" s="271"/>
      <c r="BE1206" s="271">
        <v>2019</v>
      </c>
      <c r="BF1206" s="271">
        <v>2020</v>
      </c>
    </row>
    <row r="1207" spans="1:58" ht="18" hidden="1" customHeight="1">
      <c r="A1207" s="230" t="s">
        <v>1</v>
      </c>
      <c r="B1207" s="58" t="s">
        <v>320</v>
      </c>
      <c r="C1207" s="241" t="s">
        <v>1615</v>
      </c>
      <c r="D1207" s="33" t="s">
        <v>1936</v>
      </c>
      <c r="E1207" s="33"/>
      <c r="F1207" s="33"/>
      <c r="G1207" s="33"/>
      <c r="H1207" s="30" t="s">
        <v>647</v>
      </c>
      <c r="I1207" s="30">
        <v>1484</v>
      </c>
      <c r="J1207" s="212">
        <v>43738</v>
      </c>
      <c r="K1207" s="158"/>
      <c r="L1207" s="158">
        <v>1</v>
      </c>
      <c r="M1207" s="158"/>
      <c r="N1207" s="158"/>
      <c r="O1207" s="158"/>
      <c r="P1207" s="158">
        <v>60043458</v>
      </c>
      <c r="Q1207" s="158"/>
      <c r="R1207" s="158"/>
      <c r="S1207" s="158"/>
      <c r="T1207" s="586">
        <v>60043458</v>
      </c>
      <c r="U1207" s="158">
        <v>20</v>
      </c>
      <c r="V1207" s="311">
        <v>43709</v>
      </c>
      <c r="W1207" s="311"/>
      <c r="X1207" s="311"/>
      <c r="Y1207" s="158"/>
      <c r="Z1207" s="69"/>
      <c r="AA1207" s="276"/>
      <c r="AB1207" s="276"/>
      <c r="AC1207" s="276"/>
      <c r="AD1207" s="158"/>
      <c r="AE1207" s="158">
        <f t="shared" si="189"/>
        <v>0</v>
      </c>
      <c r="AF1207" s="158"/>
      <c r="AG1207" s="158">
        <f t="shared" si="188"/>
        <v>0</v>
      </c>
      <c r="AH1207" s="158"/>
      <c r="AI1207" s="158"/>
      <c r="AJ1207" s="158">
        <f t="shared" si="186"/>
        <v>0</v>
      </c>
      <c r="AK1207" s="158">
        <v>877</v>
      </c>
      <c r="AL1207" s="158">
        <v>20</v>
      </c>
      <c r="AM1207" s="158"/>
      <c r="AN1207" s="158"/>
      <c r="AO1207" s="158"/>
      <c r="AP1207" s="23"/>
      <c r="AQ1207" s="23"/>
      <c r="AR1207" s="23"/>
      <c r="AS1207" s="2">
        <v>1</v>
      </c>
      <c r="AT1207" s="58" t="s">
        <v>646</v>
      </c>
      <c r="AU1207" s="386" t="s">
        <v>1824</v>
      </c>
      <c r="AV1207" s="23"/>
      <c r="AW1207" s="50"/>
      <c r="AX1207" s="158"/>
      <c r="AY1207" s="158">
        <v>1</v>
      </c>
      <c r="AZ1207" s="158"/>
      <c r="BA1207" s="158"/>
      <c r="BB1207" s="69">
        <v>1</v>
      </c>
      <c r="BC1207" s="69"/>
      <c r="BD1207" s="270">
        <v>2019</v>
      </c>
      <c r="BE1207" s="270">
        <v>2019</v>
      </c>
      <c r="BF1207" s="271"/>
    </row>
    <row r="1208" spans="1:58" s="204" customFormat="1" ht="18" customHeight="1">
      <c r="A1208" s="230" t="s">
        <v>1</v>
      </c>
      <c r="B1208" s="58" t="s">
        <v>320</v>
      </c>
      <c r="C1208" s="66" t="s">
        <v>1884</v>
      </c>
      <c r="D1208" s="33" t="s">
        <v>1936</v>
      </c>
      <c r="E1208" s="33"/>
      <c r="F1208" s="33"/>
      <c r="G1208" s="33"/>
      <c r="H1208" s="30" t="s">
        <v>663</v>
      </c>
      <c r="I1208" s="78">
        <v>767</v>
      </c>
      <c r="J1208" s="212">
        <v>41367</v>
      </c>
      <c r="K1208" s="158"/>
      <c r="L1208" s="158"/>
      <c r="M1208" s="158">
        <v>1</v>
      </c>
      <c r="N1208" s="158">
        <v>1</v>
      </c>
      <c r="O1208" s="23"/>
      <c r="P1208" s="158">
        <v>49000000</v>
      </c>
      <c r="Q1208" s="328"/>
      <c r="R1208" s="158"/>
      <c r="S1208" s="158"/>
      <c r="T1208" s="586">
        <v>49000000</v>
      </c>
      <c r="U1208" s="158">
        <v>10</v>
      </c>
      <c r="V1208" s="311">
        <v>43770</v>
      </c>
      <c r="W1208" s="311"/>
      <c r="X1208" s="311"/>
      <c r="Y1208" s="158"/>
      <c r="Z1208" s="69"/>
      <c r="AA1208" s="276"/>
      <c r="AB1208" s="276"/>
      <c r="AC1208" s="276"/>
      <c r="AD1208" s="158"/>
      <c r="AE1208" s="158">
        <f t="shared" si="189"/>
        <v>0</v>
      </c>
      <c r="AF1208" s="158"/>
      <c r="AG1208" s="94">
        <v>0</v>
      </c>
      <c r="AH1208" s="94"/>
      <c r="AI1208" s="94"/>
      <c r="AJ1208" s="158">
        <f t="shared" si="186"/>
        <v>0</v>
      </c>
      <c r="AK1208" s="158">
        <v>980</v>
      </c>
      <c r="AL1208" s="158">
        <v>10</v>
      </c>
      <c r="AM1208" s="158">
        <v>1</v>
      </c>
      <c r="AN1208" s="158"/>
      <c r="AO1208" s="158"/>
      <c r="AP1208" s="23"/>
      <c r="AQ1208" s="23"/>
      <c r="AR1208" s="23"/>
      <c r="AS1208" s="2">
        <v>0</v>
      </c>
      <c r="AT1208" s="58" t="s">
        <v>521</v>
      </c>
      <c r="AU1208" s="386" t="s">
        <v>1885</v>
      </c>
      <c r="AV1208" s="23"/>
      <c r="AW1208" s="50"/>
      <c r="AX1208" s="158"/>
      <c r="AY1208" s="158"/>
      <c r="AZ1208" s="158"/>
      <c r="BA1208" s="158"/>
      <c r="BB1208" s="69"/>
      <c r="BC1208" s="69"/>
      <c r="BD1208" s="271"/>
      <c r="BE1208" s="271">
        <v>2019</v>
      </c>
      <c r="BF1208" s="271">
        <v>2020</v>
      </c>
    </row>
    <row r="1209" spans="1:58" s="204" customFormat="1" ht="18" customHeight="1">
      <c r="A1209" s="160" t="s">
        <v>1</v>
      </c>
      <c r="B1209" s="58" t="s">
        <v>320</v>
      </c>
      <c r="C1209" s="66" t="s">
        <v>1882</v>
      </c>
      <c r="D1209" s="33" t="s">
        <v>1936</v>
      </c>
      <c r="E1209" s="33"/>
      <c r="F1209" s="33"/>
      <c r="G1209" s="33"/>
      <c r="H1209" s="30" t="s">
        <v>647</v>
      </c>
      <c r="I1209" s="78">
        <v>2008</v>
      </c>
      <c r="J1209" s="212">
        <v>43794</v>
      </c>
      <c r="K1209" s="158"/>
      <c r="L1209" s="158"/>
      <c r="M1209" s="158">
        <v>1</v>
      </c>
      <c r="N1209" s="92">
        <v>1</v>
      </c>
      <c r="O1209" s="23"/>
      <c r="P1209" s="92">
        <f>63012816+6301084</f>
        <v>69313900</v>
      </c>
      <c r="Q1209" s="315"/>
      <c r="R1209" s="158"/>
      <c r="S1209" s="158"/>
      <c r="T1209" s="586">
        <f>63012816+6301084</f>
        <v>69313900</v>
      </c>
      <c r="U1209" s="158">
        <v>20</v>
      </c>
      <c r="V1209" s="311">
        <v>43770</v>
      </c>
      <c r="W1209" s="311"/>
      <c r="X1209" s="311"/>
      <c r="Y1209" s="158"/>
      <c r="Z1209" s="69"/>
      <c r="AA1209" s="276"/>
      <c r="AB1209" s="276"/>
      <c r="AC1209" s="276"/>
      <c r="AD1209" s="158"/>
      <c r="AE1209" s="158">
        <f t="shared" si="189"/>
        <v>0</v>
      </c>
      <c r="AF1209" s="158"/>
      <c r="AG1209" s="94">
        <v>0</v>
      </c>
      <c r="AH1209" s="94"/>
      <c r="AI1209" s="94"/>
      <c r="AJ1209" s="158">
        <f t="shared" si="186"/>
        <v>0</v>
      </c>
      <c r="AK1209" s="158" t="s">
        <v>1782</v>
      </c>
      <c r="AL1209" s="158" t="s">
        <v>1822</v>
      </c>
      <c r="AM1209" s="158">
        <v>1</v>
      </c>
      <c r="AN1209" s="158"/>
      <c r="AO1209" s="158"/>
      <c r="AP1209" s="23"/>
      <c r="AQ1209" s="23"/>
      <c r="AR1209" s="23"/>
      <c r="AS1209" s="2">
        <v>0</v>
      </c>
      <c r="AT1209" s="58" t="s">
        <v>521</v>
      </c>
      <c r="AU1209" s="386" t="s">
        <v>1883</v>
      </c>
      <c r="AV1209" s="23"/>
      <c r="AW1209" s="50"/>
      <c r="AX1209" s="158"/>
      <c r="AY1209" s="158"/>
      <c r="AZ1209" s="158"/>
      <c r="BA1209" s="158"/>
      <c r="BB1209" s="69"/>
      <c r="BC1209" s="69"/>
      <c r="BD1209" s="271"/>
      <c r="BE1209" s="271">
        <v>2019</v>
      </c>
      <c r="BF1209" s="271">
        <v>2020</v>
      </c>
    </row>
    <row r="1210" spans="1:58" s="204" customFormat="1" ht="18" customHeight="1">
      <c r="A1210" s="160" t="s">
        <v>1</v>
      </c>
      <c r="B1210" s="58" t="s">
        <v>320</v>
      </c>
      <c r="C1210" s="66" t="s">
        <v>1801</v>
      </c>
      <c r="D1210" s="33" t="s">
        <v>387</v>
      </c>
      <c r="E1210" s="33"/>
      <c r="F1210" s="33"/>
      <c r="G1210" s="33"/>
      <c r="H1210" s="30" t="s">
        <v>647</v>
      </c>
      <c r="I1210" s="228" t="s">
        <v>1802</v>
      </c>
      <c r="J1210" s="215" t="s">
        <v>1803</v>
      </c>
      <c r="K1210" s="158"/>
      <c r="L1210" s="158"/>
      <c r="M1210" s="158">
        <v>1</v>
      </c>
      <c r="N1210" s="158">
        <v>1</v>
      </c>
      <c r="O1210" s="23"/>
      <c r="P1210" s="158">
        <v>60837116</v>
      </c>
      <c r="Q1210" s="158"/>
      <c r="R1210" s="158"/>
      <c r="S1210" s="158"/>
      <c r="T1210" s="586">
        <v>27376702</v>
      </c>
      <c r="U1210" s="158">
        <v>20</v>
      </c>
      <c r="V1210" s="311">
        <v>43678</v>
      </c>
      <c r="W1210" s="311"/>
      <c r="X1210" s="311"/>
      <c r="Y1210" s="158">
        <v>33460414</v>
      </c>
      <c r="Z1210" s="158">
        <v>20</v>
      </c>
      <c r="AA1210" s="311">
        <v>43800</v>
      </c>
      <c r="AB1210" s="577"/>
      <c r="AC1210" s="69"/>
      <c r="AD1210" s="158"/>
      <c r="AE1210" s="158">
        <f t="shared" si="185"/>
        <v>0</v>
      </c>
      <c r="AF1210" s="158"/>
      <c r="AG1210" s="94">
        <v>0</v>
      </c>
      <c r="AH1210" s="94"/>
      <c r="AI1210" s="94"/>
      <c r="AJ1210" s="158">
        <f t="shared" si="186"/>
        <v>0</v>
      </c>
      <c r="AK1210" s="158">
        <v>877</v>
      </c>
      <c r="AL1210" s="158">
        <v>20</v>
      </c>
      <c r="AM1210" s="158"/>
      <c r="AN1210" s="158">
        <v>1</v>
      </c>
      <c r="AO1210" s="158"/>
      <c r="AP1210" s="23"/>
      <c r="AQ1210" s="23"/>
      <c r="AR1210" s="23"/>
      <c r="AS1210" s="2">
        <v>0</v>
      </c>
      <c r="AT1210" s="58" t="s">
        <v>38</v>
      </c>
      <c r="AU1210" s="386" t="s">
        <v>1874</v>
      </c>
      <c r="AV1210" s="23"/>
      <c r="AW1210" s="50"/>
      <c r="AX1210" s="158"/>
      <c r="AY1210" s="158"/>
      <c r="AZ1210" s="158"/>
      <c r="BA1210" s="158"/>
      <c r="BB1210" s="69"/>
      <c r="BC1210" s="69"/>
      <c r="BD1210" s="271"/>
      <c r="BE1210" s="271">
        <v>2019</v>
      </c>
      <c r="BF1210" s="271">
        <v>2020</v>
      </c>
    </row>
    <row r="1211" spans="1:58" s="204" customFormat="1" ht="36.75" customHeight="1">
      <c r="A1211" s="160" t="s">
        <v>1</v>
      </c>
      <c r="B1211" s="58" t="s">
        <v>320</v>
      </c>
      <c r="C1211" s="503" t="s">
        <v>1804</v>
      </c>
      <c r="D1211" s="483" t="s">
        <v>387</v>
      </c>
      <c r="E1211" s="483"/>
      <c r="F1211" s="483"/>
      <c r="G1211" s="483"/>
      <c r="H1211" s="30" t="s">
        <v>647</v>
      </c>
      <c r="I1211" s="228" t="s">
        <v>2226</v>
      </c>
      <c r="J1211" s="228" t="s">
        <v>2227</v>
      </c>
      <c r="K1211" s="158"/>
      <c r="L1211" s="158"/>
      <c r="M1211" s="158">
        <v>1</v>
      </c>
      <c r="N1211" s="158">
        <v>1</v>
      </c>
      <c r="O1211" s="23"/>
      <c r="P1211" s="158">
        <v>60837116</v>
      </c>
      <c r="Q1211" s="158"/>
      <c r="R1211" s="158"/>
      <c r="S1211" s="158"/>
      <c r="T1211" s="586">
        <v>27376702</v>
      </c>
      <c r="U1211" s="158">
        <v>20</v>
      </c>
      <c r="V1211" s="311">
        <v>43678</v>
      </c>
      <c r="W1211" s="311"/>
      <c r="X1211" s="311"/>
      <c r="Y1211" s="72">
        <v>33460414</v>
      </c>
      <c r="Z1211" s="495">
        <v>20</v>
      </c>
      <c r="AA1211" s="484">
        <v>43889</v>
      </c>
      <c r="AB1211" s="580"/>
      <c r="AC1211" s="69"/>
      <c r="AD1211" s="158"/>
      <c r="AE1211" s="158">
        <f t="shared" si="185"/>
        <v>0</v>
      </c>
      <c r="AF1211" s="158"/>
      <c r="AG1211" s="94">
        <v>0</v>
      </c>
      <c r="AH1211" s="94"/>
      <c r="AI1211" s="94"/>
      <c r="AJ1211" s="158">
        <f t="shared" si="186"/>
        <v>0</v>
      </c>
      <c r="AK1211" s="158">
        <v>877</v>
      </c>
      <c r="AL1211" s="158">
        <v>20</v>
      </c>
      <c r="AM1211" s="158"/>
      <c r="AN1211" s="72">
        <v>1</v>
      </c>
      <c r="AO1211" s="158"/>
      <c r="AP1211" s="23"/>
      <c r="AQ1211" s="23"/>
      <c r="AR1211" s="23"/>
      <c r="AS1211" s="2"/>
      <c r="AT1211" s="485" t="s">
        <v>38</v>
      </c>
      <c r="AU1211" s="386" t="s">
        <v>1874</v>
      </c>
      <c r="AV1211" s="23"/>
      <c r="AW1211" s="50"/>
      <c r="AX1211" s="158"/>
      <c r="AY1211" s="158"/>
      <c r="AZ1211" s="158"/>
      <c r="BA1211" s="158"/>
      <c r="BB1211" s="69"/>
      <c r="BC1211" s="69"/>
      <c r="BD1211" s="271"/>
      <c r="BE1211" s="271">
        <v>2019</v>
      </c>
      <c r="BF1211" s="271">
        <v>2020</v>
      </c>
    </row>
    <row r="1212" spans="1:58" ht="18" hidden="1" customHeight="1">
      <c r="A1212" s="160" t="s">
        <v>1</v>
      </c>
      <c r="B1212" s="58" t="s">
        <v>320</v>
      </c>
      <c r="C1212" s="66" t="s">
        <v>1821</v>
      </c>
      <c r="D1212" s="33" t="s">
        <v>1936</v>
      </c>
      <c r="E1212" s="33"/>
      <c r="F1212" s="33"/>
      <c r="G1212" s="33"/>
      <c r="H1212" s="30" t="s">
        <v>657</v>
      </c>
      <c r="I1212" s="228">
        <v>1326</v>
      </c>
      <c r="J1212" s="212">
        <v>43684</v>
      </c>
      <c r="K1212" s="158"/>
      <c r="L1212" s="158"/>
      <c r="M1212" s="158">
        <v>1</v>
      </c>
      <c r="N1212" s="158"/>
      <c r="O1212" s="158"/>
      <c r="P1212" s="158">
        <f>63012816+13692170</f>
        <v>76704986</v>
      </c>
      <c r="Q1212" s="158"/>
      <c r="R1212" s="158"/>
      <c r="S1212" s="158"/>
      <c r="T1212" s="586">
        <f>63012816+13692170</f>
        <v>76704986</v>
      </c>
      <c r="U1212" s="254" t="s">
        <v>1822</v>
      </c>
      <c r="V1212" s="311">
        <v>43739</v>
      </c>
      <c r="W1212" s="311"/>
      <c r="X1212" s="311"/>
      <c r="Y1212" s="158"/>
      <c r="Z1212" s="69"/>
      <c r="AA1212" s="284"/>
      <c r="AB1212" s="284"/>
      <c r="AC1212" s="284"/>
      <c r="AD1212" s="158"/>
      <c r="AE1212" s="158">
        <f t="shared" si="185"/>
        <v>0</v>
      </c>
      <c r="AF1212" s="158"/>
      <c r="AG1212" s="94">
        <v>0</v>
      </c>
      <c r="AH1212" s="94"/>
      <c r="AI1212" s="94"/>
      <c r="AJ1212" s="158">
        <f t="shared" si="186"/>
        <v>0</v>
      </c>
      <c r="AK1212" s="158" t="s">
        <v>1782</v>
      </c>
      <c r="AL1212" s="158" t="s">
        <v>1822</v>
      </c>
      <c r="AM1212" s="158"/>
      <c r="AN1212" s="158"/>
      <c r="AO1212" s="158"/>
      <c r="AP1212" s="23"/>
      <c r="AQ1212" s="23"/>
      <c r="AR1212" s="23"/>
      <c r="AS1212" s="2">
        <v>1</v>
      </c>
      <c r="AT1212" s="58" t="s">
        <v>646</v>
      </c>
      <c r="AU1212" s="386" t="s">
        <v>1823</v>
      </c>
      <c r="AV1212" s="23"/>
      <c r="AW1212" s="50"/>
      <c r="AX1212" s="158"/>
      <c r="AY1212" s="158">
        <v>1</v>
      </c>
      <c r="AZ1212" s="158"/>
      <c r="BA1212" s="158"/>
      <c r="BB1212" s="69">
        <v>1</v>
      </c>
      <c r="BC1212" s="69"/>
      <c r="BD1212" s="270">
        <v>2019</v>
      </c>
      <c r="BE1212" s="270">
        <v>2019</v>
      </c>
      <c r="BF1212" s="271"/>
    </row>
    <row r="1213" spans="1:58" s="204" customFormat="1" ht="18" customHeight="1">
      <c r="A1213" s="160" t="s">
        <v>1</v>
      </c>
      <c r="B1213" s="58" t="s">
        <v>320</v>
      </c>
      <c r="C1213" s="66" t="s">
        <v>1831</v>
      </c>
      <c r="D1213" s="33" t="s">
        <v>387</v>
      </c>
      <c r="E1213" s="33"/>
      <c r="F1213" s="33"/>
      <c r="G1213" s="33"/>
      <c r="H1213" s="30" t="s">
        <v>647</v>
      </c>
      <c r="I1213" s="78">
        <v>1488</v>
      </c>
      <c r="J1213" s="212">
        <v>43710</v>
      </c>
      <c r="K1213" s="158"/>
      <c r="L1213" s="158"/>
      <c r="M1213" s="158">
        <v>1</v>
      </c>
      <c r="N1213" s="158">
        <v>1</v>
      </c>
      <c r="O1213" s="23"/>
      <c r="P1213" s="158">
        <v>65756127</v>
      </c>
      <c r="Q1213" s="158"/>
      <c r="R1213" s="158"/>
      <c r="S1213" s="158"/>
      <c r="T1213" s="586">
        <v>29590257</v>
      </c>
      <c r="U1213" s="158">
        <v>20</v>
      </c>
      <c r="V1213" s="311">
        <v>43739</v>
      </c>
      <c r="W1213" s="311"/>
      <c r="X1213" s="311"/>
      <c r="Y1213" s="158"/>
      <c r="Z1213" s="69"/>
      <c r="AA1213" s="284"/>
      <c r="AB1213" s="284"/>
      <c r="AC1213" s="284"/>
      <c r="AD1213" s="158"/>
      <c r="AE1213" s="158">
        <f t="shared" si="185"/>
        <v>36165870</v>
      </c>
      <c r="AF1213" s="158"/>
      <c r="AG1213" s="94">
        <v>0</v>
      </c>
      <c r="AH1213" s="94"/>
      <c r="AI1213" s="94"/>
      <c r="AJ1213" s="158">
        <f t="shared" si="186"/>
        <v>36165870</v>
      </c>
      <c r="AK1213" s="158">
        <v>877</v>
      </c>
      <c r="AL1213" s="158">
        <v>20</v>
      </c>
      <c r="AM1213" s="158"/>
      <c r="AN1213" s="158">
        <v>1</v>
      </c>
      <c r="AO1213" s="158"/>
      <c r="AP1213" s="23"/>
      <c r="AQ1213" s="23"/>
      <c r="AR1213" s="23"/>
      <c r="AS1213" s="2">
        <v>0</v>
      </c>
      <c r="AT1213" s="58" t="s">
        <v>38</v>
      </c>
      <c r="AU1213" s="386" t="s">
        <v>1875</v>
      </c>
      <c r="AV1213" s="23"/>
      <c r="AW1213" s="50"/>
      <c r="AX1213" s="158"/>
      <c r="AY1213" s="158"/>
      <c r="AZ1213" s="158"/>
      <c r="BA1213" s="158"/>
      <c r="BB1213" s="69"/>
      <c r="BC1213" s="69"/>
      <c r="BD1213" s="271"/>
      <c r="BE1213" s="271">
        <v>2019</v>
      </c>
      <c r="BF1213" s="271">
        <v>2020</v>
      </c>
    </row>
    <row r="1214" spans="1:58" ht="18" hidden="1" customHeight="1">
      <c r="A1214" s="160" t="s">
        <v>1</v>
      </c>
      <c r="B1214" s="58" t="s">
        <v>320</v>
      </c>
      <c r="C1214" s="66" t="s">
        <v>1833</v>
      </c>
      <c r="D1214" s="33" t="s">
        <v>1936</v>
      </c>
      <c r="E1214" s="33"/>
      <c r="F1214" s="33"/>
      <c r="G1214" s="33"/>
      <c r="H1214" s="30" t="s">
        <v>647</v>
      </c>
      <c r="I1214" s="78">
        <v>1695</v>
      </c>
      <c r="J1214" s="212">
        <v>43733</v>
      </c>
      <c r="K1214" s="158"/>
      <c r="L1214" s="158"/>
      <c r="M1214" s="158">
        <v>1</v>
      </c>
      <c r="N1214" s="158"/>
      <c r="O1214" s="158"/>
      <c r="P1214" s="158">
        <f>62700000+5239250</f>
        <v>67939250</v>
      </c>
      <c r="Q1214" s="158"/>
      <c r="R1214" s="158"/>
      <c r="S1214" s="158"/>
      <c r="T1214" s="586">
        <f>62700000+5239250</f>
        <v>67939250</v>
      </c>
      <c r="U1214" s="254" t="s">
        <v>1822</v>
      </c>
      <c r="V1214" s="311">
        <v>43739</v>
      </c>
      <c r="W1214" s="311"/>
      <c r="X1214" s="311"/>
      <c r="Y1214" s="158"/>
      <c r="Z1214" s="69"/>
      <c r="AA1214" s="284"/>
      <c r="AB1214" s="284"/>
      <c r="AC1214" s="284"/>
      <c r="AD1214" s="158"/>
      <c r="AE1214" s="158">
        <f t="shared" si="185"/>
        <v>0</v>
      </c>
      <c r="AF1214" s="158"/>
      <c r="AG1214" s="94">
        <v>0</v>
      </c>
      <c r="AH1214" s="94"/>
      <c r="AI1214" s="94"/>
      <c r="AJ1214" s="158">
        <f t="shared" si="186"/>
        <v>0</v>
      </c>
      <c r="AK1214" s="158" t="s">
        <v>1782</v>
      </c>
      <c r="AL1214" s="158" t="s">
        <v>1822</v>
      </c>
      <c r="AM1214" s="158"/>
      <c r="AN1214" s="158"/>
      <c r="AO1214" s="158"/>
      <c r="AP1214" s="23"/>
      <c r="AQ1214" s="23"/>
      <c r="AR1214" s="23"/>
      <c r="AS1214" s="2">
        <v>1</v>
      </c>
      <c r="AT1214" s="58" t="s">
        <v>646</v>
      </c>
      <c r="AU1214" s="388" t="s">
        <v>1962</v>
      </c>
      <c r="AV1214" s="23"/>
      <c r="AW1214" s="50"/>
      <c r="AX1214" s="158"/>
      <c r="AY1214" s="158">
        <v>1</v>
      </c>
      <c r="AZ1214" s="158"/>
      <c r="BA1214" s="158"/>
      <c r="BB1214" s="69">
        <v>1</v>
      </c>
      <c r="BC1214" s="69"/>
      <c r="BD1214" s="270">
        <v>2019</v>
      </c>
      <c r="BE1214" s="270">
        <v>2019</v>
      </c>
      <c r="BF1214" s="271"/>
    </row>
    <row r="1215" spans="1:58" ht="18" hidden="1" customHeight="1">
      <c r="A1215" s="160" t="s">
        <v>1</v>
      </c>
      <c r="B1215" s="58" t="s">
        <v>320</v>
      </c>
      <c r="C1215" s="264" t="s">
        <v>1832</v>
      </c>
      <c r="D1215" s="33" t="s">
        <v>1936</v>
      </c>
      <c r="E1215" s="33"/>
      <c r="F1215" s="33"/>
      <c r="G1215" s="33"/>
      <c r="H1215" s="30" t="s">
        <v>647</v>
      </c>
      <c r="I1215" s="78">
        <v>1596</v>
      </c>
      <c r="J1215" s="212">
        <v>43725</v>
      </c>
      <c r="K1215" s="158"/>
      <c r="L1215" s="158"/>
      <c r="M1215" s="158">
        <v>1</v>
      </c>
      <c r="N1215" s="158"/>
      <c r="O1215" s="158"/>
      <c r="P1215" s="158">
        <v>56000000</v>
      </c>
      <c r="Q1215" s="158"/>
      <c r="R1215" s="158"/>
      <c r="S1215" s="158"/>
      <c r="T1215" s="586">
        <v>56000000</v>
      </c>
      <c r="U1215" s="158">
        <v>20</v>
      </c>
      <c r="V1215" s="311">
        <v>43739</v>
      </c>
      <c r="W1215" s="311"/>
      <c r="X1215" s="311"/>
      <c r="Y1215" s="158"/>
      <c r="Z1215" s="69"/>
      <c r="AA1215" s="284"/>
      <c r="AB1215" s="284"/>
      <c r="AC1215" s="284"/>
      <c r="AD1215" s="158"/>
      <c r="AE1215" s="158">
        <f t="shared" si="185"/>
        <v>0</v>
      </c>
      <c r="AF1215" s="158"/>
      <c r="AG1215" s="94">
        <v>0</v>
      </c>
      <c r="AH1215" s="94"/>
      <c r="AI1215" s="94"/>
      <c r="AJ1215" s="158">
        <f t="shared" si="186"/>
        <v>0</v>
      </c>
      <c r="AK1215" s="158">
        <v>877</v>
      </c>
      <c r="AL1215" s="158">
        <v>20</v>
      </c>
      <c r="AM1215" s="158"/>
      <c r="AN1215" s="158"/>
      <c r="AO1215" s="158"/>
      <c r="AP1215" s="23"/>
      <c r="AQ1215" s="23"/>
      <c r="AR1215" s="23"/>
      <c r="AS1215" s="2">
        <v>1</v>
      </c>
      <c r="AT1215" s="58" t="s">
        <v>646</v>
      </c>
      <c r="AU1215" s="388" t="s">
        <v>1963</v>
      </c>
      <c r="AV1215" s="23"/>
      <c r="AW1215" s="50"/>
      <c r="AX1215" s="158"/>
      <c r="AY1215" s="158">
        <v>1</v>
      </c>
      <c r="AZ1215" s="158"/>
      <c r="BA1215" s="158"/>
      <c r="BB1215" s="69">
        <v>1</v>
      </c>
      <c r="BC1215" s="69"/>
      <c r="BD1215" s="270">
        <v>2019</v>
      </c>
      <c r="BE1215" s="270">
        <v>2019</v>
      </c>
      <c r="BF1215" s="271"/>
    </row>
    <row r="1216" spans="1:58" ht="18" hidden="1" customHeight="1">
      <c r="A1216" s="160" t="s">
        <v>1</v>
      </c>
      <c r="B1216" s="58" t="s">
        <v>320</v>
      </c>
      <c r="C1216" s="264" t="s">
        <v>1951</v>
      </c>
      <c r="D1216" s="33" t="s">
        <v>319</v>
      </c>
      <c r="E1216" s="33"/>
      <c r="F1216" s="33"/>
      <c r="G1216" s="33"/>
      <c r="H1216" s="30" t="s">
        <v>647</v>
      </c>
      <c r="I1216" s="78">
        <v>746</v>
      </c>
      <c r="J1216" s="212">
        <v>41782</v>
      </c>
      <c r="K1216" s="158"/>
      <c r="L1216" s="158"/>
      <c r="M1216" s="158">
        <v>1</v>
      </c>
      <c r="N1216" s="158"/>
      <c r="O1216" s="158"/>
      <c r="P1216" s="158">
        <v>77520000</v>
      </c>
      <c r="Q1216" s="158"/>
      <c r="R1216" s="158"/>
      <c r="S1216" s="158"/>
      <c r="T1216" s="586">
        <v>77520000</v>
      </c>
      <c r="U1216" s="158">
        <v>20</v>
      </c>
      <c r="V1216" s="311">
        <v>43826</v>
      </c>
      <c r="W1216" s="311"/>
      <c r="X1216" s="311"/>
      <c r="Y1216" s="158"/>
      <c r="Z1216" s="69"/>
      <c r="AA1216" s="284"/>
      <c r="AB1216" s="284"/>
      <c r="AC1216" s="284"/>
      <c r="AD1216" s="158"/>
      <c r="AE1216" s="158">
        <f t="shared" si="185"/>
        <v>0</v>
      </c>
      <c r="AF1216" s="158"/>
      <c r="AG1216" s="94">
        <v>0</v>
      </c>
      <c r="AH1216" s="94"/>
      <c r="AI1216" s="94"/>
      <c r="AJ1216" s="158">
        <f t="shared" si="186"/>
        <v>0</v>
      </c>
      <c r="AK1216" s="158">
        <v>877</v>
      </c>
      <c r="AL1216" s="158">
        <v>20</v>
      </c>
      <c r="AM1216" s="158"/>
      <c r="AN1216" s="158"/>
      <c r="AO1216" s="158"/>
      <c r="AP1216" s="23"/>
      <c r="AQ1216" s="23"/>
      <c r="AR1216" s="23"/>
      <c r="AS1216" s="2">
        <v>1</v>
      </c>
      <c r="AT1216" s="58" t="s">
        <v>646</v>
      </c>
      <c r="AU1216" s="386" t="s">
        <v>1961</v>
      </c>
      <c r="AV1216" s="23"/>
      <c r="AW1216" s="50"/>
      <c r="AX1216" s="158"/>
      <c r="AY1216" s="158">
        <v>1</v>
      </c>
      <c r="AZ1216" s="158"/>
      <c r="BA1216" s="158"/>
      <c r="BB1216" s="69">
        <v>1</v>
      </c>
      <c r="BC1216" s="69"/>
      <c r="BD1216" s="270">
        <v>2019</v>
      </c>
      <c r="BE1216" s="270">
        <v>2019</v>
      </c>
      <c r="BF1216" s="271"/>
    </row>
    <row r="1217" spans="1:58" s="204" customFormat="1" ht="18" customHeight="1">
      <c r="A1217" s="160" t="s">
        <v>1</v>
      </c>
      <c r="B1217" s="58" t="s">
        <v>320</v>
      </c>
      <c r="C1217" s="264" t="s">
        <v>1877</v>
      </c>
      <c r="D1217" s="33" t="s">
        <v>387</v>
      </c>
      <c r="E1217" s="33"/>
      <c r="F1217" s="33"/>
      <c r="G1217" s="33"/>
      <c r="H1217" s="30" t="s">
        <v>663</v>
      </c>
      <c r="I1217" s="78">
        <v>743</v>
      </c>
      <c r="J1217" s="212">
        <v>41365</v>
      </c>
      <c r="K1217" s="158"/>
      <c r="L1217" s="158"/>
      <c r="M1217" s="158">
        <v>1</v>
      </c>
      <c r="N1217" s="158">
        <v>1</v>
      </c>
      <c r="O1217" s="23"/>
      <c r="P1217" s="158">
        <v>47359106</v>
      </c>
      <c r="Q1217" s="158"/>
      <c r="R1217" s="158"/>
      <c r="S1217" s="158"/>
      <c r="T1217" s="586"/>
      <c r="U1217" s="158"/>
      <c r="V1217" s="311"/>
      <c r="W1217" s="311"/>
      <c r="X1217" s="311"/>
      <c r="Y1217" s="158"/>
      <c r="Z1217" s="69"/>
      <c r="AA1217" s="284"/>
      <c r="AB1217" s="284"/>
      <c r="AC1217" s="284"/>
      <c r="AD1217" s="158"/>
      <c r="AE1217" s="158">
        <f t="shared" si="185"/>
        <v>47359106</v>
      </c>
      <c r="AF1217" s="158"/>
      <c r="AG1217" s="94">
        <v>0</v>
      </c>
      <c r="AH1217" s="94"/>
      <c r="AI1217" s="94"/>
      <c r="AJ1217" s="158">
        <f t="shared" si="186"/>
        <v>47359106</v>
      </c>
      <c r="AK1217" s="158">
        <v>980</v>
      </c>
      <c r="AL1217" s="158"/>
      <c r="AM1217" s="158">
        <v>1</v>
      </c>
      <c r="AN1217" s="158"/>
      <c r="AO1217" s="158"/>
      <c r="AP1217" s="23"/>
      <c r="AQ1217" s="23"/>
      <c r="AR1217" s="23"/>
      <c r="AS1217" s="2">
        <v>0</v>
      </c>
      <c r="AT1217" s="58" t="s">
        <v>521</v>
      </c>
      <c r="AU1217" s="386"/>
      <c r="AV1217" s="23"/>
      <c r="AW1217" s="50"/>
      <c r="AX1217" s="158"/>
      <c r="AY1217" s="158"/>
      <c r="AZ1217" s="158"/>
      <c r="BA1217" s="158"/>
      <c r="BB1217" s="69"/>
      <c r="BC1217" s="69"/>
      <c r="BD1217" s="271"/>
      <c r="BE1217" s="271">
        <v>2019</v>
      </c>
      <c r="BF1217" s="271">
        <v>2020</v>
      </c>
    </row>
    <row r="1218" spans="1:58" ht="18" hidden="1" customHeight="1">
      <c r="A1218" s="160" t="s">
        <v>1</v>
      </c>
      <c r="B1218" s="58" t="s">
        <v>320</v>
      </c>
      <c r="C1218" s="264" t="s">
        <v>1878</v>
      </c>
      <c r="D1218" s="33" t="s">
        <v>1936</v>
      </c>
      <c r="E1218" s="33"/>
      <c r="F1218" s="33"/>
      <c r="G1218" s="33"/>
      <c r="H1218" s="30" t="s">
        <v>663</v>
      </c>
      <c r="I1218" s="78">
        <v>1594</v>
      </c>
      <c r="J1218" s="212"/>
      <c r="K1218" s="158"/>
      <c r="L1218" s="158"/>
      <c r="M1218" s="158">
        <v>1</v>
      </c>
      <c r="N1218" s="158"/>
      <c r="O1218" s="158"/>
      <c r="P1218" s="158">
        <v>55650000</v>
      </c>
      <c r="Q1218" s="158"/>
      <c r="R1218" s="158"/>
      <c r="S1218" s="158"/>
      <c r="T1218" s="586">
        <v>55650000</v>
      </c>
      <c r="U1218" s="158">
        <v>10</v>
      </c>
      <c r="V1218" s="311">
        <v>43709</v>
      </c>
      <c r="W1218" s="311"/>
      <c r="X1218" s="311"/>
      <c r="Y1218" s="158"/>
      <c r="Z1218" s="69"/>
      <c r="AA1218" s="284"/>
      <c r="AB1218" s="284"/>
      <c r="AC1218" s="284"/>
      <c r="AD1218" s="158"/>
      <c r="AE1218" s="158">
        <f t="shared" si="185"/>
        <v>0</v>
      </c>
      <c r="AF1218" s="158"/>
      <c r="AG1218" s="94">
        <v>0</v>
      </c>
      <c r="AH1218" s="94"/>
      <c r="AI1218" s="94"/>
      <c r="AJ1218" s="158">
        <f t="shared" si="186"/>
        <v>0</v>
      </c>
      <c r="AK1218" s="158">
        <v>980</v>
      </c>
      <c r="AL1218" s="158">
        <v>10</v>
      </c>
      <c r="AM1218" s="158"/>
      <c r="AN1218" s="158"/>
      <c r="AO1218" s="158"/>
      <c r="AP1218" s="23"/>
      <c r="AQ1218" s="23"/>
      <c r="AR1218" s="23"/>
      <c r="AS1218" s="2">
        <v>1</v>
      </c>
      <c r="AT1218" s="58" t="s">
        <v>646</v>
      </c>
      <c r="AU1218" s="388" t="s">
        <v>1964</v>
      </c>
      <c r="AV1218" s="23"/>
      <c r="AW1218" s="50"/>
      <c r="AX1218" s="158"/>
      <c r="AY1218" s="158">
        <v>1</v>
      </c>
      <c r="AZ1218" s="158"/>
      <c r="BA1218" s="158"/>
      <c r="BB1218" s="69">
        <v>1</v>
      </c>
      <c r="BC1218" s="69"/>
      <c r="BD1218" s="270">
        <v>2019</v>
      </c>
      <c r="BE1218" s="270">
        <v>2019</v>
      </c>
      <c r="BF1218" s="271"/>
    </row>
    <row r="1219" spans="1:58" s="204" customFormat="1" ht="18" customHeight="1">
      <c r="A1219" s="160" t="s">
        <v>1</v>
      </c>
      <c r="B1219" s="58" t="s">
        <v>320</v>
      </c>
      <c r="C1219" s="264" t="s">
        <v>1880</v>
      </c>
      <c r="D1219" s="33" t="s">
        <v>1936</v>
      </c>
      <c r="E1219" s="33"/>
      <c r="F1219" s="33"/>
      <c r="G1219" s="33"/>
      <c r="H1219" s="30" t="s">
        <v>661</v>
      </c>
      <c r="I1219" s="78">
        <v>2015</v>
      </c>
      <c r="J1219" s="212"/>
      <c r="K1219" s="158"/>
      <c r="L1219" s="158"/>
      <c r="M1219" s="158">
        <v>1</v>
      </c>
      <c r="N1219" s="158">
        <v>1</v>
      </c>
      <c r="O1219" s="23"/>
      <c r="P1219" s="158">
        <v>54902295</v>
      </c>
      <c r="Q1219" s="158"/>
      <c r="R1219" s="158"/>
      <c r="S1219" s="158"/>
      <c r="T1219" s="586">
        <v>54902295</v>
      </c>
      <c r="U1219" s="158">
        <v>10</v>
      </c>
      <c r="V1219" s="311">
        <v>43770</v>
      </c>
      <c r="W1219" s="311"/>
      <c r="X1219" s="311"/>
      <c r="Y1219" s="158"/>
      <c r="Z1219" s="69"/>
      <c r="AA1219" s="284"/>
      <c r="AB1219" s="284"/>
      <c r="AC1219" s="284"/>
      <c r="AD1219" s="158"/>
      <c r="AE1219" s="158">
        <f t="shared" si="185"/>
        <v>0</v>
      </c>
      <c r="AF1219" s="158"/>
      <c r="AG1219" s="94">
        <v>0</v>
      </c>
      <c r="AH1219" s="94"/>
      <c r="AI1219" s="94"/>
      <c r="AJ1219" s="158">
        <f t="shared" si="186"/>
        <v>0</v>
      </c>
      <c r="AK1219" s="158">
        <v>980</v>
      </c>
      <c r="AL1219" s="158">
        <v>10</v>
      </c>
      <c r="AM1219" s="158">
        <v>1</v>
      </c>
      <c r="AN1219" s="158"/>
      <c r="AO1219" s="158"/>
      <c r="AP1219" s="23"/>
      <c r="AQ1219" s="23"/>
      <c r="AR1219" s="23"/>
      <c r="AS1219" s="2">
        <v>0</v>
      </c>
      <c r="AT1219" s="58" t="s">
        <v>521</v>
      </c>
      <c r="AU1219" s="386" t="s">
        <v>1881</v>
      </c>
      <c r="AV1219" s="23"/>
      <c r="AW1219" s="50"/>
      <c r="AX1219" s="158"/>
      <c r="AY1219" s="158"/>
      <c r="AZ1219" s="158"/>
      <c r="BA1219" s="158"/>
      <c r="BB1219" s="69"/>
      <c r="BC1219" s="69"/>
      <c r="BD1219" s="271"/>
      <c r="BE1219" s="271">
        <v>2019</v>
      </c>
      <c r="BF1219" s="271">
        <v>2020</v>
      </c>
    </row>
    <row r="1220" spans="1:58" s="204" customFormat="1" ht="18" customHeight="1">
      <c r="A1220" s="160" t="s">
        <v>1</v>
      </c>
      <c r="B1220" s="58" t="s">
        <v>320</v>
      </c>
      <c r="C1220" s="510" t="s">
        <v>1890</v>
      </c>
      <c r="D1220" s="483" t="s">
        <v>387</v>
      </c>
      <c r="E1220" s="483"/>
      <c r="F1220" s="483"/>
      <c r="G1220" s="483"/>
      <c r="H1220" s="30" t="s">
        <v>1763</v>
      </c>
      <c r="I1220" s="82">
        <v>1833</v>
      </c>
      <c r="J1220" s="212">
        <v>43762</v>
      </c>
      <c r="K1220" s="158"/>
      <c r="L1220" s="158"/>
      <c r="M1220" s="158">
        <v>1</v>
      </c>
      <c r="N1220" s="158">
        <v>1</v>
      </c>
      <c r="O1220" s="23"/>
      <c r="P1220" s="158">
        <v>65787362</v>
      </c>
      <c r="Q1220" s="158"/>
      <c r="R1220" s="158"/>
      <c r="S1220" s="158"/>
      <c r="T1220" s="624">
        <v>29604313</v>
      </c>
      <c r="U1220" s="72">
        <v>10</v>
      </c>
      <c r="V1220" s="484">
        <v>43917</v>
      </c>
      <c r="W1220" s="484"/>
      <c r="X1220" s="484"/>
      <c r="Y1220" s="158"/>
      <c r="Z1220" s="69"/>
      <c r="AA1220" s="284"/>
      <c r="AB1220" s="614"/>
      <c r="AC1220" s="284"/>
      <c r="AD1220" s="158"/>
      <c r="AE1220" s="158">
        <f t="shared" ref="AE1220:AE1224" si="190">P1220-T1220-Y1220-AG1220</f>
        <v>0</v>
      </c>
      <c r="AF1220" s="158"/>
      <c r="AG1220" s="158">
        <v>36183049</v>
      </c>
      <c r="AH1220" s="158"/>
      <c r="AI1220" s="158"/>
      <c r="AJ1220" s="158">
        <f t="shared" ref="AJ1220:AJ1229" si="191">AE1220+AG1220</f>
        <v>36183049</v>
      </c>
      <c r="AK1220" s="158">
        <v>877</v>
      </c>
      <c r="AL1220" s="158">
        <v>10</v>
      </c>
      <c r="AM1220" s="158">
        <v>1</v>
      </c>
      <c r="AN1220" s="158"/>
      <c r="AO1220" s="158"/>
      <c r="AP1220" s="23"/>
      <c r="AQ1220" s="23"/>
      <c r="AR1220" s="23"/>
      <c r="AS1220" s="2"/>
      <c r="AT1220" s="58" t="s">
        <v>521</v>
      </c>
      <c r="AU1220" s="386"/>
      <c r="AV1220" s="23"/>
      <c r="AW1220" s="50"/>
      <c r="AX1220" s="158"/>
      <c r="AY1220" s="158"/>
      <c r="AZ1220" s="158"/>
      <c r="BA1220" s="158"/>
      <c r="BB1220" s="69"/>
      <c r="BC1220" s="69"/>
      <c r="BD1220" s="271"/>
      <c r="BE1220" s="271">
        <v>2019</v>
      </c>
      <c r="BF1220" s="271">
        <v>2020</v>
      </c>
    </row>
    <row r="1221" spans="1:58" s="204" customFormat="1" ht="18" customHeight="1">
      <c r="A1221" s="160" t="s">
        <v>1</v>
      </c>
      <c r="B1221" s="58" t="s">
        <v>320</v>
      </c>
      <c r="C1221" s="264" t="s">
        <v>1891</v>
      </c>
      <c r="D1221" s="33" t="s">
        <v>1936</v>
      </c>
      <c r="E1221" s="33"/>
      <c r="F1221" s="33"/>
      <c r="G1221" s="33"/>
      <c r="H1221" s="30" t="s">
        <v>1763</v>
      </c>
      <c r="I1221" s="82">
        <v>1842</v>
      </c>
      <c r="J1221" s="212">
        <v>43763</v>
      </c>
      <c r="K1221" s="158"/>
      <c r="L1221" s="158"/>
      <c r="M1221" s="158">
        <v>1</v>
      </c>
      <c r="N1221" s="158">
        <v>1</v>
      </c>
      <c r="O1221" s="23"/>
      <c r="P1221" s="158">
        <v>80275000</v>
      </c>
      <c r="Q1221" s="158"/>
      <c r="R1221" s="158"/>
      <c r="S1221" s="158"/>
      <c r="T1221" s="586"/>
      <c r="U1221" s="158"/>
      <c r="V1221" s="311"/>
      <c r="W1221" s="311"/>
      <c r="X1221" s="311"/>
      <c r="Y1221" s="158"/>
      <c r="Z1221" s="69"/>
      <c r="AA1221" s="284"/>
      <c r="AB1221" s="284"/>
      <c r="AC1221" s="284"/>
      <c r="AD1221" s="158"/>
      <c r="AE1221" s="158">
        <f t="shared" si="190"/>
        <v>80275000</v>
      </c>
      <c r="AF1221" s="158"/>
      <c r="AG1221" s="94">
        <v>0</v>
      </c>
      <c r="AH1221" s="94"/>
      <c r="AI1221" s="94"/>
      <c r="AJ1221" s="158">
        <f t="shared" si="191"/>
        <v>80275000</v>
      </c>
      <c r="AK1221" s="158">
        <v>877</v>
      </c>
      <c r="AL1221" s="158">
        <v>10</v>
      </c>
      <c r="AM1221" s="158">
        <v>1</v>
      </c>
      <c r="AN1221" s="158"/>
      <c r="AO1221" s="158"/>
      <c r="AP1221" s="23"/>
      <c r="AQ1221" s="23"/>
      <c r="AR1221" s="23"/>
      <c r="AS1221" s="2">
        <v>0</v>
      </c>
      <c r="AT1221" s="58" t="s">
        <v>521</v>
      </c>
      <c r="AU1221" s="386"/>
      <c r="AV1221" s="23"/>
      <c r="AW1221" s="50"/>
      <c r="AX1221" s="158"/>
      <c r="AY1221" s="158"/>
      <c r="AZ1221" s="158"/>
      <c r="BA1221" s="158"/>
      <c r="BB1221" s="69"/>
      <c r="BC1221" s="69"/>
      <c r="BD1221" s="271"/>
      <c r="BE1221" s="271">
        <v>2019</v>
      </c>
      <c r="BF1221" s="271">
        <v>2020</v>
      </c>
    </row>
    <row r="1222" spans="1:58" s="204" customFormat="1" ht="18" customHeight="1">
      <c r="A1222" s="160" t="s">
        <v>1</v>
      </c>
      <c r="B1222" s="58" t="s">
        <v>320</v>
      </c>
      <c r="C1222" s="510" t="s">
        <v>1892</v>
      </c>
      <c r="D1222" s="483" t="s">
        <v>387</v>
      </c>
      <c r="E1222" s="483"/>
      <c r="F1222" s="483"/>
      <c r="G1222" s="483"/>
      <c r="H1222" s="30" t="s">
        <v>1763</v>
      </c>
      <c r="I1222" s="82">
        <v>1835</v>
      </c>
      <c r="J1222" s="212">
        <v>43763</v>
      </c>
      <c r="K1222" s="158"/>
      <c r="L1222" s="158"/>
      <c r="M1222" s="158">
        <v>1</v>
      </c>
      <c r="N1222" s="158">
        <v>1</v>
      </c>
      <c r="O1222" s="23"/>
      <c r="P1222" s="158">
        <v>65787362</v>
      </c>
      <c r="Q1222" s="158"/>
      <c r="R1222" s="158"/>
      <c r="S1222" s="158"/>
      <c r="T1222" s="635">
        <v>29604313</v>
      </c>
      <c r="U1222" s="72">
        <v>10</v>
      </c>
      <c r="V1222" s="484">
        <v>43917</v>
      </c>
      <c r="W1222" s="484"/>
      <c r="X1222" s="484"/>
      <c r="Y1222" s="158"/>
      <c r="Z1222" s="69"/>
      <c r="AA1222" s="284"/>
      <c r="AB1222" s="284"/>
      <c r="AC1222" s="284"/>
      <c r="AD1222" s="158"/>
      <c r="AE1222" s="158">
        <f t="shared" si="190"/>
        <v>0</v>
      </c>
      <c r="AF1222" s="158"/>
      <c r="AG1222" s="158">
        <v>36183049</v>
      </c>
      <c r="AH1222" s="158"/>
      <c r="AI1222" s="158"/>
      <c r="AJ1222" s="158">
        <f t="shared" si="191"/>
        <v>36183049</v>
      </c>
      <c r="AK1222" s="158">
        <v>877</v>
      </c>
      <c r="AL1222" s="158">
        <v>10</v>
      </c>
      <c r="AM1222" s="158">
        <v>1</v>
      </c>
      <c r="AN1222" s="158"/>
      <c r="AO1222" s="158"/>
      <c r="AP1222" s="23"/>
      <c r="AQ1222" s="23"/>
      <c r="AR1222" s="23"/>
      <c r="AS1222" s="2"/>
      <c r="AT1222" s="58" t="s">
        <v>521</v>
      </c>
      <c r="AU1222" s="386"/>
      <c r="AV1222" s="23"/>
      <c r="AW1222" s="50"/>
      <c r="AX1222" s="158"/>
      <c r="AY1222" s="158"/>
      <c r="AZ1222" s="72">
        <v>1</v>
      </c>
      <c r="BA1222" s="158"/>
      <c r="BB1222" s="69"/>
      <c r="BC1222" s="69"/>
      <c r="BD1222" s="271"/>
      <c r="BE1222" s="271">
        <v>2019</v>
      </c>
      <c r="BF1222" s="271">
        <v>2020</v>
      </c>
    </row>
    <row r="1223" spans="1:58" s="204" customFormat="1" ht="18" customHeight="1">
      <c r="A1223" s="160" t="s">
        <v>1</v>
      </c>
      <c r="B1223" s="58" t="s">
        <v>320</v>
      </c>
      <c r="C1223" s="264" t="s">
        <v>1893</v>
      </c>
      <c r="D1223" s="33" t="s">
        <v>438</v>
      </c>
      <c r="E1223" s="33"/>
      <c r="F1223" s="33"/>
      <c r="G1223" s="33"/>
      <c r="H1223" s="30" t="s">
        <v>1763</v>
      </c>
      <c r="I1223" s="82">
        <v>1873</v>
      </c>
      <c r="J1223" s="212">
        <v>43768</v>
      </c>
      <c r="K1223" s="158"/>
      <c r="L1223" s="158"/>
      <c r="M1223" s="158">
        <v>1</v>
      </c>
      <c r="N1223" s="158">
        <v>1</v>
      </c>
      <c r="O1223" s="23"/>
      <c r="P1223" s="158">
        <v>79800000</v>
      </c>
      <c r="Q1223" s="158"/>
      <c r="R1223" s="158"/>
      <c r="S1223" s="158"/>
      <c r="T1223" s="586"/>
      <c r="U1223" s="158"/>
      <c r="V1223" s="311"/>
      <c r="W1223" s="311"/>
      <c r="X1223" s="311"/>
      <c r="Y1223" s="158"/>
      <c r="Z1223" s="69"/>
      <c r="AA1223" s="284"/>
      <c r="AB1223" s="284"/>
      <c r="AC1223" s="284"/>
      <c r="AD1223" s="158"/>
      <c r="AE1223" s="158">
        <f t="shared" si="190"/>
        <v>79800000</v>
      </c>
      <c r="AF1223" s="158"/>
      <c r="AG1223" s="94">
        <v>0</v>
      </c>
      <c r="AH1223" s="94"/>
      <c r="AI1223" s="94"/>
      <c r="AJ1223" s="158">
        <f t="shared" si="191"/>
        <v>79800000</v>
      </c>
      <c r="AK1223" s="158">
        <v>877</v>
      </c>
      <c r="AL1223" s="158">
        <v>10</v>
      </c>
      <c r="AM1223" s="158">
        <v>1</v>
      </c>
      <c r="AN1223" s="158"/>
      <c r="AO1223" s="158"/>
      <c r="AP1223" s="23"/>
      <c r="AQ1223" s="23"/>
      <c r="AR1223" s="23"/>
      <c r="AS1223" s="2">
        <v>0</v>
      </c>
      <c r="AT1223" s="58" t="s">
        <v>521</v>
      </c>
      <c r="AU1223" s="386"/>
      <c r="AV1223" s="23"/>
      <c r="AW1223" s="50"/>
      <c r="AX1223" s="158"/>
      <c r="AY1223" s="158"/>
      <c r="AZ1223" s="158"/>
      <c r="BA1223" s="158"/>
      <c r="BB1223" s="69"/>
      <c r="BC1223" s="69"/>
      <c r="BD1223" s="271"/>
      <c r="BE1223" s="271">
        <v>2019</v>
      </c>
      <c r="BF1223" s="271">
        <v>2020</v>
      </c>
    </row>
    <row r="1224" spans="1:58" s="204" customFormat="1" ht="18" customHeight="1">
      <c r="A1224" s="160" t="s">
        <v>1</v>
      </c>
      <c r="B1224" s="58" t="s">
        <v>320</v>
      </c>
      <c r="C1224" s="510" t="s">
        <v>1894</v>
      </c>
      <c r="D1224" s="483" t="s">
        <v>387</v>
      </c>
      <c r="E1224" s="483"/>
      <c r="F1224" s="483"/>
      <c r="G1224" s="483"/>
      <c r="H1224" s="30" t="s">
        <v>1763</v>
      </c>
      <c r="I1224" s="82">
        <v>1875</v>
      </c>
      <c r="J1224" s="212">
        <v>43768</v>
      </c>
      <c r="K1224" s="158"/>
      <c r="L1224" s="158"/>
      <c r="M1224" s="158">
        <v>1</v>
      </c>
      <c r="N1224" s="158">
        <v>1</v>
      </c>
      <c r="O1224" s="23"/>
      <c r="P1224" s="158">
        <v>65827432</v>
      </c>
      <c r="Q1224" s="158"/>
      <c r="R1224" s="158"/>
      <c r="S1224" s="158"/>
      <c r="T1224" s="586">
        <v>29622344</v>
      </c>
      <c r="U1224" s="72">
        <v>10</v>
      </c>
      <c r="V1224" s="484">
        <v>43980</v>
      </c>
      <c r="W1224" s="484"/>
      <c r="X1224" s="484"/>
      <c r="Y1224" s="158"/>
      <c r="Z1224" s="69"/>
      <c r="AA1224" s="284"/>
      <c r="AB1224" s="284"/>
      <c r="AC1224" s="284"/>
      <c r="AD1224" s="158"/>
      <c r="AE1224" s="158">
        <f t="shared" si="190"/>
        <v>0</v>
      </c>
      <c r="AF1224" s="158"/>
      <c r="AG1224" s="158">
        <v>36205088</v>
      </c>
      <c r="AH1224" s="158"/>
      <c r="AI1224" s="158"/>
      <c r="AJ1224" s="158">
        <f t="shared" si="191"/>
        <v>36205088</v>
      </c>
      <c r="AK1224" s="158">
        <v>877</v>
      </c>
      <c r="AL1224" s="158">
        <v>10</v>
      </c>
      <c r="AM1224" s="158"/>
      <c r="AN1224" s="72">
        <v>1</v>
      </c>
      <c r="AO1224" s="158"/>
      <c r="AP1224" s="23"/>
      <c r="AQ1224" s="23"/>
      <c r="AR1224" s="23"/>
      <c r="AS1224" s="2">
        <v>0</v>
      </c>
      <c r="AT1224" s="485" t="s">
        <v>38</v>
      </c>
      <c r="AU1224" s="386"/>
      <c r="AV1224" s="23"/>
      <c r="AW1224" s="50"/>
      <c r="AX1224" s="158"/>
      <c r="AY1224" s="158"/>
      <c r="AZ1224" s="158"/>
      <c r="BA1224" s="158"/>
      <c r="BB1224" s="69"/>
      <c r="BC1224" s="69"/>
      <c r="BD1224" s="271"/>
      <c r="BE1224" s="271">
        <v>2019</v>
      </c>
      <c r="BF1224" s="271">
        <v>2020</v>
      </c>
    </row>
    <row r="1225" spans="1:58" s="204" customFormat="1" ht="18" customHeight="1">
      <c r="A1225" s="160" t="s">
        <v>1</v>
      </c>
      <c r="B1225" s="58" t="s">
        <v>320</v>
      </c>
      <c r="C1225" s="264" t="s">
        <v>1915</v>
      </c>
      <c r="D1225" s="33" t="s">
        <v>1936</v>
      </c>
      <c r="E1225" s="33"/>
      <c r="F1225" s="33"/>
      <c r="G1225" s="33"/>
      <c r="H1225" s="30" t="s">
        <v>661</v>
      </c>
      <c r="I1225" s="82">
        <v>2153</v>
      </c>
      <c r="J1225" s="212">
        <v>43809</v>
      </c>
      <c r="K1225" s="158"/>
      <c r="L1225" s="158"/>
      <c r="M1225" s="158">
        <v>1</v>
      </c>
      <c r="N1225" s="158">
        <v>1</v>
      </c>
      <c r="O1225" s="23"/>
      <c r="P1225" s="158">
        <v>70982083</v>
      </c>
      <c r="Q1225" s="158"/>
      <c r="R1225" s="158"/>
      <c r="S1225" s="158"/>
      <c r="T1225" s="158">
        <v>70982083</v>
      </c>
      <c r="U1225" s="158">
        <v>20</v>
      </c>
      <c r="V1225" s="311">
        <v>43826</v>
      </c>
      <c r="W1225" s="311"/>
      <c r="X1225" s="311"/>
      <c r="Y1225" s="158"/>
      <c r="Z1225" s="69"/>
      <c r="AA1225" s="284"/>
      <c r="AB1225" s="284"/>
      <c r="AC1225" s="284"/>
      <c r="AD1225" s="158"/>
      <c r="AE1225" s="158">
        <f>P1225-T1225-Y1225-AG1225</f>
        <v>0</v>
      </c>
      <c r="AF1225" s="158"/>
      <c r="AG1225" s="94">
        <v>0</v>
      </c>
      <c r="AH1225" s="94"/>
      <c r="AI1225" s="94"/>
      <c r="AJ1225" s="158">
        <f t="shared" si="191"/>
        <v>0</v>
      </c>
      <c r="AK1225" s="158">
        <v>877</v>
      </c>
      <c r="AL1225" s="158">
        <v>20</v>
      </c>
      <c r="AM1225" s="158">
        <v>1</v>
      </c>
      <c r="AN1225" s="158"/>
      <c r="AO1225" s="158"/>
      <c r="AP1225" s="23"/>
      <c r="AQ1225" s="23"/>
      <c r="AR1225" s="23"/>
      <c r="AS1225" s="2">
        <v>0</v>
      </c>
      <c r="AT1225" s="58" t="s">
        <v>521</v>
      </c>
      <c r="AU1225" s="386" t="s">
        <v>1968</v>
      </c>
      <c r="AV1225" s="23"/>
      <c r="AW1225" s="50"/>
      <c r="AX1225" s="158"/>
      <c r="AY1225" s="158"/>
      <c r="AZ1225" s="158"/>
      <c r="BA1225" s="158"/>
      <c r="BB1225" s="69"/>
      <c r="BC1225" s="69"/>
      <c r="BD1225" s="271"/>
      <c r="BE1225" s="271">
        <v>2019</v>
      </c>
      <c r="BF1225" s="271">
        <v>2020</v>
      </c>
    </row>
    <row r="1226" spans="1:58" s="204" customFormat="1" ht="18" customHeight="1">
      <c r="A1226" s="160" t="s">
        <v>1</v>
      </c>
      <c r="B1226" s="58" t="s">
        <v>320</v>
      </c>
      <c r="C1226" s="264" t="s">
        <v>1935</v>
      </c>
      <c r="D1226" s="33" t="s">
        <v>984</v>
      </c>
      <c r="E1226" s="33"/>
      <c r="F1226" s="33"/>
      <c r="G1226" s="33"/>
      <c r="H1226" s="30" t="s">
        <v>1934</v>
      </c>
      <c r="I1226" s="82">
        <v>2274</v>
      </c>
      <c r="J1226" s="212">
        <v>43826</v>
      </c>
      <c r="K1226" s="158"/>
      <c r="L1226" s="158"/>
      <c r="M1226" s="158">
        <v>1</v>
      </c>
      <c r="N1226" s="158">
        <v>1</v>
      </c>
      <c r="O1226" s="23"/>
      <c r="P1226" s="158">
        <v>72084442</v>
      </c>
      <c r="Q1226" s="158"/>
      <c r="R1226" s="158"/>
      <c r="S1226" s="158"/>
      <c r="T1226" s="158"/>
      <c r="U1226" s="158"/>
      <c r="V1226" s="311"/>
      <c r="W1226" s="311"/>
      <c r="X1226" s="311"/>
      <c r="Y1226" s="158"/>
      <c r="Z1226" s="69"/>
      <c r="AA1226" s="284"/>
      <c r="AB1226" s="284"/>
      <c r="AC1226" s="284"/>
      <c r="AD1226" s="158"/>
      <c r="AE1226" s="158">
        <f t="shared" ref="AE1226:AE1229" si="192">P1226-T1226-Y1226-AG1226</f>
        <v>35879354</v>
      </c>
      <c r="AF1226" s="158"/>
      <c r="AG1226" s="158">
        <v>36205088</v>
      </c>
      <c r="AH1226" s="158"/>
      <c r="AI1226" s="158"/>
      <c r="AJ1226" s="158">
        <f t="shared" si="191"/>
        <v>72084442</v>
      </c>
      <c r="AK1226" s="158">
        <v>877</v>
      </c>
      <c r="AL1226" s="158">
        <v>10</v>
      </c>
      <c r="AM1226" s="158">
        <v>1</v>
      </c>
      <c r="AN1226" s="158"/>
      <c r="AO1226" s="158"/>
      <c r="AP1226" s="23"/>
      <c r="AQ1226" s="23"/>
      <c r="AR1226" s="23"/>
      <c r="AS1226" s="2">
        <v>0</v>
      </c>
      <c r="AT1226" s="58" t="s">
        <v>521</v>
      </c>
      <c r="AU1226" s="104"/>
      <c r="AV1226" s="23"/>
      <c r="AW1226" s="50"/>
      <c r="AX1226" s="158"/>
      <c r="AY1226" s="158"/>
      <c r="AZ1226" s="158"/>
      <c r="BA1226" s="158"/>
      <c r="BB1226" s="158"/>
      <c r="BC1226" s="158"/>
      <c r="BD1226" s="271"/>
      <c r="BE1226" s="271">
        <v>2019</v>
      </c>
      <c r="BF1226" s="271">
        <v>2020</v>
      </c>
    </row>
    <row r="1227" spans="1:58" s="204" customFormat="1" ht="18" customHeight="1">
      <c r="A1227" s="160" t="s">
        <v>1</v>
      </c>
      <c r="B1227" s="58" t="s">
        <v>320</v>
      </c>
      <c r="C1227" s="510" t="s">
        <v>1933</v>
      </c>
      <c r="D1227" s="483" t="s">
        <v>438</v>
      </c>
      <c r="E1227" s="483"/>
      <c r="F1227" s="483"/>
      <c r="G1227" s="483"/>
      <c r="H1227" s="30" t="s">
        <v>1934</v>
      </c>
      <c r="I1227" s="82">
        <v>2274</v>
      </c>
      <c r="J1227" s="212">
        <v>43826</v>
      </c>
      <c r="K1227" s="158"/>
      <c r="L1227" s="158"/>
      <c r="M1227" s="158">
        <v>1</v>
      </c>
      <c r="N1227" s="158">
        <v>1</v>
      </c>
      <c r="O1227" s="23"/>
      <c r="P1227" s="158">
        <v>76000000</v>
      </c>
      <c r="Q1227" s="158"/>
      <c r="R1227" s="158"/>
      <c r="S1227" s="158"/>
      <c r="T1227" s="636">
        <v>76000000</v>
      </c>
      <c r="U1227" s="72">
        <v>10</v>
      </c>
      <c r="V1227" s="484">
        <v>43921</v>
      </c>
      <c r="W1227" s="484"/>
      <c r="X1227" s="484"/>
      <c r="Y1227" s="158"/>
      <c r="Z1227" s="69"/>
      <c r="AA1227" s="284"/>
      <c r="AB1227" s="284"/>
      <c r="AC1227" s="284"/>
      <c r="AD1227" s="158"/>
      <c r="AE1227" s="158">
        <f t="shared" si="192"/>
        <v>-36205088</v>
      </c>
      <c r="AF1227" s="158"/>
      <c r="AG1227" s="158">
        <v>36205088</v>
      </c>
      <c r="AH1227" s="158"/>
      <c r="AI1227" s="158"/>
      <c r="AJ1227" s="158">
        <f t="shared" si="191"/>
        <v>0</v>
      </c>
      <c r="AK1227" s="158">
        <v>877</v>
      </c>
      <c r="AL1227" s="158">
        <v>10</v>
      </c>
      <c r="AN1227" s="158"/>
      <c r="AO1227" s="592">
        <v>1</v>
      </c>
      <c r="AP1227" s="23"/>
      <c r="AQ1227" s="23"/>
      <c r="AR1227" s="23"/>
      <c r="AS1227" s="493">
        <v>1</v>
      </c>
      <c r="AT1227" s="594" t="s">
        <v>646</v>
      </c>
      <c r="AU1227" s="104"/>
      <c r="AV1227" s="23"/>
      <c r="AW1227" s="50"/>
      <c r="AX1227" s="158"/>
      <c r="AY1227" s="158"/>
      <c r="AZ1227" s="158"/>
      <c r="BA1227" s="158"/>
      <c r="BB1227" s="158"/>
      <c r="BC1227" s="158"/>
      <c r="BD1227" s="271"/>
      <c r="BE1227" s="271">
        <v>2019</v>
      </c>
      <c r="BF1227" s="271">
        <v>2020</v>
      </c>
    </row>
    <row r="1228" spans="1:58" s="204" customFormat="1" ht="18" customHeight="1">
      <c r="A1228" s="160" t="s">
        <v>1</v>
      </c>
      <c r="B1228" s="58" t="s">
        <v>320</v>
      </c>
      <c r="C1228" s="457" t="s">
        <v>2218</v>
      </c>
      <c r="D1228" s="33" t="s">
        <v>387</v>
      </c>
      <c r="E1228" s="33"/>
      <c r="F1228" s="33"/>
      <c r="G1228" s="33"/>
      <c r="H1228" s="30" t="s">
        <v>659</v>
      </c>
      <c r="I1228" s="226">
        <v>835</v>
      </c>
      <c r="J1228" s="212">
        <v>43601</v>
      </c>
      <c r="K1228" s="61"/>
      <c r="L1228" s="61"/>
      <c r="M1228" s="61"/>
      <c r="N1228" s="61">
        <v>1</v>
      </c>
      <c r="O1228" s="23"/>
      <c r="P1228" s="61">
        <v>63601392</v>
      </c>
      <c r="Q1228" s="61"/>
      <c r="R1228" s="61"/>
      <c r="S1228" s="61"/>
      <c r="T1228" s="61"/>
      <c r="U1228" s="61"/>
      <c r="V1228" s="460"/>
      <c r="W1228" s="460"/>
      <c r="X1228" s="460"/>
      <c r="Y1228" s="61"/>
      <c r="Z1228" s="461"/>
      <c r="AA1228" s="158"/>
      <c r="AB1228" s="158"/>
      <c r="AC1228" s="158"/>
      <c r="AD1228" s="61"/>
      <c r="AE1228" s="158">
        <f t="shared" si="192"/>
        <v>63601392</v>
      </c>
      <c r="AF1228" s="61"/>
      <c r="AG1228" s="61">
        <v>0</v>
      </c>
      <c r="AH1228" s="61"/>
      <c r="AI1228" s="61"/>
      <c r="AJ1228" s="61">
        <f t="shared" si="191"/>
        <v>63601392</v>
      </c>
      <c r="AK1228" s="61">
        <v>877</v>
      </c>
      <c r="AL1228" s="61">
        <v>20</v>
      </c>
      <c r="AM1228" s="61">
        <v>1</v>
      </c>
      <c r="AN1228" s="61"/>
      <c r="AO1228" s="61"/>
      <c r="AP1228" s="229"/>
      <c r="AQ1228" s="229"/>
      <c r="AR1228" s="229"/>
      <c r="AS1228" s="2">
        <v>0</v>
      </c>
      <c r="AT1228" s="58" t="s">
        <v>521</v>
      </c>
      <c r="AU1228" s="462"/>
      <c r="AV1228" s="229"/>
      <c r="AW1228" s="463"/>
      <c r="AX1228" s="61"/>
      <c r="AY1228" s="61"/>
      <c r="AZ1228" s="61"/>
      <c r="BA1228" s="61"/>
      <c r="BB1228" s="61"/>
      <c r="BC1228" s="61"/>
      <c r="BD1228" s="464"/>
      <c r="BE1228" s="464"/>
      <c r="BF1228" s="464">
        <v>2020</v>
      </c>
    </row>
    <row r="1229" spans="1:58" s="204" customFormat="1" ht="18" customHeight="1">
      <c r="A1229" s="160" t="s">
        <v>1</v>
      </c>
      <c r="B1229" s="58" t="s">
        <v>320</v>
      </c>
      <c r="C1229" s="457" t="s">
        <v>2219</v>
      </c>
      <c r="D1229" s="33" t="s">
        <v>387</v>
      </c>
      <c r="E1229" s="33"/>
      <c r="F1229" s="33"/>
      <c r="G1229" s="33"/>
      <c r="H1229" s="30" t="s">
        <v>647</v>
      </c>
      <c r="I1229" s="226">
        <v>841</v>
      </c>
      <c r="J1229" s="212">
        <v>43601</v>
      </c>
      <c r="K1229" s="61"/>
      <c r="L1229" s="61"/>
      <c r="M1229" s="61"/>
      <c r="N1229" s="61">
        <v>1</v>
      </c>
      <c r="O1229" s="23"/>
      <c r="P1229" s="61">
        <v>63601392</v>
      </c>
      <c r="Q1229" s="61"/>
      <c r="R1229" s="61"/>
      <c r="S1229" s="61"/>
      <c r="T1229" s="61"/>
      <c r="U1229" s="61"/>
      <c r="V1229" s="460"/>
      <c r="W1229" s="460"/>
      <c r="X1229" s="460"/>
      <c r="Y1229" s="61"/>
      <c r="Z1229" s="461"/>
      <c r="AA1229" s="158"/>
      <c r="AB1229" s="158"/>
      <c r="AC1229" s="158"/>
      <c r="AD1229" s="61"/>
      <c r="AE1229" s="158">
        <f t="shared" si="192"/>
        <v>63601392</v>
      </c>
      <c r="AF1229" s="61"/>
      <c r="AG1229" s="61">
        <v>0</v>
      </c>
      <c r="AH1229" s="61"/>
      <c r="AI1229" s="61"/>
      <c r="AJ1229" s="61">
        <f t="shared" si="191"/>
        <v>63601392</v>
      </c>
      <c r="AK1229" s="61">
        <v>877</v>
      </c>
      <c r="AL1229" s="61">
        <v>20</v>
      </c>
      <c r="AM1229" s="61">
        <v>1</v>
      </c>
      <c r="AN1229" s="61"/>
      <c r="AO1229" s="61"/>
      <c r="AP1229" s="229"/>
      <c r="AQ1229" s="229"/>
      <c r="AR1229" s="229"/>
      <c r="AS1229" s="2">
        <v>0</v>
      </c>
      <c r="AT1229" s="58" t="s">
        <v>521</v>
      </c>
      <c r="AU1229" s="462"/>
      <c r="AV1229" s="229"/>
      <c r="AW1229" s="463"/>
      <c r="AX1229" s="61"/>
      <c r="AY1229" s="61"/>
      <c r="AZ1229" s="61"/>
      <c r="BA1229" s="61"/>
      <c r="BB1229" s="61"/>
      <c r="BC1229" s="61"/>
      <c r="BD1229" s="464"/>
      <c r="BE1229" s="464"/>
      <c r="BF1229" s="464">
        <v>2020</v>
      </c>
    </row>
    <row r="1230" spans="1:58" s="204" customFormat="1" ht="18" customHeight="1">
      <c r="A1230" s="160" t="s">
        <v>1</v>
      </c>
      <c r="B1230" s="58" t="s">
        <v>320</v>
      </c>
      <c r="C1230" s="596" t="s">
        <v>2296</v>
      </c>
      <c r="D1230" s="483" t="s">
        <v>387</v>
      </c>
      <c r="E1230" s="458"/>
      <c r="F1230" s="458">
        <v>4</v>
      </c>
      <c r="G1230" s="458"/>
      <c r="H1230" s="30" t="s">
        <v>647</v>
      </c>
      <c r="I1230" s="226">
        <v>603</v>
      </c>
      <c r="J1230" s="459">
        <v>43980</v>
      </c>
      <c r="K1230" s="61"/>
      <c r="L1230" s="61"/>
      <c r="M1230" s="61"/>
      <c r="N1230" s="61"/>
      <c r="O1230" s="568">
        <v>1</v>
      </c>
      <c r="P1230" s="61"/>
      <c r="Q1230" s="61"/>
      <c r="R1230" s="61"/>
      <c r="S1230" s="61"/>
      <c r="T1230" s="600">
        <v>26232513</v>
      </c>
      <c r="U1230" s="569">
        <v>20</v>
      </c>
      <c r="V1230" s="570">
        <v>43980</v>
      </c>
      <c r="W1230" s="570"/>
      <c r="X1230" s="570"/>
      <c r="Y1230" s="61"/>
      <c r="Z1230" s="461"/>
      <c r="AA1230" s="158"/>
      <c r="AB1230" s="158"/>
      <c r="AC1230" s="158"/>
      <c r="AD1230" s="61"/>
      <c r="AE1230" s="61"/>
      <c r="AF1230" s="61"/>
      <c r="AG1230" s="61"/>
      <c r="AH1230" s="61"/>
      <c r="AI1230" s="61"/>
      <c r="AJ1230" s="61"/>
      <c r="AK1230" s="61"/>
      <c r="AL1230" s="61"/>
      <c r="AM1230" s="61"/>
      <c r="AN1230" s="569">
        <v>1</v>
      </c>
      <c r="AO1230" s="61"/>
      <c r="AP1230" s="229"/>
      <c r="AQ1230" s="229"/>
      <c r="AR1230" s="229"/>
      <c r="AS1230" s="2">
        <v>0</v>
      </c>
      <c r="AT1230" s="58" t="s">
        <v>38</v>
      </c>
      <c r="AU1230" s="462"/>
      <c r="AV1230" s="229"/>
      <c r="AW1230" s="463"/>
      <c r="AX1230" s="61"/>
      <c r="AY1230" s="61"/>
      <c r="AZ1230" s="61"/>
      <c r="BA1230" s="61"/>
      <c r="BB1230" s="61"/>
      <c r="BC1230" s="61"/>
      <c r="BD1230" s="464"/>
      <c r="BE1230" s="464"/>
      <c r="BF1230" s="571">
        <v>2020</v>
      </c>
    </row>
    <row r="1231" spans="1:58" s="204" customFormat="1" ht="18" customHeight="1">
      <c r="A1231" s="160"/>
      <c r="B1231" s="58"/>
      <c r="C1231" s="457"/>
      <c r="D1231" s="458"/>
      <c r="E1231" s="458"/>
      <c r="F1231" s="458"/>
      <c r="G1231" s="458"/>
      <c r="H1231" s="30" t="s">
        <v>2331</v>
      </c>
      <c r="I1231" s="226"/>
      <c r="J1231" s="459"/>
      <c r="K1231" s="61"/>
      <c r="L1231" s="61"/>
      <c r="M1231" s="61"/>
      <c r="N1231" s="224">
        <v>1</v>
      </c>
      <c r="O1231" s="568"/>
      <c r="P1231" s="524">
        <v>76000000</v>
      </c>
      <c r="Q1231" s="61"/>
      <c r="R1231" s="61"/>
      <c r="S1231" s="61"/>
      <c r="T1231" s="600"/>
      <c r="U1231" s="569"/>
      <c r="V1231" s="570"/>
      <c r="W1231" s="570"/>
      <c r="X1231" s="570"/>
      <c r="Y1231" s="61"/>
      <c r="Z1231" s="461"/>
      <c r="AA1231" s="158"/>
      <c r="AB1231" s="158"/>
      <c r="AC1231" s="158"/>
      <c r="AD1231" s="158"/>
      <c r="AE1231" s="158"/>
      <c r="AF1231" s="61"/>
      <c r="AG1231" s="61"/>
      <c r="AH1231" s="61"/>
      <c r="AI1231" s="61"/>
      <c r="AJ1231" s="61"/>
      <c r="AK1231" s="61"/>
      <c r="AL1231" s="61"/>
      <c r="AM1231" s="61"/>
      <c r="AN1231" s="569"/>
      <c r="AO1231" s="61"/>
      <c r="AP1231" s="229"/>
      <c r="AQ1231" s="229"/>
      <c r="AR1231" s="229"/>
      <c r="AS1231" s="2"/>
      <c r="AT1231" s="58"/>
      <c r="AU1231" s="462"/>
      <c r="AV1231" s="229"/>
      <c r="AW1231" s="463"/>
      <c r="AX1231" s="61"/>
      <c r="AY1231" s="61"/>
      <c r="AZ1231" s="61"/>
      <c r="BA1231" s="61"/>
      <c r="BB1231" s="61"/>
      <c r="BC1231" s="61"/>
      <c r="BD1231" s="464"/>
      <c r="BE1231" s="464"/>
      <c r="BF1231" s="571">
        <v>2020</v>
      </c>
    </row>
    <row r="1232" spans="1:58" s="204" customFormat="1" ht="18" customHeight="1">
      <c r="A1232" s="160"/>
      <c r="B1232" s="58"/>
      <c r="C1232" s="457"/>
      <c r="D1232" s="458"/>
      <c r="E1232" s="458"/>
      <c r="F1232" s="458"/>
      <c r="G1232" s="458"/>
      <c r="H1232" s="30" t="s">
        <v>2331</v>
      </c>
      <c r="I1232" s="226"/>
      <c r="J1232" s="459"/>
      <c r="K1232" s="61"/>
      <c r="L1232" s="61"/>
      <c r="M1232" s="61"/>
      <c r="N1232" s="224">
        <v>1</v>
      </c>
      <c r="O1232" s="568"/>
      <c r="P1232" s="524">
        <v>70000000</v>
      </c>
      <c r="Q1232" s="61"/>
      <c r="R1232" s="61"/>
      <c r="S1232" s="61"/>
      <c r="T1232" s="600"/>
      <c r="U1232" s="569"/>
      <c r="V1232" s="570"/>
      <c r="W1232" s="570"/>
      <c r="X1232" s="570"/>
      <c r="Y1232" s="61"/>
      <c r="Z1232" s="461"/>
      <c r="AA1232" s="158"/>
      <c r="AB1232" s="158"/>
      <c r="AC1232" s="158"/>
      <c r="AD1232" s="158"/>
      <c r="AE1232" s="158"/>
      <c r="AF1232" s="61"/>
      <c r="AG1232" s="61"/>
      <c r="AH1232" s="61"/>
      <c r="AI1232" s="61"/>
      <c r="AJ1232" s="61"/>
      <c r="AK1232" s="61"/>
      <c r="AL1232" s="61"/>
      <c r="AM1232" s="61"/>
      <c r="AN1232" s="569"/>
      <c r="AO1232" s="61"/>
      <c r="AP1232" s="229"/>
      <c r="AQ1232" s="229"/>
      <c r="AR1232" s="229"/>
      <c r="AS1232" s="2"/>
      <c r="AT1232" s="58"/>
      <c r="AU1232" s="462"/>
      <c r="AV1232" s="229"/>
      <c r="AW1232" s="463"/>
      <c r="AX1232" s="61"/>
      <c r="AY1232" s="61"/>
      <c r="AZ1232" s="61"/>
      <c r="BA1232" s="61"/>
      <c r="BB1232" s="61"/>
      <c r="BC1232" s="61"/>
      <c r="BD1232" s="464"/>
      <c r="BE1232" s="464"/>
      <c r="BF1232" s="571">
        <v>2020</v>
      </c>
    </row>
    <row r="1233" spans="1:58" s="204" customFormat="1" ht="18" customHeight="1">
      <c r="A1233" s="160"/>
      <c r="B1233" s="58"/>
      <c r="C1233" s="457"/>
      <c r="D1233" s="458"/>
      <c r="E1233" s="458"/>
      <c r="F1233" s="458"/>
      <c r="G1233" s="458"/>
      <c r="H1233" s="30" t="s">
        <v>2331</v>
      </c>
      <c r="I1233" s="226"/>
      <c r="J1233" s="459"/>
      <c r="K1233" s="61"/>
      <c r="L1233" s="61"/>
      <c r="M1233" s="61"/>
      <c r="N1233" s="224">
        <v>1</v>
      </c>
      <c r="O1233" s="568"/>
      <c r="P1233" s="524">
        <v>82650000</v>
      </c>
      <c r="Q1233" s="61"/>
      <c r="R1233" s="61"/>
      <c r="S1233" s="61"/>
      <c r="T1233" s="600"/>
      <c r="U1233" s="569"/>
      <c r="V1233" s="570"/>
      <c r="W1233" s="570"/>
      <c r="X1233" s="570"/>
      <c r="Y1233" s="61"/>
      <c r="Z1233" s="461"/>
      <c r="AA1233" s="158"/>
      <c r="AB1233" s="158"/>
      <c r="AC1233" s="158"/>
      <c r="AD1233" s="158"/>
      <c r="AE1233" s="158"/>
      <c r="AF1233" s="61"/>
      <c r="AG1233" s="61"/>
      <c r="AH1233" s="61"/>
      <c r="AI1233" s="61"/>
      <c r="AJ1233" s="61"/>
      <c r="AK1233" s="61"/>
      <c r="AL1233" s="61"/>
      <c r="AM1233" s="61"/>
      <c r="AN1233" s="569"/>
      <c r="AO1233" s="61"/>
      <c r="AP1233" s="229"/>
      <c r="AQ1233" s="229"/>
      <c r="AR1233" s="229"/>
      <c r="AS1233" s="2"/>
      <c r="AT1233" s="58"/>
      <c r="AU1233" s="462"/>
      <c r="AV1233" s="229"/>
      <c r="AW1233" s="463"/>
      <c r="AX1233" s="61"/>
      <c r="AY1233" s="61"/>
      <c r="AZ1233" s="61"/>
      <c r="BA1233" s="61"/>
      <c r="BB1233" s="61"/>
      <c r="BC1233" s="61"/>
      <c r="BD1233" s="464"/>
      <c r="BE1233" s="464"/>
      <c r="BF1233" s="571">
        <v>2020</v>
      </c>
    </row>
    <row r="1234" spans="1:58" s="204" customFormat="1" ht="18" customHeight="1">
      <c r="A1234" s="160"/>
      <c r="B1234" s="58"/>
      <c r="C1234" s="457"/>
      <c r="D1234" s="458"/>
      <c r="E1234" s="458"/>
      <c r="F1234" s="458"/>
      <c r="G1234" s="458"/>
      <c r="H1234" s="30" t="s">
        <v>2331</v>
      </c>
      <c r="I1234" s="226"/>
      <c r="J1234" s="459"/>
      <c r="K1234" s="61"/>
      <c r="L1234" s="61"/>
      <c r="M1234" s="61"/>
      <c r="N1234" s="224">
        <v>1</v>
      </c>
      <c r="O1234" s="568"/>
      <c r="P1234" s="524">
        <v>76950000</v>
      </c>
      <c r="Q1234" s="61"/>
      <c r="R1234" s="61"/>
      <c r="S1234" s="61"/>
      <c r="T1234" s="600"/>
      <c r="U1234" s="569"/>
      <c r="V1234" s="570"/>
      <c r="W1234" s="570"/>
      <c r="X1234" s="570"/>
      <c r="Y1234" s="61"/>
      <c r="Z1234" s="461"/>
      <c r="AA1234" s="158"/>
      <c r="AB1234" s="158"/>
      <c r="AC1234" s="158"/>
      <c r="AD1234" s="158"/>
      <c r="AE1234" s="158"/>
      <c r="AF1234" s="61"/>
      <c r="AG1234" s="61"/>
      <c r="AH1234" s="61"/>
      <c r="AI1234" s="61"/>
      <c r="AJ1234" s="61"/>
      <c r="AK1234" s="61"/>
      <c r="AL1234" s="61"/>
      <c r="AM1234" s="61"/>
      <c r="AN1234" s="569"/>
      <c r="AO1234" s="61"/>
      <c r="AP1234" s="229"/>
      <c r="AQ1234" s="229"/>
      <c r="AR1234" s="229"/>
      <c r="AS1234" s="2"/>
      <c r="AT1234" s="58"/>
      <c r="AU1234" s="462"/>
      <c r="AV1234" s="229"/>
      <c r="AW1234" s="463"/>
      <c r="AX1234" s="61"/>
      <c r="AY1234" s="61"/>
      <c r="AZ1234" s="61"/>
      <c r="BA1234" s="61"/>
      <c r="BB1234" s="61"/>
      <c r="BC1234" s="61"/>
      <c r="BD1234" s="464"/>
      <c r="BE1234" s="464"/>
      <c r="BF1234" s="571">
        <v>2020</v>
      </c>
    </row>
    <row r="1235" spans="1:58" s="204" customFormat="1" ht="18" customHeight="1">
      <c r="A1235" s="160" t="s">
        <v>1</v>
      </c>
      <c r="B1235" s="58" t="s">
        <v>320</v>
      </c>
      <c r="C1235" s="457" t="s">
        <v>2199</v>
      </c>
      <c r="D1235" s="458"/>
      <c r="E1235" s="458"/>
      <c r="F1235" s="458"/>
      <c r="G1235" s="458"/>
      <c r="H1235" s="78"/>
      <c r="I1235" s="226"/>
      <c r="J1235" s="459"/>
      <c r="K1235" s="61"/>
      <c r="L1235" s="61"/>
      <c r="M1235" s="61"/>
      <c r="N1235" s="61">
        <f>1162-1160</f>
        <v>2</v>
      </c>
      <c r="O1235" s="23"/>
      <c r="P1235" s="61"/>
      <c r="Q1235" s="61"/>
      <c r="R1235" s="61"/>
      <c r="S1235" s="61"/>
      <c r="T1235" s="61"/>
      <c r="U1235" s="61"/>
      <c r="V1235" s="460"/>
      <c r="W1235" s="460"/>
      <c r="X1235" s="460"/>
      <c r="Y1235" s="61"/>
      <c r="Z1235" s="461"/>
      <c r="AA1235" s="158"/>
      <c r="AB1235" s="158"/>
      <c r="AC1235" s="158"/>
      <c r="AD1235" s="61"/>
      <c r="AE1235" s="61"/>
      <c r="AF1235" s="61"/>
      <c r="AG1235" s="61"/>
      <c r="AH1235" s="61"/>
      <c r="AI1235" s="61"/>
      <c r="AJ1235" s="61"/>
      <c r="AK1235" s="61"/>
      <c r="AL1235" s="61"/>
      <c r="AM1235" s="61">
        <v>1162</v>
      </c>
      <c r="AN1235" s="61"/>
      <c r="AO1235" s="61"/>
      <c r="AP1235" s="229"/>
      <c r="AQ1235" s="229"/>
      <c r="AR1235" s="229"/>
      <c r="AS1235" s="2">
        <v>0</v>
      </c>
      <c r="AT1235" s="58" t="s">
        <v>521</v>
      </c>
      <c r="AU1235" s="462"/>
      <c r="AV1235" s="229"/>
      <c r="AW1235" s="463"/>
      <c r="AX1235" s="61"/>
      <c r="AY1235" s="61"/>
      <c r="AZ1235" s="61"/>
      <c r="BA1235" s="61"/>
      <c r="BB1235" s="61"/>
      <c r="BC1235" s="61"/>
      <c r="BD1235" s="464"/>
      <c r="BE1235" s="464"/>
      <c r="BF1235" s="464">
        <v>2020</v>
      </c>
    </row>
    <row r="1236" spans="1:58" ht="30.75" customHeight="1">
      <c r="A1236" s="741" t="s">
        <v>1052</v>
      </c>
      <c r="B1236" s="742"/>
      <c r="C1236" s="742"/>
      <c r="D1236" s="743"/>
      <c r="E1236" s="641"/>
      <c r="F1236" s="641"/>
      <c r="G1236" s="641"/>
      <c r="H1236" s="371"/>
      <c r="I1236" s="371"/>
      <c r="J1236" s="371"/>
      <c r="K1236" s="371">
        <f>K6+K53+K106+K110+K137+K168+K265+K305+K338+K351+K375+K430+K630+K633+K641+K675+K725+K744+K752</f>
        <v>3512</v>
      </c>
      <c r="L1236" s="424">
        <f>L6+L53+L106+L110+L137+L168+L265+L305+L338+L351+L375+L430+L630+L633+L641+L675+L725+L744+L752</f>
        <v>5661</v>
      </c>
      <c r="M1236" s="370">
        <f>M6+M53+M106+M110+M137+M168+M265+M305+M338+M351+M375+M430+M630+M633+M641+M675+M725+M744+M752</f>
        <v>5717</v>
      </c>
      <c r="N1236" s="613">
        <f>N6+N53+N106+N110+N137+N168+N265+N305+N338+N351+N375+N430+N630+N633+N641+N675+N725+N744+N752</f>
        <v>7297</v>
      </c>
      <c r="O1236" s="371">
        <f>O6+O53+O106+O110+O137+O168+O265+O305+O338+O351+O375+O430+O630+O633+O641+O675+O725+O744+O752</f>
        <v>567</v>
      </c>
      <c r="P1236" s="371"/>
      <c r="Q1236" s="371"/>
      <c r="R1236" s="371"/>
      <c r="S1236" s="371"/>
      <c r="T1236" s="371"/>
      <c r="U1236" s="371"/>
      <c r="V1236" s="371"/>
      <c r="W1236" s="371"/>
      <c r="X1236" s="371"/>
      <c r="Y1236" s="371"/>
      <c r="Z1236" s="371"/>
      <c r="AA1236" s="371"/>
      <c r="AB1236" s="371"/>
      <c r="AC1236" s="371"/>
      <c r="AD1236" s="371"/>
      <c r="AE1236" s="647">
        <f>SUBTOTAL(9,AE7:AE1211)</f>
        <v>42164549366</v>
      </c>
      <c r="AF1236" s="466"/>
      <c r="AG1236" s="371"/>
      <c r="AH1236" s="371"/>
      <c r="AI1236" s="371"/>
      <c r="AJ1236" s="371"/>
      <c r="AK1236" s="371"/>
      <c r="AL1236" s="371"/>
      <c r="AM1236" s="426">
        <f t="shared" ref="AM1236:AR1236" si="193">AM6+AM53+AM106+AM110+AM137+AM168+AM265+AM305+AM338+AM351+AM375+AM430+AM630+AM633+AM641+AM675+AM725+AM744+AM752</f>
        <v>2233</v>
      </c>
      <c r="AN1236" s="426">
        <f t="shared" si="193"/>
        <v>5899</v>
      </c>
      <c r="AO1236" s="370">
        <f t="shared" si="193"/>
        <v>398</v>
      </c>
      <c r="AP1236" s="370">
        <f t="shared" si="193"/>
        <v>359</v>
      </c>
      <c r="AQ1236" s="370">
        <f t="shared" si="193"/>
        <v>104</v>
      </c>
      <c r="AR1236" s="370">
        <f t="shared" si="193"/>
        <v>3</v>
      </c>
      <c r="AS1236" s="371"/>
      <c r="AT1236" s="371"/>
      <c r="AU1236" s="385"/>
      <c r="AV1236" s="370">
        <f>AV744+AV725+AV641+AV633+AV430+AV375+AV351+AV338+AV305+AV265+AV168+AV137+AV106+AV53+AV6+AV675+AV752</f>
        <v>4238</v>
      </c>
      <c r="AW1236" s="370">
        <f>AW744+AW725+AW641+AW633+AW430+AW375+AW351+AW338+AW305+AW265+AW168+AW137+AW106+AW53+AW6+AW675+AW752</f>
        <v>3446</v>
      </c>
      <c r="AX1236" s="370">
        <f>AX744+AX725+AX641+AX633+AX430+AX375+AX351+AX338+AX305+AX265+AX168+AX137+AX106+AX53+AX6+AX675+AX752</f>
        <v>3447</v>
      </c>
      <c r="AY1236" s="370">
        <f>AY744+AY725+AY641+AY633+AY430+AY375+AY351+AY338+AY305+AY265+AY168+AY137+AY106+AY53+AY6+AY675+AY752</f>
        <v>4608</v>
      </c>
      <c r="AZ1236" s="371"/>
      <c r="BA1236" s="370">
        <f>BA744+BA725+BA641+BA633+BA430+BA375+BA351+BA338+BA305+BA265+BA168+BA137+BA106+BA53+BA6+BA675+BA752</f>
        <v>2257</v>
      </c>
      <c r="BB1236" s="370">
        <f>BB744+BB725+BB641+BB633+BB430+BB375+BB351+BB338+BB305+BB265+BB168+BB137+BB106+BB53+BB6+BB675+BB752</f>
        <v>6181</v>
      </c>
      <c r="BC1236" s="370">
        <f>BC744+BC725+BC641+BC633+BC430+BC375+BC351+BC338+BC305+BC265+BC168+BC137+BC106+BC53+BC6+BC675+BC752</f>
        <v>129</v>
      </c>
      <c r="BD1236" s="370"/>
      <c r="BE1236" s="370">
        <v>2019</v>
      </c>
      <c r="BF1236" s="370">
        <v>2020</v>
      </c>
    </row>
    <row r="1237" spans="1:58" hidden="1">
      <c r="A1237" s="116"/>
      <c r="B1237" s="116"/>
      <c r="C1237" s="16"/>
      <c r="D1237" s="16"/>
      <c r="E1237" s="16"/>
      <c r="F1237" s="16"/>
      <c r="G1237" s="16"/>
      <c r="H1237" s="16"/>
      <c r="I1237" s="16"/>
      <c r="J1237" s="16"/>
      <c r="K1237" s="140"/>
      <c r="L1237" s="140"/>
      <c r="M1237" s="140"/>
      <c r="N1237" s="140"/>
      <c r="O1237" s="140"/>
      <c r="P1237" s="140"/>
      <c r="Q1237" s="140"/>
      <c r="R1237" s="140"/>
      <c r="S1237" s="140"/>
      <c r="T1237" s="140"/>
      <c r="U1237" s="140"/>
      <c r="V1237" s="140"/>
      <c r="W1237" s="140"/>
      <c r="X1237" s="140"/>
      <c r="Y1237" s="140"/>
      <c r="Z1237" s="140"/>
      <c r="AA1237" s="140"/>
      <c r="AB1237" s="140"/>
      <c r="AC1237" s="140"/>
      <c r="AD1237" s="140"/>
      <c r="AE1237" s="140">
        <v>35152805238</v>
      </c>
      <c r="AF1237" s="140"/>
      <c r="AG1237" s="140"/>
      <c r="AH1237" s="140"/>
      <c r="AI1237" s="140"/>
      <c r="AJ1237" s="140"/>
      <c r="AK1237" s="140"/>
      <c r="AL1237" s="140"/>
      <c r="AM1237" s="140"/>
      <c r="AN1237" s="140"/>
      <c r="AO1237" s="140"/>
      <c r="AP1237" s="140"/>
      <c r="AQ1237" s="140"/>
      <c r="AR1237" s="140"/>
      <c r="AS1237" s="140"/>
      <c r="AT1237" s="140"/>
      <c r="AU1237" s="140"/>
      <c r="AV1237" s="140"/>
      <c r="AW1237" s="140"/>
      <c r="AX1237" s="140"/>
      <c r="AY1237" s="140"/>
      <c r="AZ1237" s="140"/>
      <c r="BA1237" s="140"/>
      <c r="BB1237" s="209">
        <f>BB27+BB28+BB29+BB30+BB56+BB70+BB74+BB75+BB76+BB78+BB111+BB123+BB126+BB151+BB217+BB227+BB290+BB316+BB355+BB356+BB455+BB544+BB549+BB550+BB569+BB656+BB657+BB701+BB732</f>
        <v>1190</v>
      </c>
      <c r="BC1237" s="209"/>
      <c r="BD1237" s="354"/>
      <c r="BE1237" s="355"/>
    </row>
    <row r="1238" spans="1:58" s="354" customFormat="1" hidden="1">
      <c r="A1238" s="116"/>
      <c r="B1238" s="116"/>
      <c r="C1238" s="26"/>
      <c r="D1238" s="353"/>
      <c r="E1238" s="353"/>
      <c r="F1238" s="353"/>
      <c r="G1238" s="353"/>
      <c r="H1238" s="26"/>
      <c r="I1238" s="26"/>
      <c r="J1238" s="26"/>
      <c r="K1238" s="140"/>
      <c r="L1238" s="140"/>
      <c r="M1238" s="140"/>
      <c r="N1238" s="140"/>
      <c r="O1238" s="140"/>
      <c r="P1238" s="140"/>
      <c r="Q1238" s="140"/>
      <c r="R1238" s="140"/>
      <c r="S1238" s="140"/>
      <c r="T1238" s="140"/>
      <c r="U1238" s="140"/>
      <c r="V1238" s="140"/>
      <c r="W1238" s="140"/>
      <c r="X1238" s="140"/>
      <c r="Y1238" s="140"/>
      <c r="Z1238" s="140"/>
      <c r="AA1238" s="140"/>
      <c r="AB1238" s="140"/>
      <c r="AC1238" s="140"/>
      <c r="AD1238" s="140"/>
      <c r="AE1238" s="217">
        <f>+AE1210</f>
        <v>0</v>
      </c>
      <c r="AF1238" s="217"/>
      <c r="AG1238" s="217"/>
      <c r="AH1238" s="217"/>
      <c r="AI1238" s="217"/>
      <c r="AJ1238" s="217"/>
      <c r="AK1238" s="217"/>
      <c r="AL1238" s="140"/>
      <c r="AM1238" s="140"/>
      <c r="AN1238" s="140"/>
      <c r="AO1238" s="140"/>
      <c r="AP1238" s="140"/>
      <c r="AQ1238" s="140"/>
      <c r="AR1238" s="140"/>
      <c r="AS1238" s="140"/>
      <c r="AT1238" s="140"/>
      <c r="AU1238" s="140"/>
      <c r="AV1238" s="140"/>
      <c r="AW1238" s="140"/>
      <c r="AX1238" s="140"/>
      <c r="AY1238" s="140"/>
      <c r="AZ1238" s="140"/>
      <c r="BA1238" s="140"/>
      <c r="BB1238" s="140"/>
      <c r="BC1238" s="140"/>
      <c r="BE1238" s="355"/>
    </row>
    <row r="1239" spans="1:58" hidden="1">
      <c r="A1239" s="116"/>
      <c r="B1239" s="116"/>
      <c r="C1239" s="26"/>
      <c r="D1239" s="26"/>
      <c r="E1239" s="26"/>
      <c r="F1239" s="26"/>
      <c r="G1239" s="26"/>
      <c r="H1239" s="26"/>
      <c r="I1239" s="26"/>
      <c r="J1239" s="26"/>
      <c r="K1239" s="140"/>
      <c r="L1239" s="140"/>
      <c r="M1239" s="140"/>
      <c r="N1239" s="140"/>
      <c r="O1239" s="140"/>
      <c r="P1239" s="140"/>
      <c r="Q1239" s="140"/>
      <c r="R1239" s="140"/>
      <c r="S1239" s="140"/>
      <c r="T1239" s="140"/>
      <c r="U1239" s="140"/>
      <c r="V1239" s="140"/>
      <c r="W1239" s="140"/>
      <c r="X1239" s="140"/>
      <c r="Y1239" s="140"/>
      <c r="Z1239" s="140"/>
      <c r="AA1239" s="140"/>
      <c r="AB1239" s="140"/>
      <c r="AC1239" s="140"/>
      <c r="AD1239" s="140"/>
      <c r="AE1239" s="254">
        <f>+AE1236-AE1237-AE1238</f>
        <v>7011744128</v>
      </c>
      <c r="AF1239" s="217"/>
      <c r="AG1239" s="217"/>
      <c r="AH1239" s="217"/>
      <c r="AI1239" s="217"/>
      <c r="AJ1239" s="217"/>
      <c r="AK1239" s="217"/>
      <c r="AL1239" s="140"/>
      <c r="AM1239" s="140"/>
      <c r="AN1239" s="140"/>
      <c r="AO1239" s="140"/>
      <c r="AP1239" s="140"/>
      <c r="AQ1239" s="140"/>
      <c r="AR1239" s="140"/>
      <c r="AS1239" s="140"/>
      <c r="AT1239" s="140"/>
      <c r="AU1239" s="140"/>
      <c r="AV1239" s="140"/>
      <c r="AW1239" s="140"/>
      <c r="AX1239" s="140"/>
      <c r="AY1239" s="140"/>
      <c r="AZ1239" s="140"/>
      <c r="BA1239" s="140"/>
      <c r="BB1239" s="140"/>
      <c r="BC1239" s="140"/>
      <c r="BD1239" s="354"/>
      <c r="BE1239" s="355"/>
    </row>
    <row r="1240" spans="1:58" hidden="1">
      <c r="A1240" s="116"/>
      <c r="B1240" s="116"/>
      <c r="C1240" s="16"/>
      <c r="D1240" s="16"/>
      <c r="E1240" s="16"/>
      <c r="F1240" s="16"/>
      <c r="G1240" s="16"/>
      <c r="H1240" s="16"/>
      <c r="I1240" s="16"/>
      <c r="J1240" s="16"/>
      <c r="K1240" s="140"/>
      <c r="L1240" s="116"/>
      <c r="M1240" s="116"/>
      <c r="N1240" s="116"/>
      <c r="O1240" s="116"/>
      <c r="P1240" s="140"/>
      <c r="Q1240" s="140"/>
      <c r="R1240" s="140"/>
      <c r="S1240" s="140"/>
      <c r="T1240" s="140"/>
      <c r="U1240" s="140"/>
      <c r="V1240" s="140"/>
      <c r="W1240" s="140"/>
      <c r="X1240" s="140"/>
      <c r="Y1240" s="140"/>
      <c r="Z1240" s="140"/>
      <c r="AA1240" s="140"/>
      <c r="AB1240" s="140"/>
      <c r="AC1240" s="140"/>
      <c r="AD1240" s="140"/>
      <c r="AE1240" s="140"/>
      <c r="AF1240" s="140"/>
      <c r="AG1240" s="140"/>
      <c r="AH1240" s="140"/>
      <c r="AI1240" s="140"/>
      <c r="AJ1240" s="140"/>
      <c r="AK1240" s="140"/>
      <c r="AL1240" s="140"/>
      <c r="AM1240" s="116"/>
      <c r="AN1240" s="116"/>
      <c r="AO1240" s="116"/>
      <c r="AP1240" s="116"/>
      <c r="AQ1240" s="116"/>
      <c r="AR1240" s="116"/>
      <c r="AS1240" s="140"/>
      <c r="AT1240" s="140"/>
      <c r="AU1240" s="151"/>
      <c r="AV1240" s="140"/>
      <c r="AW1240" s="140"/>
      <c r="AX1240" s="140"/>
      <c r="AY1240" s="140"/>
      <c r="AZ1240" s="140"/>
      <c r="BA1240" s="140"/>
      <c r="BB1240" s="140"/>
      <c r="BC1240" s="140"/>
      <c r="BD1240" s="354"/>
      <c r="BE1240" s="355"/>
    </row>
    <row r="1241" spans="1:58" ht="24" hidden="1" customHeight="1">
      <c r="A1241" s="93"/>
      <c r="B1241" s="93"/>
      <c r="C1241" s="38" t="s">
        <v>688</v>
      </c>
      <c r="D1241" s="39"/>
      <c r="E1241" s="537"/>
      <c r="F1241" s="537"/>
      <c r="G1241" s="537"/>
      <c r="H1241" s="16"/>
      <c r="I1241" s="16"/>
      <c r="J1241" s="16"/>
      <c r="K1241" s="151"/>
      <c r="L1241" s="151"/>
      <c r="M1241" s="151"/>
      <c r="N1241" s="151"/>
      <c r="O1241" s="151"/>
      <c r="P1241" s="151"/>
      <c r="Q1241" s="151"/>
      <c r="R1241" s="151"/>
      <c r="S1241" s="151"/>
      <c r="T1241" s="151"/>
      <c r="U1241" s="151"/>
      <c r="V1241" s="151"/>
      <c r="W1241" s="151"/>
      <c r="X1241" s="151"/>
      <c r="Y1241" s="151"/>
      <c r="Z1241" s="151"/>
      <c r="AA1241" s="151"/>
      <c r="AB1241" s="151"/>
      <c r="AC1241" s="151"/>
      <c r="AD1241" s="151"/>
      <c r="AE1241" s="151"/>
      <c r="AF1241" s="151"/>
      <c r="AG1241" s="151"/>
      <c r="AH1241" s="151"/>
      <c r="AI1241" s="151"/>
      <c r="AJ1241" s="151"/>
      <c r="AK1241" s="151"/>
      <c r="AL1241" s="151"/>
      <c r="AM1241" s="151"/>
      <c r="AN1241" s="151"/>
      <c r="AO1241" s="151"/>
      <c r="AP1241" s="151"/>
      <c r="AQ1241" s="151"/>
      <c r="AR1241" s="151"/>
      <c r="AS1241" s="151"/>
      <c r="AT1241" s="151"/>
      <c r="AU1241" s="151"/>
      <c r="AV1241" s="151"/>
      <c r="AW1241" s="151"/>
      <c r="AX1241" s="151"/>
      <c r="AY1241" s="151"/>
      <c r="AZ1241" s="151"/>
      <c r="BA1241" s="151"/>
      <c r="BB1241" s="151"/>
      <c r="BC1241" s="151"/>
      <c r="BD1241" s="354"/>
      <c r="BE1241" s="355"/>
    </row>
    <row r="1242" spans="1:58" hidden="1">
      <c r="A1242" s="93"/>
      <c r="B1242" s="93"/>
      <c r="C1242" s="37" t="s">
        <v>521</v>
      </c>
      <c r="D1242" s="40" t="e">
        <f>#REF!+#REF!+#REF!+#REF!+#REF!+#REF!+#REF!+#REF!+#REF!+#REF!+#REF!+#REF!+#REF!+#REF!+#REF!+#REF!+#REF!</f>
        <v>#REF!</v>
      </c>
      <c r="E1242" s="338"/>
      <c r="F1242" s="338"/>
      <c r="G1242" s="338"/>
      <c r="H1242" s="16"/>
      <c r="I1242" s="16"/>
      <c r="J1242" s="16"/>
      <c r="K1242" s="151"/>
      <c r="L1242" s="151"/>
      <c r="M1242" s="151"/>
      <c r="N1242" s="151"/>
      <c r="O1242" s="151"/>
      <c r="P1242" s="151"/>
      <c r="Q1242" s="151"/>
      <c r="R1242" s="151"/>
      <c r="S1242" s="151"/>
      <c r="T1242" s="151"/>
      <c r="U1242" s="151"/>
      <c r="V1242" s="151"/>
      <c r="W1242" s="151"/>
      <c r="X1242" s="151"/>
      <c r="Y1242" s="151"/>
      <c r="Z1242" s="151"/>
      <c r="AA1242" s="151"/>
      <c r="AB1242" s="151"/>
      <c r="AC1242" s="151"/>
      <c r="AD1242" s="151"/>
      <c r="AE1242" s="151"/>
      <c r="AF1242" s="151"/>
      <c r="AG1242" s="151"/>
      <c r="AH1242" s="151"/>
      <c r="AI1242" s="151"/>
      <c r="AJ1242" s="151"/>
      <c r="AK1242" s="151"/>
      <c r="AL1242" s="151"/>
      <c r="AM1242" s="151"/>
      <c r="AN1242" s="151"/>
      <c r="AO1242" s="151"/>
      <c r="AP1242" s="151"/>
      <c r="AQ1242" s="151"/>
      <c r="AR1242" s="151"/>
      <c r="AS1242" s="151"/>
      <c r="AT1242" s="151"/>
      <c r="AU1242" s="151"/>
      <c r="AV1242" s="151"/>
      <c r="AW1242" s="151"/>
      <c r="AX1242" s="151"/>
      <c r="AY1242" s="151"/>
      <c r="AZ1242" s="151"/>
      <c r="BA1242" s="151"/>
      <c r="BB1242" s="151"/>
      <c r="BC1242" s="151"/>
      <c r="BD1242" s="354"/>
      <c r="BE1242" s="354"/>
    </row>
    <row r="1243" spans="1:58" hidden="1">
      <c r="A1243" s="93"/>
      <c r="B1243" s="93"/>
      <c r="C1243" s="37" t="s">
        <v>38</v>
      </c>
      <c r="D1243" s="41" t="e">
        <f>#REF!+#REF!+#REF!+#REF!+#REF!+#REF!+#REF!+#REF!+#REF!+#REF!+#REF!+#REF!+#REF!+#REF!+#REF!+#REF!+#REF!</f>
        <v>#REF!</v>
      </c>
      <c r="E1243" s="339"/>
      <c r="F1243" s="339"/>
      <c r="G1243" s="339"/>
      <c r="H1243" s="16"/>
      <c r="I1243" s="16"/>
      <c r="J1243" s="16"/>
      <c r="K1243" s="151"/>
      <c r="L1243" s="151"/>
      <c r="M1243" s="151"/>
      <c r="N1243" s="151"/>
      <c r="O1243" s="151"/>
      <c r="P1243" s="151"/>
      <c r="Q1243" s="151"/>
      <c r="R1243" s="151"/>
      <c r="S1243" s="151"/>
      <c r="T1243" s="151"/>
      <c r="U1243" s="151"/>
      <c r="V1243" s="151"/>
      <c r="W1243" s="151"/>
      <c r="X1243" s="151"/>
      <c r="Y1243" s="151"/>
      <c r="Z1243" s="151"/>
      <c r="AA1243" s="151"/>
      <c r="AB1243" s="151"/>
      <c r="AC1243" s="151"/>
      <c r="AD1243" s="151"/>
      <c r="AE1243" s="151"/>
      <c r="AF1243" s="151"/>
      <c r="AG1243" s="151"/>
      <c r="AH1243" s="151"/>
      <c r="AI1243" s="151"/>
      <c r="AJ1243" s="151"/>
      <c r="AK1243" s="151"/>
      <c r="AL1243" s="151"/>
      <c r="AM1243" s="151"/>
      <c r="AN1243" s="151"/>
      <c r="AO1243" s="151"/>
      <c r="AP1243" s="151"/>
      <c r="AQ1243" s="151"/>
      <c r="AR1243" s="151"/>
      <c r="AS1243" s="151"/>
      <c r="AT1243" s="151"/>
      <c r="AU1243" s="151"/>
      <c r="AV1243" s="151"/>
      <c r="AW1243" s="151"/>
      <c r="AX1243" s="151"/>
      <c r="AY1243" s="151"/>
      <c r="AZ1243" s="151"/>
      <c r="BA1243" s="151"/>
      <c r="BB1243" s="151"/>
      <c r="BC1243" s="151"/>
      <c r="BD1243" s="354"/>
      <c r="BE1243" s="354"/>
    </row>
    <row r="1244" spans="1:58" hidden="1">
      <c r="A1244" s="93"/>
      <c r="B1244" s="93"/>
      <c r="C1244" s="37" t="s">
        <v>646</v>
      </c>
      <c r="D1244" s="41" t="e">
        <f>#REF!+#REF!+#REF!+#REF!+#REF!+#REF!+#REF!+#REF!+#REF!+#REF!+#REF!+#REF!+#REF!+#REF!+#REF!+#REF!+#REF!</f>
        <v>#REF!</v>
      </c>
      <c r="E1244" s="339"/>
      <c r="F1244" s="339"/>
      <c r="G1244" s="339"/>
      <c r="H1244" s="16"/>
      <c r="I1244" s="16"/>
      <c r="J1244" s="16"/>
      <c r="K1244" s="151"/>
      <c r="L1244" s="151"/>
      <c r="M1244" s="151"/>
      <c r="N1244" s="151"/>
      <c r="O1244" s="151"/>
      <c r="P1244" s="151"/>
      <c r="Q1244" s="151"/>
      <c r="R1244" s="151"/>
      <c r="S1244" s="151"/>
      <c r="T1244" s="151"/>
      <c r="U1244" s="151"/>
      <c r="V1244" s="151"/>
      <c r="W1244" s="151"/>
      <c r="X1244" s="151"/>
      <c r="Y1244" s="151"/>
      <c r="Z1244" s="151"/>
      <c r="AA1244" s="151"/>
      <c r="AB1244" s="151"/>
      <c r="AC1244" s="151"/>
      <c r="AD1244" s="151"/>
      <c r="AE1244" s="151"/>
      <c r="AF1244" s="151"/>
      <c r="AG1244" s="151"/>
      <c r="AH1244" s="151"/>
      <c r="AI1244" s="151"/>
      <c r="AJ1244" s="151"/>
      <c r="AK1244" s="151"/>
      <c r="AL1244" s="151"/>
      <c r="AM1244" s="151"/>
      <c r="AN1244" s="151"/>
      <c r="AO1244" s="151"/>
      <c r="AP1244" s="151"/>
      <c r="AQ1244" s="151"/>
      <c r="AR1244" s="151"/>
      <c r="AS1244" s="151"/>
      <c r="AT1244" s="151"/>
      <c r="AU1244" s="151"/>
      <c r="AV1244" s="151"/>
      <c r="AW1244" s="151"/>
      <c r="AX1244" s="151"/>
      <c r="AY1244" s="151"/>
      <c r="AZ1244" s="151"/>
      <c r="BA1244" s="151"/>
      <c r="BB1244" s="151"/>
      <c r="BC1244" s="151"/>
      <c r="BD1244" s="354"/>
      <c r="BE1244" s="354"/>
    </row>
    <row r="1245" spans="1:58" hidden="1">
      <c r="A1245" s="93"/>
      <c r="B1245" s="93"/>
      <c r="C1245" s="37" t="s">
        <v>388</v>
      </c>
      <c r="D1245" s="41" t="e">
        <f>#REF!+#REF!+#REF!+#REF!+#REF!+#REF!+#REF!+#REF!+#REF!+#REF!+#REF!+#REF!+#REF!+#REF!+#REF!+#REF!+#REF!</f>
        <v>#REF!</v>
      </c>
      <c r="E1245" s="339"/>
      <c r="F1245" s="339"/>
      <c r="G1245" s="339"/>
      <c r="H1245" s="16"/>
      <c r="I1245" s="16"/>
      <c r="J1245" s="16"/>
      <c r="K1245" s="151"/>
      <c r="L1245" s="151"/>
      <c r="M1245" s="151"/>
      <c r="N1245" s="151"/>
      <c r="O1245" s="151"/>
      <c r="P1245" s="151"/>
      <c r="Q1245" s="151"/>
      <c r="R1245" s="151"/>
      <c r="S1245" s="151"/>
      <c r="T1245" s="151"/>
      <c r="U1245" s="151"/>
      <c r="V1245" s="151"/>
      <c r="W1245" s="151"/>
      <c r="X1245" s="151"/>
      <c r="Y1245" s="151"/>
      <c r="Z1245" s="151"/>
      <c r="AA1245" s="151"/>
      <c r="AB1245" s="151"/>
      <c r="AC1245" s="151"/>
      <c r="AD1245" s="151"/>
      <c r="AE1245" s="151"/>
      <c r="AF1245" s="151"/>
      <c r="AG1245" s="151"/>
      <c r="AH1245" s="151"/>
      <c r="AI1245" s="151"/>
      <c r="AJ1245" s="151"/>
      <c r="AK1245" s="151"/>
      <c r="AL1245" s="151"/>
      <c r="AM1245" s="151"/>
      <c r="AN1245" s="151"/>
      <c r="AO1245" s="151"/>
      <c r="AP1245" s="151"/>
      <c r="AQ1245" s="151"/>
      <c r="AR1245" s="151"/>
      <c r="AS1245" s="151"/>
      <c r="AT1245" s="151"/>
      <c r="AU1245" s="151"/>
      <c r="AV1245" s="151"/>
      <c r="AW1245" s="151"/>
      <c r="AX1245" s="151"/>
      <c r="AY1245" s="151"/>
      <c r="AZ1245" s="151"/>
      <c r="BA1245" s="151"/>
      <c r="BB1245" s="151"/>
      <c r="BC1245" s="151"/>
      <c r="BD1245" s="354"/>
      <c r="BE1245" s="354"/>
    </row>
    <row r="1246" spans="1:58" hidden="1">
      <c r="A1246" s="93"/>
      <c r="B1246" s="93"/>
      <c r="C1246" s="37" t="s">
        <v>687</v>
      </c>
      <c r="D1246" s="41" t="e">
        <f>#REF!+#REF!+#REF!+#REF!+#REF!+#REF!+#REF!+#REF!+#REF!+#REF!+#REF!+#REF!+#REF!+#REF!+#REF!+#REF!+#REF!</f>
        <v>#REF!</v>
      </c>
      <c r="E1246" s="339"/>
      <c r="F1246" s="339"/>
      <c r="G1246" s="339"/>
      <c r="H1246" s="16"/>
      <c r="I1246" s="16"/>
      <c r="J1246" s="16"/>
      <c r="K1246" s="151"/>
      <c r="L1246" s="151"/>
      <c r="M1246" s="151"/>
      <c r="N1246" s="151"/>
      <c r="O1246" s="151"/>
      <c r="P1246" s="151"/>
      <c r="Q1246" s="151"/>
      <c r="R1246" s="151"/>
      <c r="S1246" s="151"/>
      <c r="T1246" s="151"/>
      <c r="U1246" s="151"/>
      <c r="V1246" s="151"/>
      <c r="W1246" s="151"/>
      <c r="X1246" s="151"/>
      <c r="Y1246" s="151"/>
      <c r="Z1246" s="151"/>
      <c r="AA1246" s="151"/>
      <c r="AB1246" s="151"/>
      <c r="AC1246" s="151"/>
      <c r="AD1246" s="151"/>
      <c r="AE1246" s="151"/>
      <c r="AF1246" s="151"/>
      <c r="AG1246" s="151"/>
      <c r="AH1246" s="151"/>
      <c r="AI1246" s="151"/>
      <c r="AJ1246" s="151"/>
      <c r="AK1246" s="151"/>
      <c r="AL1246" s="151"/>
      <c r="AM1246" s="151"/>
      <c r="AN1246" s="151"/>
      <c r="AO1246" s="151"/>
      <c r="AP1246" s="151"/>
      <c r="AQ1246" s="151"/>
      <c r="AR1246" s="151"/>
      <c r="AS1246" s="151"/>
      <c r="AT1246" s="151"/>
      <c r="AU1246" s="151"/>
      <c r="AV1246" s="151"/>
      <c r="AW1246" s="151"/>
      <c r="AX1246" s="151"/>
      <c r="AY1246" s="151"/>
      <c r="AZ1246" s="151"/>
      <c r="BA1246" s="151"/>
      <c r="BB1246" s="151"/>
      <c r="BC1246" s="151"/>
      <c r="BD1246" s="354"/>
      <c r="BE1246" s="354"/>
    </row>
    <row r="1247" spans="1:58" ht="15.75" hidden="1">
      <c r="A1247" s="93"/>
      <c r="B1247" s="93"/>
      <c r="C1247" s="36"/>
      <c r="D1247" s="42" t="e">
        <f>SUM(D1242:D1245)</f>
        <v>#REF!</v>
      </c>
      <c r="E1247" s="341"/>
      <c r="F1247" s="341"/>
      <c r="G1247" s="341"/>
      <c r="H1247" s="16"/>
      <c r="I1247" s="16"/>
      <c r="J1247" s="16"/>
      <c r="K1247" s="151"/>
      <c r="L1247" s="151"/>
      <c r="M1247" s="151"/>
      <c r="N1247" s="151"/>
      <c r="O1247" s="151"/>
      <c r="P1247" s="151"/>
      <c r="Q1247" s="151"/>
      <c r="R1247" s="151"/>
      <c r="S1247" s="151"/>
      <c r="T1247" s="465">
        <v>7297</v>
      </c>
      <c r="U1247" s="151"/>
      <c r="V1247" s="151"/>
      <c r="W1247" s="151"/>
      <c r="X1247" s="151"/>
      <c r="Y1247" s="151"/>
      <c r="Z1247" s="151"/>
      <c r="AA1247" s="151"/>
      <c r="AB1247" s="151"/>
      <c r="AC1247" s="151"/>
      <c r="AD1247" s="151"/>
      <c r="AE1247" s="151"/>
      <c r="AF1247" s="151"/>
      <c r="AG1247" s="151"/>
      <c r="AH1247" s="151"/>
      <c r="AI1247" s="151"/>
      <c r="AJ1247" s="151"/>
      <c r="AK1247" s="151"/>
      <c r="AL1247" s="151"/>
      <c r="AM1247" s="151"/>
      <c r="AN1247" s="151"/>
      <c r="AO1247" s="151"/>
      <c r="AP1247" s="151"/>
      <c r="AQ1247" s="151"/>
      <c r="AR1247" s="151"/>
      <c r="AS1247" s="151"/>
      <c r="AT1247" s="151"/>
      <c r="AU1247" s="151"/>
      <c r="AV1247" s="151"/>
      <c r="AW1247" s="151"/>
      <c r="AX1247" s="151"/>
      <c r="AY1247" s="151"/>
      <c r="AZ1247" s="151"/>
      <c r="BA1247" s="151"/>
      <c r="BB1247" s="151"/>
      <c r="BC1247" s="151"/>
      <c r="BD1247" s="354"/>
      <c r="BE1247" s="354"/>
    </row>
    <row r="1248" spans="1:58" hidden="1">
      <c r="A1248" s="93"/>
      <c r="B1248" s="93"/>
      <c r="C1248" s="207"/>
      <c r="D1248" s="17"/>
      <c r="E1248" s="17"/>
      <c r="F1248" s="17"/>
      <c r="G1248" s="17"/>
      <c r="H1248" s="17"/>
      <c r="I1248" s="17"/>
      <c r="J1248" s="17"/>
      <c r="K1248" s="151"/>
      <c r="L1248" s="151"/>
      <c r="M1248" s="151"/>
      <c r="N1248" s="151"/>
      <c r="O1248" s="151"/>
      <c r="P1248" s="151"/>
      <c r="Q1248" s="151"/>
      <c r="R1248" s="151"/>
      <c r="S1248" s="151"/>
      <c r="T1248" s="151">
        <v>7297</v>
      </c>
      <c r="U1248" s="151"/>
      <c r="V1248" s="151"/>
      <c r="W1248" s="151"/>
      <c r="X1248" s="151"/>
      <c r="Y1248" s="151"/>
      <c r="Z1248" s="151"/>
      <c r="AA1248" s="151"/>
      <c r="AB1248" s="151"/>
      <c r="AC1248" s="151"/>
      <c r="AD1248" s="151"/>
      <c r="AE1248" s="151"/>
      <c r="AF1248" s="151"/>
      <c r="AG1248" s="151"/>
      <c r="AH1248" s="151"/>
      <c r="AI1248" s="151"/>
      <c r="AJ1248" s="151"/>
      <c r="AK1248" s="151"/>
      <c r="AL1248" s="151"/>
      <c r="AM1248" s="151"/>
      <c r="AN1248" s="151"/>
      <c r="AO1248" s="151"/>
      <c r="AP1248" s="151"/>
      <c r="AQ1248" s="151"/>
      <c r="AR1248" s="151"/>
      <c r="AS1248" s="151"/>
      <c r="AT1248" s="151"/>
      <c r="AU1248" s="151"/>
      <c r="AV1248" s="151"/>
      <c r="AW1248" s="151"/>
      <c r="AX1248" s="151"/>
      <c r="AY1248" s="151"/>
      <c r="AZ1248" s="151"/>
      <c r="BA1248" s="151"/>
      <c r="BB1248" s="151"/>
      <c r="BC1248" s="151"/>
      <c r="BD1248" s="354"/>
      <c r="BE1248" s="354"/>
    </row>
    <row r="1249" spans="1:57" ht="15.75" hidden="1">
      <c r="A1249" s="93"/>
      <c r="B1249" s="93"/>
      <c r="C1249" s="38" t="s">
        <v>1208</v>
      </c>
      <c r="D1249" s="39"/>
      <c r="E1249" s="537"/>
      <c r="F1249" s="537"/>
      <c r="G1249" s="537"/>
      <c r="H1249" s="16" t="s">
        <v>1283</v>
      </c>
      <c r="I1249" s="16"/>
      <c r="J1249" s="16"/>
      <c r="K1249" s="151"/>
      <c r="L1249" s="151"/>
      <c r="M1249" s="151"/>
      <c r="N1249" s="151"/>
      <c r="O1249" s="151"/>
      <c r="P1249" s="151"/>
      <c r="Q1249" s="151"/>
      <c r="R1249" s="151"/>
      <c r="S1249" s="151"/>
      <c r="T1249" s="151">
        <f>T1248-T1247</f>
        <v>0</v>
      </c>
      <c r="U1249" s="151"/>
      <c r="V1249" s="151"/>
      <c r="W1249" s="151"/>
      <c r="X1249" s="151"/>
      <c r="Y1249" s="151"/>
      <c r="Z1249" s="151"/>
      <c r="AA1249" s="151"/>
      <c r="AB1249" s="151"/>
      <c r="AC1249" s="151"/>
      <c r="AD1249" s="151"/>
      <c r="AE1249" s="151"/>
      <c r="AF1249" s="151"/>
      <c r="AG1249" s="151"/>
      <c r="AH1249" s="151"/>
      <c r="AI1249" s="151"/>
      <c r="AJ1249" s="151"/>
      <c r="AK1249" s="151"/>
      <c r="AL1249" s="151"/>
      <c r="AM1249" s="151"/>
      <c r="AN1249" s="151"/>
      <c r="AO1249" s="151"/>
      <c r="AP1249" s="151"/>
      <c r="AQ1249" s="151"/>
      <c r="AR1249" s="151"/>
      <c r="AS1249" s="151"/>
      <c r="AT1249" s="151"/>
      <c r="AU1249" s="151"/>
      <c r="AV1249" s="151"/>
      <c r="AW1249" s="151"/>
      <c r="AX1249" s="151"/>
      <c r="AY1249" s="151"/>
      <c r="AZ1249" s="151"/>
      <c r="BA1249" s="151"/>
      <c r="BB1249" s="151"/>
      <c r="BC1249" s="151"/>
      <c r="BD1249" s="354"/>
      <c r="BE1249" s="354"/>
    </row>
    <row r="1250" spans="1:57" hidden="1">
      <c r="A1250" s="93"/>
      <c r="B1250" s="93"/>
      <c r="C1250" s="37" t="s">
        <v>521</v>
      </c>
      <c r="D1250" s="40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E1250" s="338"/>
      <c r="F1250" s="338"/>
      <c r="G1250" s="338"/>
      <c r="H1250" s="16"/>
      <c r="I1250" s="16"/>
      <c r="J1250" s="16"/>
      <c r="K1250" s="151"/>
      <c r="L1250" s="151"/>
      <c r="M1250" s="151"/>
      <c r="N1250" s="151"/>
      <c r="O1250" s="151"/>
      <c r="P1250" s="151"/>
      <c r="Q1250" s="151"/>
      <c r="R1250" s="151"/>
      <c r="S1250" s="151"/>
      <c r="T1250" s="151"/>
      <c r="U1250" s="151"/>
      <c r="V1250" s="151"/>
      <c r="W1250" s="151"/>
      <c r="X1250" s="151"/>
      <c r="Y1250" s="151"/>
      <c r="Z1250" s="151"/>
      <c r="AA1250" s="151"/>
      <c r="AB1250" s="151"/>
      <c r="AC1250" s="151"/>
      <c r="AD1250" s="151"/>
      <c r="AE1250" s="151"/>
      <c r="AF1250" s="151"/>
      <c r="AG1250" s="151"/>
      <c r="AH1250" s="151"/>
      <c r="AI1250" s="151"/>
      <c r="AJ1250" s="151"/>
      <c r="AK1250" s="151"/>
      <c r="AL1250" s="151"/>
      <c r="AM1250" s="151"/>
      <c r="AN1250" s="151"/>
      <c r="AO1250" s="151"/>
      <c r="AP1250" s="151"/>
      <c r="AQ1250" s="151"/>
      <c r="AR1250" s="151"/>
      <c r="AS1250" s="151"/>
      <c r="AT1250" s="151"/>
      <c r="AU1250" s="151"/>
      <c r="AV1250" s="151"/>
      <c r="AW1250" s="151"/>
      <c r="AX1250" s="151"/>
      <c r="AY1250" s="151"/>
      <c r="AZ1250" s="151"/>
      <c r="BA1250" s="151"/>
      <c r="BB1250" s="151"/>
      <c r="BC1250" s="151"/>
      <c r="BD1250" s="354"/>
      <c r="BE1250" s="354"/>
    </row>
    <row r="1251" spans="1:57" hidden="1">
      <c r="A1251" s="93"/>
      <c r="B1251" s="93"/>
      <c r="C1251" s="37" t="s">
        <v>38</v>
      </c>
      <c r="D1251" s="41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E1251" s="339"/>
      <c r="F1251" s="339"/>
      <c r="G1251" s="339"/>
      <c r="H1251" s="16"/>
      <c r="I1251" s="16"/>
      <c r="J1251" s="16"/>
      <c r="K1251" s="151"/>
      <c r="L1251" s="151"/>
      <c r="M1251" s="151"/>
      <c r="N1251" s="151"/>
      <c r="O1251" s="151"/>
      <c r="P1251" s="151"/>
      <c r="Q1251" s="151"/>
      <c r="R1251" s="151"/>
      <c r="S1251" s="151"/>
      <c r="T1251" s="151"/>
      <c r="U1251" s="151"/>
      <c r="V1251" s="151"/>
      <c r="W1251" s="151"/>
      <c r="X1251" s="151"/>
      <c r="Y1251" s="151"/>
      <c r="Z1251" s="151"/>
      <c r="AA1251" s="151"/>
      <c r="AB1251" s="151"/>
      <c r="AC1251" s="151"/>
      <c r="AD1251" s="151"/>
      <c r="AE1251" s="151"/>
      <c r="AF1251" s="151"/>
      <c r="AG1251" s="151"/>
      <c r="AH1251" s="151"/>
      <c r="AI1251" s="151"/>
      <c r="AJ1251" s="151"/>
      <c r="AK1251" s="151"/>
      <c r="AL1251" s="151"/>
      <c r="AM1251" s="151"/>
      <c r="AN1251" s="151"/>
      <c r="AO1251" s="151"/>
      <c r="AP1251" s="151"/>
      <c r="AQ1251" s="151"/>
      <c r="AR1251" s="151"/>
      <c r="AS1251" s="151"/>
      <c r="AT1251" s="151"/>
      <c r="AU1251" s="151"/>
      <c r="AV1251" s="151"/>
      <c r="AW1251" s="151"/>
      <c r="AX1251" s="151"/>
      <c r="AY1251" s="151"/>
      <c r="AZ1251" s="151"/>
      <c r="BA1251" s="151"/>
      <c r="BB1251" s="151"/>
      <c r="BC1251" s="151"/>
      <c r="BD1251" s="354"/>
      <c r="BE1251" s="354"/>
    </row>
    <row r="1252" spans="1:57" hidden="1">
      <c r="A1252" s="93"/>
      <c r="B1252" s="93"/>
      <c r="C1252" s="37" t="s">
        <v>646</v>
      </c>
      <c r="D1252" s="41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E1252" s="339"/>
      <c r="F1252" s="339"/>
      <c r="G1252" s="339"/>
      <c r="H1252" s="182">
        <v>1190</v>
      </c>
      <c r="I1252" s="182"/>
      <c r="J1252" s="182"/>
      <c r="K1252" s="151"/>
      <c r="L1252" s="151"/>
      <c r="M1252" s="151"/>
      <c r="N1252" s="151"/>
      <c r="O1252" s="151"/>
      <c r="P1252" s="151"/>
      <c r="Q1252" s="151"/>
      <c r="R1252" s="151"/>
      <c r="S1252" s="151"/>
      <c r="T1252" s="151"/>
      <c r="U1252" s="151"/>
      <c r="V1252" s="151"/>
      <c r="W1252" s="151"/>
      <c r="X1252" s="151"/>
      <c r="Y1252" s="151"/>
      <c r="Z1252" s="151"/>
      <c r="AA1252" s="151"/>
      <c r="AB1252" s="151"/>
      <c r="AC1252" s="151"/>
      <c r="AD1252" s="151"/>
      <c r="AE1252" s="151"/>
      <c r="AF1252" s="151"/>
      <c r="AG1252" s="151"/>
      <c r="AH1252" s="151"/>
      <c r="AI1252" s="151"/>
      <c r="AJ1252" s="151"/>
      <c r="AK1252" s="151"/>
      <c r="AL1252" s="151"/>
      <c r="AM1252" s="151"/>
      <c r="AN1252" s="151"/>
      <c r="AO1252" s="151"/>
      <c r="AP1252" s="151"/>
      <c r="AQ1252" s="151"/>
      <c r="AR1252" s="151"/>
      <c r="AS1252" s="151"/>
      <c r="AT1252" s="151"/>
      <c r="AU1252" s="151"/>
      <c r="AV1252" s="151"/>
      <c r="AW1252" s="151"/>
      <c r="AX1252" s="151"/>
      <c r="AY1252" s="151"/>
      <c r="AZ1252" s="151"/>
      <c r="BA1252" s="151"/>
      <c r="BB1252" s="151"/>
      <c r="BC1252" s="151"/>
      <c r="BD1252" s="354"/>
      <c r="BE1252" s="354"/>
    </row>
    <row r="1253" spans="1:57" hidden="1">
      <c r="A1253" s="93"/>
      <c r="B1253" s="93"/>
      <c r="C1253" s="37" t="s">
        <v>388</v>
      </c>
      <c r="D1253" s="41" t="e">
        <f>#REF!+#REF!+#REF!+#REF!+#REF!+#REF!+#REF!+#REF!+#REF!+#REF!+#REF!+#REF!+#REF!+#REF!+#REF!+#REF!+#REF!+#REF!+#REF!+#REF!+#REF!+#REF!+#REF!+#REF!+#REF!+#REF!+#REF!+#REF!+#REF!+#REF!+#REF!+#REF!+#REF!+#REF!+#REF!</f>
        <v>#REF!</v>
      </c>
      <c r="E1253" s="339"/>
      <c r="F1253" s="339"/>
      <c r="G1253" s="339"/>
      <c r="H1253" s="16"/>
      <c r="I1253" s="16"/>
      <c r="J1253" s="16"/>
      <c r="K1253" s="151"/>
      <c r="L1253" s="151"/>
      <c r="M1253" s="151"/>
      <c r="N1253" s="151"/>
      <c r="O1253" s="151"/>
      <c r="P1253" s="151"/>
      <c r="Q1253" s="151"/>
      <c r="R1253" s="151"/>
      <c r="S1253" s="151"/>
      <c r="T1253" s="151"/>
      <c r="U1253" s="151"/>
      <c r="V1253" s="151"/>
      <c r="W1253" s="151"/>
      <c r="X1253" s="151"/>
      <c r="Y1253" s="151"/>
      <c r="Z1253" s="151"/>
      <c r="AA1253" s="151"/>
      <c r="AB1253" s="151"/>
      <c r="AC1253" s="151"/>
      <c r="AD1253" s="151"/>
      <c r="AE1253" s="151"/>
      <c r="AF1253" s="151"/>
      <c r="AG1253" s="151"/>
      <c r="AH1253" s="151"/>
      <c r="AI1253" s="151"/>
      <c r="AJ1253" s="151"/>
      <c r="AK1253" s="151"/>
      <c r="AL1253" s="151"/>
      <c r="AM1253" s="151"/>
      <c r="AN1253" s="151"/>
      <c r="AO1253" s="151"/>
      <c r="AP1253" s="151"/>
      <c r="AQ1253" s="151"/>
      <c r="AR1253" s="151"/>
      <c r="AS1253" s="151"/>
      <c r="AT1253" s="151"/>
      <c r="AU1253" s="151"/>
      <c r="AV1253" s="151"/>
      <c r="AW1253" s="151"/>
      <c r="AX1253" s="151"/>
      <c r="AY1253" s="151"/>
      <c r="AZ1253" s="151"/>
      <c r="BA1253" s="151"/>
      <c r="BB1253" s="151"/>
      <c r="BC1253" s="151"/>
      <c r="BD1253" s="354"/>
      <c r="BE1253" s="354"/>
    </row>
    <row r="1254" spans="1:57" hidden="1">
      <c r="A1254" s="93"/>
      <c r="B1254" s="93"/>
      <c r="C1254" s="37" t="s">
        <v>986</v>
      </c>
      <c r="D1254" s="41" t="e">
        <f>#REF!+#REF!+#REF!+#REF!+#REF!+#REF!</f>
        <v>#REF!</v>
      </c>
      <c r="E1254" s="339"/>
      <c r="F1254" s="339"/>
      <c r="G1254" s="339"/>
      <c r="H1254" s="16"/>
      <c r="I1254" s="16"/>
      <c r="J1254" s="16"/>
      <c r="K1254" s="151"/>
      <c r="L1254" s="151"/>
      <c r="M1254" s="151"/>
      <c r="N1254" s="151"/>
      <c r="O1254" s="151"/>
      <c r="P1254" s="151"/>
      <c r="Q1254" s="151"/>
      <c r="R1254" s="151"/>
      <c r="S1254" s="151"/>
      <c r="T1254" s="151"/>
      <c r="U1254" s="151"/>
      <c r="V1254" s="151"/>
      <c r="W1254" s="151"/>
      <c r="X1254" s="151"/>
      <c r="Y1254" s="151"/>
      <c r="Z1254" s="151"/>
      <c r="AA1254" s="151"/>
      <c r="AB1254" s="151"/>
      <c r="AC1254" s="151"/>
      <c r="AD1254" s="151"/>
      <c r="AE1254" s="151"/>
      <c r="AF1254" s="151"/>
      <c r="AG1254" s="151"/>
      <c r="AH1254" s="151"/>
      <c r="AI1254" s="151"/>
      <c r="AJ1254" s="151"/>
      <c r="AK1254" s="151"/>
      <c r="AL1254" s="151"/>
      <c r="AM1254" s="151"/>
      <c r="AN1254" s="151"/>
      <c r="AO1254" s="151"/>
      <c r="AP1254" s="151"/>
      <c r="AQ1254" s="151"/>
      <c r="AR1254" s="151"/>
      <c r="AS1254" s="151"/>
      <c r="AT1254" s="151"/>
      <c r="AU1254" s="151"/>
      <c r="AV1254" s="151"/>
      <c r="AW1254" s="151"/>
      <c r="AX1254" s="151"/>
      <c r="AY1254" s="151"/>
      <c r="AZ1254" s="151"/>
      <c r="BA1254" s="151"/>
      <c r="BB1254" s="151"/>
      <c r="BC1254" s="151"/>
      <c r="BD1254" s="354"/>
      <c r="BE1254" s="354"/>
    </row>
    <row r="1255" spans="1:57" hidden="1">
      <c r="A1255" s="93"/>
      <c r="B1255" s="93"/>
      <c r="C1255" s="37" t="s">
        <v>942</v>
      </c>
      <c r="D1255" s="41" t="e">
        <f>#REF!+#REF!+#REF!+#REF!+#REF!+#REF!+#REF!+#REF!+#REF!+#REF!+#REF!</f>
        <v>#REF!</v>
      </c>
      <c r="E1255" s="339"/>
      <c r="F1255" s="339"/>
      <c r="G1255" s="339"/>
      <c r="H1255" s="16"/>
      <c r="I1255" s="16"/>
      <c r="J1255" s="16"/>
      <c r="K1255" s="151"/>
      <c r="L1255" s="151"/>
      <c r="M1255" s="151"/>
      <c r="N1255" s="151"/>
      <c r="O1255" s="151"/>
      <c r="P1255" s="151"/>
      <c r="Q1255" s="151"/>
      <c r="R1255" s="151"/>
      <c r="S1255" s="151"/>
      <c r="T1255" s="151"/>
      <c r="U1255" s="151"/>
      <c r="V1255" s="151"/>
      <c r="W1255" s="151"/>
      <c r="X1255" s="151"/>
      <c r="Y1255" s="151"/>
      <c r="Z1255" s="151"/>
      <c r="AA1255" s="151"/>
      <c r="AB1255" s="151"/>
      <c r="AC1255" s="151"/>
      <c r="AD1255" s="151"/>
      <c r="AE1255" s="151"/>
      <c r="AF1255" s="151"/>
      <c r="AG1255" s="151"/>
      <c r="AH1255" s="151"/>
      <c r="AI1255" s="151"/>
      <c r="AJ1255" s="151"/>
      <c r="AK1255" s="151"/>
      <c r="AL1255" s="151"/>
      <c r="AM1255" s="151"/>
      <c r="AN1255" s="151"/>
      <c r="AO1255" s="151"/>
      <c r="AP1255" s="151"/>
      <c r="AQ1255" s="151"/>
      <c r="AR1255" s="151"/>
      <c r="AS1255" s="151"/>
      <c r="AT1255" s="151"/>
      <c r="AU1255" s="151"/>
      <c r="AV1255" s="151"/>
      <c r="AW1255" s="151"/>
      <c r="AX1255" s="151"/>
      <c r="AY1255" s="151"/>
      <c r="AZ1255" s="151"/>
      <c r="BA1255" s="151"/>
      <c r="BB1255" s="151"/>
      <c r="BC1255" s="151"/>
      <c r="BD1255" s="354"/>
      <c r="BE1255" s="354"/>
    </row>
    <row r="1256" spans="1:57" ht="15.75" hidden="1">
      <c r="A1256" s="93"/>
      <c r="B1256" s="93"/>
      <c r="C1256" s="165" t="s">
        <v>1052</v>
      </c>
      <c r="D1256" s="42" t="e">
        <f>SUM(D1250:D1255)</f>
        <v>#REF!</v>
      </c>
      <c r="E1256" s="341"/>
      <c r="F1256" s="341"/>
      <c r="G1256" s="341"/>
      <c r="H1256" s="16"/>
      <c r="I1256" s="16"/>
      <c r="J1256" s="16"/>
      <c r="K1256" s="151"/>
      <c r="L1256" s="151"/>
      <c r="M1256" s="151"/>
      <c r="N1256" s="151"/>
      <c r="O1256" s="151"/>
      <c r="P1256" s="151"/>
      <c r="Q1256" s="151"/>
      <c r="R1256" s="151"/>
      <c r="S1256" s="151"/>
      <c r="T1256" s="151"/>
      <c r="U1256" s="151"/>
      <c r="V1256" s="151"/>
      <c r="W1256" s="151"/>
      <c r="X1256" s="151"/>
      <c r="Y1256" s="151"/>
      <c r="Z1256" s="151"/>
      <c r="AA1256" s="151"/>
      <c r="AB1256" s="151"/>
      <c r="AC1256" s="151"/>
      <c r="AD1256" s="151"/>
      <c r="AE1256" s="151"/>
      <c r="AF1256" s="151"/>
      <c r="AG1256" s="151"/>
      <c r="AH1256" s="151"/>
      <c r="AI1256" s="151"/>
      <c r="AJ1256" s="151"/>
      <c r="AK1256" s="151"/>
      <c r="AL1256" s="151"/>
      <c r="AM1256" s="151"/>
      <c r="AN1256" s="151"/>
      <c r="AO1256" s="151"/>
      <c r="AP1256" s="151"/>
      <c r="AQ1256" s="151"/>
      <c r="AR1256" s="151"/>
      <c r="AS1256" s="151"/>
      <c r="AT1256" s="151"/>
      <c r="AU1256" s="151"/>
      <c r="AV1256" s="151"/>
      <c r="AW1256" s="151"/>
      <c r="AX1256" s="151"/>
      <c r="AY1256" s="151"/>
      <c r="AZ1256" s="151"/>
      <c r="BA1256" s="151"/>
      <c r="BB1256" s="151"/>
      <c r="BC1256" s="151"/>
      <c r="BD1256" s="354"/>
      <c r="BE1256" s="354"/>
    </row>
    <row r="1257" spans="1:57" hidden="1">
      <c r="A1257" s="93"/>
      <c r="B1257" s="93"/>
      <c r="C1257" s="151"/>
      <c r="D1257" s="16"/>
      <c r="E1257" s="16"/>
      <c r="F1257" s="16"/>
      <c r="G1257" s="16"/>
      <c r="H1257" s="16"/>
      <c r="I1257" s="16"/>
      <c r="J1257" s="16"/>
      <c r="K1257" s="151"/>
      <c r="L1257" s="151"/>
      <c r="M1257" s="151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  <c r="X1257" s="151"/>
      <c r="Y1257" s="151"/>
      <c r="Z1257" s="151"/>
      <c r="AA1257" s="151"/>
      <c r="AB1257" s="151"/>
      <c r="AC1257" s="151"/>
      <c r="AD1257" s="151"/>
      <c r="AE1257" s="151"/>
      <c r="AF1257" s="151"/>
      <c r="AG1257" s="151"/>
      <c r="AH1257" s="151"/>
      <c r="AI1257" s="151"/>
      <c r="AJ1257" s="151"/>
      <c r="AK1257" s="151"/>
      <c r="AL1257" s="151"/>
      <c r="AM1257" s="151"/>
      <c r="AN1257" s="151"/>
      <c r="AO1257" s="151"/>
      <c r="AP1257" s="151"/>
      <c r="AQ1257" s="151"/>
      <c r="AR1257" s="151"/>
      <c r="AS1257" s="151"/>
      <c r="AT1257" s="151"/>
      <c r="AU1257" s="151"/>
      <c r="AV1257" s="151"/>
      <c r="AW1257" s="151"/>
      <c r="AX1257" s="151"/>
      <c r="AY1257" s="151"/>
      <c r="AZ1257" s="151"/>
      <c r="BA1257" s="151"/>
      <c r="BB1257" s="151"/>
      <c r="BC1257" s="151"/>
      <c r="BD1257" s="354"/>
      <c r="BE1257" s="354"/>
    </row>
    <row r="1258" spans="1:57" ht="15.75" hidden="1">
      <c r="A1258" s="93"/>
      <c r="B1258" s="93"/>
      <c r="C1258" s="38" t="s">
        <v>1209</v>
      </c>
      <c r="D1258" s="39"/>
      <c r="E1258" s="537"/>
      <c r="F1258" s="537"/>
      <c r="G1258" s="537"/>
      <c r="H1258" s="16"/>
      <c r="I1258" s="16"/>
      <c r="J1258" s="16"/>
      <c r="K1258" s="151"/>
      <c r="L1258" s="151"/>
      <c r="M1258" s="151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  <c r="X1258" s="151"/>
      <c r="Y1258" s="151"/>
      <c r="Z1258" s="151"/>
      <c r="AA1258" s="151"/>
      <c r="AB1258" s="151"/>
      <c r="AC1258" s="151"/>
      <c r="AD1258" s="151"/>
      <c r="AE1258" s="151"/>
      <c r="AF1258" s="151"/>
      <c r="AG1258" s="151"/>
      <c r="AH1258" s="151"/>
      <c r="AI1258" s="151"/>
      <c r="AJ1258" s="151"/>
      <c r="AK1258" s="151"/>
      <c r="AL1258" s="151"/>
      <c r="AM1258" s="151"/>
      <c r="AN1258" s="151"/>
      <c r="AO1258" s="151"/>
      <c r="AP1258" s="151"/>
      <c r="AQ1258" s="151"/>
      <c r="AR1258" s="151"/>
      <c r="AS1258" s="151"/>
      <c r="AT1258" s="151"/>
      <c r="AU1258" s="151"/>
      <c r="AV1258" s="151"/>
      <c r="AW1258" s="151"/>
      <c r="AX1258" s="151"/>
      <c r="AY1258" s="151"/>
      <c r="AZ1258" s="151"/>
      <c r="BA1258" s="151"/>
      <c r="BB1258" s="151"/>
      <c r="BC1258" s="151"/>
      <c r="BD1258" s="354"/>
      <c r="BE1258" s="354"/>
    </row>
    <row r="1259" spans="1:57" hidden="1">
      <c r="A1259" s="93"/>
      <c r="B1259" s="93"/>
      <c r="C1259" s="37" t="s">
        <v>521</v>
      </c>
      <c r="D1259" s="40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E1259" s="338"/>
      <c r="F1259" s="338"/>
      <c r="G1259" s="338"/>
      <c r="H1259" s="16"/>
      <c r="I1259" s="16"/>
      <c r="J1259" s="16"/>
      <c r="K1259" s="151"/>
      <c r="L1259" s="151"/>
      <c r="M1259" s="151"/>
      <c r="N1259" s="151"/>
      <c r="O1259" s="151"/>
      <c r="P1259" s="151"/>
      <c r="Q1259" s="151"/>
      <c r="R1259" s="151"/>
      <c r="S1259" s="151"/>
      <c r="T1259" s="151"/>
      <c r="U1259" s="151"/>
      <c r="V1259" s="151"/>
      <c r="W1259" s="151"/>
      <c r="X1259" s="151"/>
      <c r="Y1259" s="151"/>
      <c r="Z1259" s="151"/>
      <c r="AA1259" s="151"/>
      <c r="AB1259" s="151"/>
      <c r="AC1259" s="151"/>
      <c r="AD1259" s="151"/>
      <c r="AE1259" s="151"/>
      <c r="AF1259" s="151"/>
      <c r="AG1259" s="151"/>
      <c r="AH1259" s="151"/>
      <c r="AI1259" s="151"/>
      <c r="AJ1259" s="151"/>
      <c r="AK1259" s="151"/>
      <c r="AL1259" s="151"/>
      <c r="AM1259" s="151"/>
      <c r="AN1259" s="151"/>
      <c r="AO1259" s="151"/>
      <c r="AP1259" s="151"/>
      <c r="AQ1259" s="151"/>
      <c r="AR1259" s="151"/>
      <c r="AS1259" s="151"/>
      <c r="AT1259" s="151"/>
      <c r="AU1259" s="151"/>
      <c r="AV1259" s="151"/>
      <c r="AW1259" s="151"/>
      <c r="AX1259" s="151"/>
      <c r="AY1259" s="151"/>
      <c r="AZ1259" s="151"/>
      <c r="BA1259" s="151"/>
      <c r="BB1259" s="151"/>
      <c r="BC1259" s="151"/>
      <c r="BD1259" s="354"/>
      <c r="BE1259" s="354"/>
    </row>
    <row r="1260" spans="1:57" hidden="1">
      <c r="A1260" s="93"/>
      <c r="B1260" s="93"/>
      <c r="C1260" s="37" t="s">
        <v>38</v>
      </c>
      <c r="D1260" s="41" t="e">
        <f>#REF!+#REF!+#REF!+#REF!+#REF!+#REF!+#REF!+#REF!+#REF!+#REF!+#REF!+#REF!+#REF!+#REF!</f>
        <v>#REF!</v>
      </c>
      <c r="E1260" s="339"/>
      <c r="F1260" s="339"/>
      <c r="G1260" s="339"/>
      <c r="H1260" s="16"/>
      <c r="I1260" s="16"/>
      <c r="J1260" s="16"/>
      <c r="K1260" s="151"/>
      <c r="L1260" s="151"/>
      <c r="M1260" s="151"/>
      <c r="N1260" s="151"/>
      <c r="O1260" s="151"/>
      <c r="P1260" s="151"/>
      <c r="Q1260" s="151"/>
      <c r="R1260" s="151"/>
      <c r="S1260" s="151"/>
      <c r="T1260" s="151"/>
      <c r="U1260" s="151"/>
      <c r="V1260" s="151"/>
      <c r="W1260" s="151"/>
      <c r="X1260" s="151"/>
      <c r="Y1260" s="151"/>
      <c r="Z1260" s="151"/>
      <c r="AA1260" s="151"/>
      <c r="AB1260" s="151"/>
      <c r="AC1260" s="151"/>
      <c r="AD1260" s="151"/>
      <c r="AE1260" s="151"/>
      <c r="AF1260" s="151"/>
      <c r="AG1260" s="151"/>
      <c r="AH1260" s="151"/>
      <c r="AI1260" s="151"/>
      <c r="AJ1260" s="151"/>
      <c r="AK1260" s="151"/>
      <c r="AL1260" s="151"/>
      <c r="AM1260" s="151"/>
      <c r="AN1260" s="151"/>
      <c r="AO1260" s="151"/>
      <c r="AP1260" s="151"/>
      <c r="AQ1260" s="151"/>
      <c r="AR1260" s="151"/>
      <c r="AS1260" s="151"/>
      <c r="AT1260" s="151"/>
      <c r="AU1260" s="151"/>
      <c r="AV1260" s="151"/>
      <c r="AW1260" s="151"/>
      <c r="AX1260" s="151"/>
      <c r="AY1260" s="151"/>
      <c r="AZ1260" s="151"/>
      <c r="BA1260" s="151"/>
      <c r="BB1260" s="151"/>
      <c r="BC1260" s="151"/>
      <c r="BD1260" s="354"/>
      <c r="BE1260" s="354"/>
    </row>
    <row r="1261" spans="1:57" hidden="1">
      <c r="A1261" s="93"/>
      <c r="B1261" s="93"/>
      <c r="C1261" s="37" t="s">
        <v>646</v>
      </c>
      <c r="D1261" s="41" t="e">
        <f>#REF!+#REF!+#REF!+#REF!+#REF!+#REF!+#REF!+#REF!+#REF!+#REF!</f>
        <v>#REF!</v>
      </c>
      <c r="E1261" s="339"/>
      <c r="F1261" s="339"/>
      <c r="G1261" s="339"/>
      <c r="H1261" s="16"/>
      <c r="I1261" s="16"/>
      <c r="J1261" s="16"/>
      <c r="K1261" s="151"/>
      <c r="L1261" s="151"/>
      <c r="M1261" s="151"/>
      <c r="N1261" s="151"/>
      <c r="O1261" s="151"/>
      <c r="P1261" s="151"/>
      <c r="Q1261" s="151"/>
      <c r="R1261" s="151"/>
      <c r="S1261" s="151"/>
      <c r="T1261" s="151"/>
      <c r="U1261" s="151"/>
      <c r="V1261" s="151"/>
      <c r="W1261" s="151"/>
      <c r="X1261" s="151"/>
      <c r="Y1261" s="151"/>
      <c r="Z1261" s="151"/>
      <c r="AA1261" s="151"/>
      <c r="AB1261" s="151"/>
      <c r="AC1261" s="151"/>
      <c r="AD1261" s="151"/>
      <c r="AE1261" s="151"/>
      <c r="AF1261" s="151"/>
      <c r="AG1261" s="151"/>
      <c r="AH1261" s="151"/>
      <c r="AI1261" s="151"/>
      <c r="AJ1261" s="151"/>
      <c r="AK1261" s="151"/>
      <c r="AL1261" s="151"/>
      <c r="AM1261" s="151"/>
      <c r="AN1261" s="151"/>
      <c r="AO1261" s="151"/>
      <c r="AP1261" s="151"/>
      <c r="AQ1261" s="151"/>
      <c r="AR1261" s="151"/>
      <c r="AS1261" s="151"/>
      <c r="AT1261" s="151"/>
      <c r="AU1261" s="151"/>
      <c r="AV1261" s="151"/>
      <c r="AW1261" s="151"/>
      <c r="AX1261" s="151"/>
      <c r="AY1261" s="151"/>
      <c r="AZ1261" s="151"/>
      <c r="BA1261" s="151"/>
      <c r="BB1261" s="151"/>
      <c r="BC1261" s="151"/>
      <c r="BD1261" s="354"/>
      <c r="BE1261" s="354"/>
    </row>
    <row r="1262" spans="1:57" hidden="1">
      <c r="A1262" s="93"/>
      <c r="B1262" s="93"/>
      <c r="C1262" s="37" t="s">
        <v>388</v>
      </c>
      <c r="D1262" s="41" t="e">
        <f>#REF!+#REF!+#REF!+#REF!+#REF!+#REF!+#REF!+#REF!+#REF!+#REF!+#REF!+#REF!+#REF!+#REF!+#REF!+#REF!+#REF!+#REF!+#REF!+#REF!+#REF!+#REF!+#REF!+#REF!</f>
        <v>#REF!</v>
      </c>
      <c r="E1262" s="339"/>
      <c r="F1262" s="339"/>
      <c r="G1262" s="339"/>
      <c r="H1262" s="16"/>
      <c r="I1262" s="16"/>
      <c r="J1262" s="16"/>
      <c r="K1262" s="151"/>
      <c r="L1262" s="151"/>
      <c r="M1262" s="151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  <c r="X1262" s="151"/>
      <c r="Y1262" s="151"/>
      <c r="Z1262" s="151"/>
      <c r="AA1262" s="151"/>
      <c r="AB1262" s="151"/>
      <c r="AC1262" s="151"/>
      <c r="AD1262" s="151"/>
      <c r="AE1262" s="151"/>
      <c r="AF1262" s="151"/>
      <c r="AG1262" s="151"/>
      <c r="AH1262" s="151"/>
      <c r="AI1262" s="151"/>
      <c r="AJ1262" s="151"/>
      <c r="AK1262" s="151"/>
      <c r="AL1262" s="151"/>
      <c r="AM1262" s="151"/>
      <c r="AN1262" s="151"/>
      <c r="AO1262" s="151"/>
      <c r="AP1262" s="151"/>
      <c r="AQ1262" s="151"/>
      <c r="AR1262" s="151"/>
      <c r="AS1262" s="151"/>
      <c r="AT1262" s="151"/>
      <c r="AU1262" s="151"/>
      <c r="AV1262" s="151"/>
      <c r="AW1262" s="151"/>
      <c r="AX1262" s="151"/>
      <c r="AY1262" s="151"/>
      <c r="AZ1262" s="151"/>
      <c r="BA1262" s="151"/>
      <c r="BB1262" s="151"/>
      <c r="BC1262" s="151"/>
      <c r="BD1262" s="354"/>
      <c r="BE1262" s="354"/>
    </row>
    <row r="1263" spans="1:57" hidden="1">
      <c r="A1263" s="93"/>
      <c r="B1263" s="93"/>
      <c r="C1263" s="37" t="s">
        <v>986</v>
      </c>
      <c r="D1263" s="41" t="e">
        <f>#REF!+#REF!</f>
        <v>#REF!</v>
      </c>
      <c r="E1263" s="339"/>
      <c r="F1263" s="339"/>
      <c r="G1263" s="339"/>
      <c r="H1263" s="16"/>
      <c r="I1263" s="16"/>
      <c r="J1263" s="16"/>
      <c r="K1263" s="151"/>
      <c r="L1263" s="151"/>
      <c r="M1263" s="151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  <c r="X1263" s="151"/>
      <c r="Y1263" s="151"/>
      <c r="Z1263" s="151"/>
      <c r="AA1263" s="151"/>
      <c r="AB1263" s="151"/>
      <c r="AC1263" s="151"/>
      <c r="AD1263" s="151"/>
      <c r="AE1263" s="151"/>
      <c r="AF1263" s="151"/>
      <c r="AG1263" s="151"/>
      <c r="AH1263" s="151"/>
      <c r="AI1263" s="151"/>
      <c r="AJ1263" s="151"/>
      <c r="AK1263" s="151"/>
      <c r="AL1263" s="151"/>
      <c r="AM1263" s="151"/>
      <c r="AN1263" s="151"/>
      <c r="AO1263" s="151"/>
      <c r="AP1263" s="151"/>
      <c r="AQ1263" s="151"/>
      <c r="AR1263" s="151"/>
      <c r="AS1263" s="151"/>
      <c r="AT1263" s="151"/>
      <c r="AU1263" s="151"/>
      <c r="AV1263" s="151"/>
      <c r="AW1263" s="151"/>
      <c r="AX1263" s="151"/>
      <c r="AY1263" s="151"/>
      <c r="AZ1263" s="151"/>
      <c r="BA1263" s="151"/>
      <c r="BB1263" s="151"/>
      <c r="BC1263" s="151"/>
      <c r="BD1263" s="354"/>
      <c r="BE1263" s="354"/>
    </row>
    <row r="1264" spans="1:57" ht="15.75" hidden="1">
      <c r="A1264" s="93"/>
      <c r="B1264" s="93"/>
      <c r="C1264" s="335" t="s">
        <v>1052</v>
      </c>
      <c r="D1264" s="336" t="e">
        <f>SUM(D1259:D1263)</f>
        <v>#REF!</v>
      </c>
      <c r="E1264" s="341"/>
      <c r="F1264" s="341"/>
      <c r="G1264" s="341"/>
      <c r="H1264" s="16"/>
      <c r="I1264" s="16"/>
      <c r="J1264" s="16"/>
      <c r="K1264" s="151"/>
      <c r="L1264" s="151"/>
      <c r="M1264" s="151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  <c r="X1264" s="151"/>
      <c r="Y1264" s="151"/>
      <c r="Z1264" s="151"/>
      <c r="AA1264" s="151"/>
      <c r="AB1264" s="151"/>
      <c r="AC1264" s="151"/>
      <c r="AD1264" s="151"/>
      <c r="AE1264" s="151"/>
      <c r="AF1264" s="151"/>
      <c r="AG1264" s="151"/>
      <c r="AH1264" s="151"/>
      <c r="AI1264" s="151"/>
      <c r="AJ1264" s="151"/>
      <c r="AK1264" s="151"/>
      <c r="AL1264" s="151"/>
      <c r="AM1264" s="151"/>
      <c r="AN1264" s="151"/>
      <c r="AO1264" s="151"/>
      <c r="AP1264" s="151"/>
      <c r="AQ1264" s="151"/>
      <c r="AR1264" s="151"/>
      <c r="AS1264" s="151"/>
      <c r="AT1264" s="151"/>
      <c r="AU1264" s="151"/>
      <c r="AV1264" s="151"/>
      <c r="AW1264" s="151"/>
      <c r="AX1264" s="151"/>
      <c r="AY1264" s="151"/>
      <c r="AZ1264" s="151"/>
      <c r="BA1264" s="151"/>
      <c r="BB1264" s="151"/>
      <c r="BC1264" s="151"/>
      <c r="BD1264" s="354"/>
      <c r="BE1264" s="354"/>
    </row>
    <row r="1265" spans="1:57" ht="15.75" hidden="1">
      <c r="A1265" s="93"/>
      <c r="B1265" s="93"/>
      <c r="C1265" s="343"/>
      <c r="D1265" s="344"/>
      <c r="E1265" s="344"/>
      <c r="F1265" s="344"/>
      <c r="G1265" s="344"/>
      <c r="H1265" s="16"/>
      <c r="I1265" s="16"/>
      <c r="J1265" s="16"/>
      <c r="K1265" s="151"/>
      <c r="L1265" s="151"/>
      <c r="M1265" s="151"/>
      <c r="N1265" s="151"/>
      <c r="O1265" s="151"/>
      <c r="P1265" s="151"/>
      <c r="Q1265" s="208"/>
      <c r="R1265" s="151"/>
      <c r="S1265" s="151"/>
      <c r="T1265" s="304"/>
      <c r="U1265" s="151"/>
      <c r="V1265" s="151"/>
      <c r="W1265" s="151"/>
      <c r="X1265" s="151"/>
      <c r="Y1265" s="312"/>
      <c r="Z1265" s="151"/>
      <c r="AA1265" s="151"/>
      <c r="AB1265" s="151"/>
      <c r="AC1265" s="151"/>
      <c r="AD1265" s="151"/>
      <c r="AE1265" s="295">
        <v>42469960621</v>
      </c>
      <c r="AF1265" s="295"/>
      <c r="AG1265" s="208">
        <v>15245124184</v>
      </c>
      <c r="AH1265" s="208"/>
      <c r="AI1265" s="208"/>
      <c r="AJ1265" s="208"/>
      <c r="AK1265" s="151"/>
      <c r="AL1265" s="151"/>
      <c r="AM1265" s="208"/>
      <c r="AN1265" s="208"/>
      <c r="AO1265" s="208"/>
      <c r="AP1265" s="208"/>
      <c r="AQ1265" s="151"/>
      <c r="AR1265" s="151"/>
      <c r="AS1265" s="151"/>
      <c r="AT1265" s="151"/>
      <c r="AU1265" s="151"/>
      <c r="AV1265" s="151"/>
      <c r="AW1265" s="151"/>
      <c r="AX1265" s="151"/>
      <c r="AY1265" s="151"/>
      <c r="AZ1265" s="151"/>
      <c r="BA1265" s="151"/>
      <c r="BB1265" s="151"/>
      <c r="BC1265" s="151"/>
      <c r="BD1265" s="354"/>
      <c r="BE1265" s="354"/>
    </row>
    <row r="1266" spans="1:57" ht="37.5" hidden="1" customHeight="1">
      <c r="A1266" s="93"/>
      <c r="B1266" s="93"/>
      <c r="C1266" s="337"/>
      <c r="D1266" s="338"/>
      <c r="E1266" s="338"/>
      <c r="F1266" s="338"/>
      <c r="G1266" s="338"/>
      <c r="H1266" s="16"/>
      <c r="I1266" s="16"/>
      <c r="J1266" s="16"/>
      <c r="K1266" s="208"/>
      <c r="L1266" s="208"/>
      <c r="M1266" s="151"/>
      <c r="N1266" s="151"/>
      <c r="O1266" s="151"/>
      <c r="P1266" s="208"/>
      <c r="Q1266" s="151"/>
      <c r="R1266" s="151"/>
      <c r="S1266" s="151"/>
      <c r="T1266" s="313" t="s">
        <v>1729</v>
      </c>
      <c r="U1266" s="151"/>
      <c r="V1266" s="151"/>
      <c r="W1266" s="151"/>
      <c r="X1266" s="151"/>
      <c r="Y1266" s="313" t="s">
        <v>1730</v>
      </c>
      <c r="Z1266" s="151"/>
      <c r="AA1266" s="314" t="s">
        <v>1731</v>
      </c>
      <c r="AB1266" s="314"/>
      <c r="AC1266" s="208"/>
      <c r="AD1266" s="93"/>
      <c r="AE1266" s="208">
        <v>37391473410</v>
      </c>
      <c r="AF1266" s="208"/>
      <c r="AG1266" s="208" t="e">
        <f>AG1265-#REF!</f>
        <v>#REF!</v>
      </c>
      <c r="AH1266" s="208"/>
      <c r="AI1266" s="208"/>
      <c r="AJ1266" s="208"/>
      <c r="AK1266" s="151"/>
      <c r="AL1266" s="151"/>
      <c r="AM1266" s="151"/>
      <c r="AN1266" s="151"/>
      <c r="AO1266" s="208">
        <f>AO1265-AO1236</f>
        <v>-398</v>
      </c>
      <c r="AP1266" s="151">
        <v>354</v>
      </c>
      <c r="AQ1266" s="151">
        <f>354-382</f>
        <v>-28</v>
      </c>
      <c r="AR1266" s="151"/>
      <c r="AS1266" s="151"/>
      <c r="AT1266" s="208">
        <f>AM430-415</f>
        <v>-197</v>
      </c>
      <c r="AU1266" s="208"/>
      <c r="AV1266" s="151"/>
      <c r="AW1266" s="151"/>
      <c r="AX1266" s="151"/>
      <c r="AY1266" s="151"/>
      <c r="AZ1266" s="151"/>
      <c r="BA1266" s="151"/>
      <c r="BB1266" s="151"/>
      <c r="BC1266" s="151"/>
      <c r="BD1266" s="354"/>
      <c r="BE1266" s="354"/>
    </row>
    <row r="1267" spans="1:57" hidden="1">
      <c r="A1267" s="93" t="s">
        <v>1721</v>
      </c>
      <c r="B1267" s="93"/>
      <c r="C1267" s="337"/>
      <c r="D1267" s="339"/>
      <c r="E1267" s="339"/>
      <c r="F1267" s="339"/>
      <c r="G1267" s="339"/>
      <c r="H1267" s="16"/>
      <c r="I1267" s="16"/>
      <c r="J1267" s="16"/>
      <c r="K1267" s="151"/>
      <c r="L1267" s="151"/>
      <c r="M1267" s="151"/>
      <c r="N1267" s="151"/>
      <c r="O1267" s="151"/>
      <c r="P1267" s="151"/>
      <c r="Q1267" s="303"/>
      <c r="R1267" s="151"/>
      <c r="S1267" s="151"/>
      <c r="T1267" s="208">
        <f>2423845500+T129+T130+T234+T235+T236+T294+T328+T330+T331+T332+T410+T586+T589+T592+T595+T637+T638+T687+T826+T832+T849+T1093+T1156+T1157</f>
        <v>22779766647</v>
      </c>
      <c r="U1267" s="151"/>
      <c r="V1267" s="151"/>
      <c r="W1267" s="151"/>
      <c r="X1267" s="151"/>
      <c r="Y1267" s="208">
        <f>Y79+Y80+Y87+Y124+Y128+Y231+Y322+Y323+Y438+Y568+Y570+Y577+Y578+Y737+Y1017+Y1134</f>
        <v>16101646658</v>
      </c>
      <c r="Z1267" s="151"/>
      <c r="AA1267" s="427">
        <f>T1267+Y1267</f>
        <v>38881413305</v>
      </c>
      <c r="AB1267" s="427"/>
      <c r="AC1267" s="282" t="s">
        <v>1548</v>
      </c>
      <c r="AD1267" s="151"/>
      <c r="AE1267" s="295">
        <v>37421476410</v>
      </c>
      <c r="AF1267" s="295"/>
      <c r="AG1267" s="295"/>
      <c r="AH1267" s="295"/>
      <c r="AI1267" s="295"/>
      <c r="AJ1267" s="295"/>
      <c r="AK1267" s="151"/>
      <c r="AL1267" s="151"/>
      <c r="AM1267" s="151"/>
      <c r="AN1267" s="151"/>
      <c r="AO1267" s="151"/>
      <c r="AP1267" s="151"/>
      <c r="AQ1267" s="151"/>
      <c r="AR1267" s="151"/>
      <c r="AS1267" s="151"/>
      <c r="AT1267" s="151"/>
      <c r="AU1267" s="151"/>
      <c r="AV1267" s="151"/>
      <c r="AW1267" s="151"/>
      <c r="AX1267" s="151"/>
      <c r="AY1267" s="151"/>
      <c r="AZ1267" s="151"/>
      <c r="BA1267" s="151"/>
      <c r="BB1267" s="151"/>
      <c r="BC1267" s="151"/>
      <c r="BD1267" s="354"/>
      <c r="BE1267" s="354"/>
    </row>
    <row r="1268" spans="1:57" hidden="1">
      <c r="A1268" s="93" t="s">
        <v>1719</v>
      </c>
      <c r="B1268" s="93"/>
      <c r="C1268" s="337"/>
      <c r="D1268" s="339"/>
      <c r="E1268" s="339"/>
      <c r="F1268" s="339"/>
      <c r="G1268" s="339"/>
      <c r="H1268" s="16"/>
      <c r="I1268" s="16"/>
      <c r="J1268" s="16"/>
      <c r="K1268" s="151"/>
      <c r="L1268" s="151"/>
      <c r="M1268" s="151"/>
      <c r="N1268" s="151"/>
      <c r="O1268" s="151"/>
      <c r="P1268" s="151"/>
      <c r="Q1268" s="303"/>
      <c r="R1268" s="151"/>
      <c r="S1268" s="151"/>
      <c r="T1268" s="208">
        <f>T91+T96+T160+T715</f>
        <v>9162059716</v>
      </c>
      <c r="U1268" s="151"/>
      <c r="V1268" s="151"/>
      <c r="W1268" s="151"/>
      <c r="X1268" s="151"/>
      <c r="Y1268" s="208">
        <f>Y84+Y159+Y230+Y233+Y292+Y345+Y456+Y566+Y658+Y663+Y664+Y712</f>
        <v>9238902401</v>
      </c>
      <c r="Z1268" s="151"/>
      <c r="AA1268" s="427">
        <f t="shared" ref="AA1268:AA1277" si="194">T1268+Y1268</f>
        <v>18400962117</v>
      </c>
      <c r="AB1268" s="427"/>
      <c r="AC1268" s="208"/>
      <c r="AD1268" s="151"/>
      <c r="AE1268" s="208">
        <f>+AE1267-AE1266</f>
        <v>30003000</v>
      </c>
      <c r="AF1268" s="208"/>
      <c r="AG1268" s="208"/>
      <c r="AH1268" s="208"/>
      <c r="AI1268" s="208"/>
      <c r="AJ1268" s="208"/>
      <c r="AK1268" s="151"/>
      <c r="AL1268" s="151"/>
      <c r="AM1268" s="151"/>
      <c r="AN1268" s="151"/>
      <c r="AO1268" s="151"/>
      <c r="AP1268" s="151"/>
      <c r="AQ1268" s="151"/>
      <c r="AR1268" s="151"/>
      <c r="AS1268" s="151"/>
      <c r="AT1268" s="151"/>
      <c r="AU1268" s="151"/>
      <c r="AV1268" s="151"/>
      <c r="AW1268" s="151"/>
      <c r="AX1268" s="151"/>
      <c r="AY1268" s="151"/>
      <c r="AZ1268" s="151"/>
      <c r="BA1268" s="151"/>
      <c r="BB1268" s="151"/>
      <c r="BC1268" s="151"/>
      <c r="BD1268" s="354"/>
      <c r="BE1268" s="354"/>
    </row>
    <row r="1269" spans="1:57" hidden="1">
      <c r="A1269" s="93" t="s">
        <v>1720</v>
      </c>
      <c r="B1269" s="93"/>
      <c r="C1269" s="337"/>
      <c r="D1269" s="339"/>
      <c r="E1269" s="339"/>
      <c r="F1269" s="339"/>
      <c r="G1269" s="339"/>
      <c r="H1269" s="16"/>
      <c r="I1269" s="16"/>
      <c r="J1269" s="16"/>
      <c r="K1269" s="151"/>
      <c r="L1269" s="151"/>
      <c r="M1269" s="151"/>
      <c r="N1269" s="151"/>
      <c r="O1269" s="151"/>
      <c r="P1269" s="151"/>
      <c r="Q1269" s="151"/>
      <c r="R1269" s="151"/>
      <c r="S1269" s="151"/>
      <c r="T1269" s="208">
        <f>T41+T240+T243+T596+T669</f>
        <v>7673651471</v>
      </c>
      <c r="U1269" s="151"/>
      <c r="V1269" s="151"/>
      <c r="W1269" s="151"/>
      <c r="X1269" s="151"/>
      <c r="Y1269" s="208">
        <f>Y81+Y85+Y127+Y367+Y579+Y580+Y583</f>
        <v>20572850031</v>
      </c>
      <c r="Z1269" s="151"/>
      <c r="AA1269" s="427">
        <f t="shared" si="194"/>
        <v>28246501502</v>
      </c>
      <c r="AB1269" s="427"/>
      <c r="AC1269" s="208"/>
      <c r="AD1269" s="151"/>
      <c r="AE1269" s="208"/>
      <c r="AF1269" s="208"/>
      <c r="AG1269" s="208"/>
      <c r="AH1269" s="208"/>
      <c r="AI1269" s="208"/>
      <c r="AJ1269" s="208"/>
      <c r="AK1269" s="151"/>
      <c r="AL1269" s="151"/>
      <c r="AM1269" s="151"/>
      <c r="AN1269" s="151"/>
      <c r="AO1269" s="151"/>
      <c r="AP1269" s="151"/>
      <c r="AQ1269" s="151"/>
      <c r="AR1269" s="151"/>
      <c r="AS1269" s="151"/>
      <c r="AT1269" s="151"/>
      <c r="AU1269" s="151"/>
      <c r="AV1269" s="151"/>
      <c r="AW1269" s="151"/>
      <c r="AX1269" s="151"/>
      <c r="AY1269" s="151"/>
      <c r="AZ1269" s="151"/>
      <c r="BA1269" s="151"/>
      <c r="BB1269" s="151"/>
      <c r="BC1269" s="151"/>
      <c r="BD1269" s="354"/>
      <c r="BE1269" s="354"/>
    </row>
    <row r="1270" spans="1:57" ht="15.75" hidden="1">
      <c r="A1270" s="93" t="s">
        <v>1722</v>
      </c>
      <c r="B1270" s="93"/>
      <c r="C1270" s="340"/>
      <c r="D1270" s="341"/>
      <c r="E1270" s="341"/>
      <c r="F1270" s="341"/>
      <c r="G1270" s="341"/>
      <c r="H1270" s="16"/>
      <c r="I1270" s="16"/>
      <c r="J1270" s="16"/>
      <c r="K1270" s="151"/>
      <c r="L1270" s="151"/>
      <c r="M1270" s="151"/>
      <c r="N1270" s="151"/>
      <c r="O1270" s="151"/>
      <c r="P1270" s="151"/>
      <c r="Q1270" s="151"/>
      <c r="R1270" s="151"/>
      <c r="S1270" s="151"/>
      <c r="T1270" s="208">
        <f>T44+T76+T94+T241+T369+T370+T597+T599+T600+T668+T751+61288248+T1083+T1087+T1144+T1149+T1151+T1152</f>
        <v>17608332860</v>
      </c>
      <c r="U1270" s="151"/>
      <c r="V1270" s="151"/>
      <c r="W1270" s="151"/>
      <c r="X1270" s="151"/>
      <c r="Y1270" s="208">
        <f>Y89+Y92+Y93+Y293+Y319+Y327+Y525+Y561+Y590+Y638+Y665+Y1090</f>
        <v>12902530860</v>
      </c>
      <c r="Z1270" s="151"/>
      <c r="AA1270" s="427">
        <f t="shared" si="194"/>
        <v>30510863720</v>
      </c>
      <c r="AB1270" s="427"/>
      <c r="AC1270" s="151"/>
      <c r="AD1270" s="151"/>
      <c r="AE1270" s="208"/>
      <c r="AF1270" s="208"/>
      <c r="AG1270" s="208"/>
      <c r="AH1270" s="208"/>
      <c r="AI1270" s="208"/>
      <c r="AJ1270" s="208"/>
      <c r="AK1270" s="151"/>
      <c r="AL1270" s="151"/>
      <c r="AM1270" s="151"/>
      <c r="AN1270" s="151"/>
      <c r="AO1270" s="151"/>
      <c r="AP1270" s="151"/>
      <c r="AQ1270" s="151"/>
      <c r="AR1270" s="151"/>
      <c r="AS1270" s="151"/>
      <c r="AT1270" s="151"/>
      <c r="AU1270" s="151"/>
      <c r="AV1270" s="151"/>
      <c r="AW1270" s="151"/>
      <c r="AX1270" s="151"/>
      <c r="AY1270" s="151"/>
      <c r="AZ1270" s="151"/>
      <c r="BA1270" s="151"/>
      <c r="BB1270" s="151"/>
      <c r="BC1270" s="151"/>
      <c r="BD1270" s="354"/>
      <c r="BE1270" s="208"/>
    </row>
    <row r="1271" spans="1:57" hidden="1">
      <c r="A1271" s="93" t="s">
        <v>1723</v>
      </c>
      <c r="B1271" s="93"/>
      <c r="C1271" s="151"/>
      <c r="D1271" s="26"/>
      <c r="E1271" s="26"/>
      <c r="F1271" s="26"/>
      <c r="G1271" s="26"/>
      <c r="H1271" s="16"/>
      <c r="I1271" s="16"/>
      <c r="J1271" s="16"/>
      <c r="K1271" s="151"/>
      <c r="L1271" s="151"/>
      <c r="M1271" s="151"/>
      <c r="N1271" s="151"/>
      <c r="O1271" s="151"/>
      <c r="P1271" s="151"/>
      <c r="Q1271" s="151"/>
      <c r="R1271" s="151"/>
      <c r="S1271" s="151"/>
      <c r="T1271" s="208">
        <f>T666+69314090+T847+T848+74651266</f>
        <v>2999524684</v>
      </c>
      <c r="U1271" s="151"/>
      <c r="V1271" s="151"/>
      <c r="W1271" s="151"/>
      <c r="X1271" s="151"/>
      <c r="Y1271" s="208">
        <f>Y37+Y129+Y235+Y294+Y324+Y330+Y589+Y591+Y595+Y741+Y1107</f>
        <v>7956669463</v>
      </c>
      <c r="Z1271" s="151"/>
      <c r="AA1271" s="427">
        <f t="shared" si="194"/>
        <v>10956194147</v>
      </c>
      <c r="AB1271" s="427"/>
      <c r="AC1271" s="208"/>
      <c r="AD1271" s="151"/>
      <c r="AE1271" s="208"/>
      <c r="AF1271" s="208"/>
      <c r="AG1271" s="151"/>
      <c r="AH1271" s="151"/>
      <c r="AI1271" s="151"/>
      <c r="AJ1271" s="151"/>
      <c r="AK1271" s="151"/>
      <c r="AL1271" s="151"/>
      <c r="AM1271" s="151"/>
      <c r="AN1271" s="151"/>
      <c r="AO1271" s="151"/>
      <c r="AP1271" s="151"/>
      <c r="AQ1271" s="151"/>
      <c r="AR1271" s="151"/>
      <c r="AS1271" s="151"/>
      <c r="AT1271" s="151"/>
      <c r="AU1271" s="151"/>
      <c r="AV1271" s="151"/>
      <c r="AW1271" s="151"/>
      <c r="AX1271" s="151"/>
      <c r="AY1271" s="151"/>
      <c r="AZ1271" s="151"/>
      <c r="BA1271" s="151"/>
      <c r="BB1271" s="151"/>
      <c r="BC1271" s="151"/>
      <c r="BD1271" s="354"/>
      <c r="BE1271" s="354"/>
    </row>
    <row r="1272" spans="1:57" ht="15.75" hidden="1">
      <c r="A1272" s="93" t="s">
        <v>1724</v>
      </c>
      <c r="B1272" s="93"/>
      <c r="C1272" s="343"/>
      <c r="D1272" s="344"/>
      <c r="E1272" s="344"/>
      <c r="F1272" s="344"/>
      <c r="G1272" s="344"/>
      <c r="H1272" s="16"/>
      <c r="I1272" s="16"/>
      <c r="J1272" s="16"/>
      <c r="K1272" s="151"/>
      <c r="L1272" s="151"/>
      <c r="M1272" s="151"/>
      <c r="N1272" s="151"/>
      <c r="O1272" s="151"/>
      <c r="P1272" s="151"/>
      <c r="Q1272" s="151"/>
      <c r="R1272" s="151"/>
      <c r="S1272" s="151"/>
      <c r="T1272" s="208">
        <f>-2177464950+T242+T1082+80277356+T1142+T1146</f>
        <v>-1854785068</v>
      </c>
      <c r="U1272" s="151"/>
      <c r="V1272" s="151"/>
      <c r="W1272" s="151"/>
      <c r="X1272" s="151"/>
      <c r="Y1272" s="208">
        <f>Y130+Y160+Y234+Y236+Y243+Y325+Y332+Y586+Y592+Y596+Y662</f>
        <v>10631964958</v>
      </c>
      <c r="Z1272" s="151"/>
      <c r="AA1272" s="427">
        <f t="shared" si="194"/>
        <v>8777179890</v>
      </c>
      <c r="AB1272" s="427"/>
      <c r="AC1272" s="151"/>
      <c r="AD1272" s="151"/>
      <c r="AE1272" s="151"/>
      <c r="AF1272" s="151"/>
      <c r="AG1272" s="151"/>
      <c r="AH1272" s="151"/>
      <c r="AI1272" s="151"/>
      <c r="AJ1272" s="151"/>
      <c r="AK1272" s="151"/>
      <c r="AL1272" s="151"/>
      <c r="AM1272" s="151"/>
      <c r="AN1272" s="151"/>
      <c r="AO1272" s="151"/>
      <c r="AP1272" s="151"/>
      <c r="AQ1272" s="151"/>
      <c r="AR1272" s="151"/>
      <c r="AS1272" s="151"/>
      <c r="AT1272" s="151"/>
      <c r="AU1272" s="151"/>
      <c r="AV1272" s="151"/>
      <c r="AW1272" s="151"/>
      <c r="AX1272" s="151"/>
      <c r="AY1272" s="151"/>
      <c r="AZ1272" s="151"/>
      <c r="BA1272" s="151"/>
      <c r="BB1272" s="151"/>
      <c r="BC1272" s="151"/>
      <c r="BD1272" s="354"/>
      <c r="BE1272" s="354"/>
    </row>
    <row r="1273" spans="1:57" hidden="1">
      <c r="A1273" s="93" t="s">
        <v>1727</v>
      </c>
      <c r="B1273" s="93"/>
      <c r="C1273" s="337"/>
      <c r="D1273" s="338"/>
      <c r="E1273" s="338"/>
      <c r="F1273" s="338"/>
      <c r="G1273" s="338"/>
      <c r="H1273" s="16"/>
      <c r="I1273" s="16"/>
      <c r="J1273" s="16"/>
      <c r="K1273" s="151"/>
      <c r="L1273" s="151"/>
      <c r="M1273" s="151"/>
      <c r="N1273" s="151"/>
      <c r="O1273" s="151"/>
      <c r="P1273" s="151"/>
      <c r="Q1273" s="151"/>
      <c r="R1273" s="208"/>
      <c r="S1273" s="151"/>
      <c r="T1273" s="208">
        <f>2137067525</f>
        <v>2137067525</v>
      </c>
      <c r="U1273" s="151"/>
      <c r="V1273" s="151"/>
      <c r="W1273" s="151"/>
      <c r="X1273" s="151"/>
      <c r="Y1273" s="208">
        <f>Y32+Y91+Y94+Y149+Y240+Y331+Y410+142931705+Y635+Y708+Y714</f>
        <v>11886631179</v>
      </c>
      <c r="Z1273" s="151"/>
      <c r="AA1273" s="427">
        <f t="shared" si="194"/>
        <v>14023698704</v>
      </c>
      <c r="AB1273" s="427"/>
      <c r="AC1273" s="151"/>
      <c r="AD1273" s="151"/>
      <c r="AE1273" s="151"/>
      <c r="AF1273" s="151"/>
      <c r="AG1273" s="151"/>
      <c r="AH1273" s="151"/>
      <c r="AI1273" s="151"/>
      <c r="AJ1273" s="151"/>
      <c r="AK1273" s="151"/>
      <c r="AL1273" s="151"/>
      <c r="AM1273" s="151"/>
      <c r="AN1273" s="151"/>
      <c r="AO1273" s="151"/>
      <c r="AP1273" s="151"/>
      <c r="AQ1273" s="151"/>
      <c r="AR1273" s="151"/>
      <c r="AS1273" s="151"/>
      <c r="AT1273" s="151"/>
      <c r="AU1273" s="151"/>
      <c r="AV1273" s="151"/>
      <c r="AW1273" s="151"/>
      <c r="AX1273" s="151"/>
      <c r="AY1273" s="151"/>
      <c r="AZ1273" s="151"/>
      <c r="BA1273" s="151"/>
      <c r="BB1273" s="151"/>
      <c r="BC1273" s="151"/>
      <c r="BD1273" s="354"/>
      <c r="BE1273" s="354"/>
    </row>
    <row r="1274" spans="1:57" hidden="1">
      <c r="A1274" s="93" t="s">
        <v>1728</v>
      </c>
      <c r="B1274" s="93"/>
      <c r="C1274" s="337"/>
      <c r="D1274" s="339"/>
      <c r="E1274" s="339"/>
      <c r="F1274" s="339"/>
      <c r="G1274" s="339"/>
      <c r="H1274" s="16"/>
      <c r="I1274" s="16"/>
      <c r="J1274" s="16"/>
      <c r="K1274" s="151"/>
      <c r="L1274" s="151"/>
      <c r="M1274" s="151"/>
      <c r="N1274" s="151"/>
      <c r="O1274" s="151"/>
      <c r="P1274" s="151"/>
      <c r="Q1274" s="151"/>
      <c r="R1274" s="151"/>
      <c r="S1274" s="151"/>
      <c r="T1274" s="208">
        <f>-80277356</f>
        <v>-80277356</v>
      </c>
      <c r="U1274" s="151"/>
      <c r="V1274" s="151"/>
      <c r="W1274" s="151"/>
      <c r="X1274" s="151"/>
      <c r="Y1274" s="208">
        <f>-142931705</f>
        <v>-142931705</v>
      </c>
      <c r="Z1274" s="151"/>
      <c r="AA1274" s="427">
        <f t="shared" si="194"/>
        <v>-223209061</v>
      </c>
      <c r="AB1274" s="427"/>
      <c r="AC1274" s="151"/>
      <c r="AD1274" s="151"/>
      <c r="AE1274" s="151"/>
      <c r="AF1274" s="151"/>
      <c r="AG1274" s="151"/>
      <c r="AH1274" s="151"/>
      <c r="AI1274" s="151"/>
      <c r="AJ1274" s="151"/>
      <c r="AK1274" s="151"/>
      <c r="AL1274" s="151"/>
      <c r="AM1274" s="151"/>
      <c r="AN1274" s="151"/>
      <c r="AO1274" s="151"/>
      <c r="AP1274" s="151"/>
      <c r="AQ1274" s="151"/>
      <c r="AR1274" s="151"/>
      <c r="AS1274" s="151"/>
      <c r="AT1274" s="151"/>
      <c r="AU1274" s="151"/>
      <c r="AV1274" s="151"/>
      <c r="AW1274" s="151"/>
      <c r="AX1274" s="151"/>
      <c r="AY1274" s="151"/>
      <c r="AZ1274" s="151"/>
      <c r="BA1274" s="151"/>
      <c r="BB1274" s="151"/>
      <c r="BC1274" s="151"/>
      <c r="BD1274" s="354"/>
      <c r="BE1274" s="354"/>
    </row>
    <row r="1275" spans="1:57" hidden="1">
      <c r="A1275" s="93" t="s">
        <v>1732</v>
      </c>
      <c r="B1275" s="93"/>
      <c r="C1275" s="337"/>
      <c r="D1275" s="339"/>
      <c r="E1275" s="339"/>
      <c r="F1275" s="339"/>
      <c r="G1275" s="339"/>
      <c r="H1275" s="211"/>
      <c r="I1275" s="211"/>
      <c r="J1275" s="211"/>
      <c r="K1275" s="151"/>
      <c r="L1275" s="151"/>
      <c r="M1275" s="151"/>
      <c r="N1275" s="151"/>
      <c r="O1275" s="151"/>
      <c r="P1275" s="151"/>
      <c r="Q1275" s="151"/>
      <c r="R1275" s="151"/>
      <c r="S1275" s="151"/>
      <c r="T1275" s="151">
        <v>0</v>
      </c>
      <c r="U1275" s="151"/>
      <c r="V1275" s="48"/>
      <c r="W1275" s="48"/>
      <c r="X1275" s="48"/>
      <c r="Y1275" s="151"/>
      <c r="Z1275" s="151"/>
      <c r="AA1275" s="208">
        <f t="shared" si="194"/>
        <v>0</v>
      </c>
      <c r="AB1275" s="208"/>
      <c r="AC1275" s="151"/>
      <c r="AD1275" s="151"/>
      <c r="AE1275" s="151"/>
      <c r="AF1275" s="151"/>
      <c r="AG1275" s="151"/>
      <c r="AH1275" s="151"/>
      <c r="AI1275" s="151"/>
      <c r="AJ1275" s="151"/>
      <c r="AK1275" s="151"/>
      <c r="AL1275" s="151"/>
      <c r="AM1275" s="151"/>
      <c r="AN1275" s="151"/>
      <c r="AO1275" s="151"/>
      <c r="AP1275" s="151"/>
      <c r="AQ1275" s="151"/>
      <c r="AR1275" s="151"/>
      <c r="AS1275" s="151"/>
      <c r="AT1275" s="151"/>
      <c r="AU1275" s="151"/>
      <c r="AV1275" s="151"/>
      <c r="AW1275" s="151"/>
      <c r="AX1275" s="151"/>
      <c r="AY1275" s="151"/>
      <c r="AZ1275" s="151"/>
      <c r="BA1275" s="151"/>
      <c r="BB1275" s="151"/>
      <c r="BC1275" s="151"/>
      <c r="BD1275" s="354"/>
      <c r="BE1275" s="354"/>
    </row>
    <row r="1276" spans="1:57" hidden="1">
      <c r="A1276" s="93" t="s">
        <v>1733</v>
      </c>
      <c r="B1276" s="93"/>
      <c r="C1276" s="337"/>
      <c r="D1276" s="339"/>
      <c r="E1276" s="339"/>
      <c r="F1276" s="339"/>
      <c r="G1276" s="339"/>
      <c r="H1276" s="16"/>
      <c r="I1276" s="16"/>
      <c r="J1276" s="16"/>
      <c r="K1276" s="151"/>
      <c r="L1276" s="151"/>
      <c r="M1276" s="151"/>
      <c r="N1276" s="151"/>
      <c r="O1276" s="151"/>
      <c r="P1276" s="151"/>
      <c r="Q1276" s="151"/>
      <c r="R1276" s="151"/>
      <c r="S1276" s="151"/>
      <c r="T1276" s="151">
        <v>0</v>
      </c>
      <c r="U1276" s="151"/>
      <c r="V1276" s="32"/>
      <c r="W1276" s="32"/>
      <c r="X1276" s="32"/>
      <c r="Y1276" s="151"/>
      <c r="Z1276" s="151"/>
      <c r="AA1276" s="428">
        <f t="shared" si="194"/>
        <v>0</v>
      </c>
      <c r="AB1276" s="428"/>
      <c r="AC1276" s="208">
        <v>-6321050</v>
      </c>
      <c r="AD1276" s="151"/>
      <c r="AE1276" s="208">
        <f>AA1276-AC1276</f>
        <v>6321050</v>
      </c>
      <c r="AF1276" s="208"/>
      <c r="AG1276" s="151"/>
      <c r="AH1276" s="151"/>
      <c r="AI1276" s="151"/>
      <c r="AJ1276" s="151"/>
      <c r="AK1276" s="151"/>
      <c r="AL1276" s="151"/>
      <c r="AM1276" s="151"/>
      <c r="AN1276" s="151"/>
      <c r="AO1276" s="151"/>
      <c r="AP1276" s="151"/>
      <c r="AQ1276" s="151"/>
      <c r="AR1276" s="151"/>
      <c r="AS1276" s="151"/>
      <c r="AT1276" s="151"/>
      <c r="AU1276" s="151"/>
      <c r="AV1276" s="151"/>
      <c r="AW1276" s="151"/>
      <c r="AX1276" s="151"/>
      <c r="AY1276" s="151"/>
      <c r="AZ1276" s="151"/>
      <c r="BA1276" s="151"/>
      <c r="BB1276" s="151"/>
      <c r="BC1276" s="151"/>
      <c r="BD1276" s="354"/>
      <c r="BE1276" s="354"/>
    </row>
    <row r="1277" spans="1:57" hidden="1">
      <c r="A1277" s="93" t="s">
        <v>1734</v>
      </c>
      <c r="B1277" s="93"/>
      <c r="C1277" s="337"/>
      <c r="D1277" s="339"/>
      <c r="E1277" s="339"/>
      <c r="F1277" s="339"/>
      <c r="G1277" s="339"/>
      <c r="H1277" s="17"/>
      <c r="I1277" s="17"/>
      <c r="J1277" s="17"/>
      <c r="K1277" s="151"/>
      <c r="L1277" s="151"/>
      <c r="M1277" s="151"/>
      <c r="N1277" s="151"/>
      <c r="O1277" s="151"/>
      <c r="P1277" s="151"/>
      <c r="Q1277" s="151"/>
      <c r="R1277" s="151"/>
      <c r="S1277" s="151"/>
      <c r="T1277" s="208">
        <f>T620</f>
        <v>1229028475</v>
      </c>
      <c r="U1277" s="151"/>
      <c r="V1277" s="151"/>
      <c r="W1277" s="151"/>
      <c r="X1277" s="151"/>
      <c r="Y1277" s="151"/>
      <c r="Z1277" s="151"/>
      <c r="AA1277" s="427">
        <f t="shared" si="194"/>
        <v>1229028475</v>
      </c>
      <c r="AB1277" s="427"/>
      <c r="AC1277" s="151"/>
      <c r="AD1277" s="151"/>
      <c r="AE1277" s="151"/>
      <c r="AF1277" s="151"/>
      <c r="AG1277" s="151"/>
      <c r="AH1277" s="151"/>
      <c r="AI1277" s="151"/>
      <c r="AJ1277" s="151"/>
      <c r="AK1277" s="151"/>
      <c r="AL1277" s="151"/>
      <c r="AM1277" s="151"/>
      <c r="AN1277" s="151"/>
      <c r="AO1277" s="151"/>
      <c r="AP1277" s="151"/>
      <c r="AQ1277" s="151"/>
      <c r="AR1277" s="151"/>
      <c r="AS1277" s="151"/>
      <c r="AT1277" s="151"/>
      <c r="AU1277" s="151"/>
      <c r="AV1277" s="151"/>
      <c r="AW1277" s="151"/>
      <c r="AX1277" s="151"/>
      <c r="AY1277" s="151"/>
      <c r="AZ1277" s="151"/>
      <c r="BA1277" s="151"/>
      <c r="BB1277" s="151"/>
      <c r="BC1277" s="151"/>
      <c r="BD1277" s="354"/>
      <c r="BE1277" s="354"/>
    </row>
    <row r="1278" spans="1:57" hidden="1">
      <c r="A1278" s="93" t="s">
        <v>1748</v>
      </c>
      <c r="B1278" s="93"/>
      <c r="C1278" s="345">
        <v>150796311749</v>
      </c>
      <c r="D1278" s="339"/>
      <c r="E1278" s="339"/>
      <c r="F1278" s="339"/>
      <c r="G1278" s="339"/>
      <c r="H1278" s="16"/>
      <c r="I1278" s="16"/>
      <c r="J1278" s="16"/>
      <c r="K1278" s="151"/>
      <c r="L1278" s="151"/>
      <c r="M1278" s="151"/>
      <c r="N1278" s="151"/>
      <c r="O1278" s="151"/>
      <c r="P1278" s="151"/>
      <c r="Q1278" s="295">
        <f>SUBTOTAL(9,Q1267:Q1277)</f>
        <v>0</v>
      </c>
      <c r="R1278" s="151"/>
      <c r="S1278" s="151"/>
      <c r="T1278" s="295">
        <f>SUBTOTAL(9,T1267:T1277)</f>
        <v>0</v>
      </c>
      <c r="U1278" s="151"/>
      <c r="V1278" s="151"/>
      <c r="W1278" s="151"/>
      <c r="X1278" s="151"/>
      <c r="Y1278" s="295">
        <f>SUBTOTAL(9,Y1267:Y1277)</f>
        <v>0</v>
      </c>
      <c r="Z1278" s="151"/>
      <c r="AA1278" s="295">
        <f>SUBTOTAL(9,AA1267:AA1277)</f>
        <v>0</v>
      </c>
      <c r="AB1278" s="295"/>
      <c r="AC1278" s="151"/>
      <c r="AD1278" s="151"/>
      <c r="AE1278" s="151"/>
      <c r="AF1278" s="151"/>
      <c r="AG1278" s="151"/>
      <c r="AH1278" s="151"/>
      <c r="AI1278" s="151"/>
      <c r="AJ1278" s="151"/>
      <c r="AK1278" s="151"/>
      <c r="AL1278" s="151"/>
      <c r="AM1278" s="151"/>
      <c r="AN1278" s="151"/>
      <c r="AO1278" s="151"/>
      <c r="AP1278" s="151"/>
      <c r="AQ1278" s="151"/>
      <c r="AR1278" s="151"/>
      <c r="AS1278" s="151"/>
      <c r="AT1278" s="151"/>
      <c r="AU1278" s="151"/>
      <c r="AV1278" s="151"/>
      <c r="AW1278" s="151"/>
      <c r="AX1278" s="151"/>
      <c r="AY1278" s="151"/>
      <c r="AZ1278" s="151"/>
      <c r="BA1278" s="151"/>
      <c r="BB1278" s="151"/>
      <c r="BC1278" s="151"/>
      <c r="BD1278" s="354"/>
      <c r="BE1278" s="354"/>
    </row>
    <row r="1279" spans="1:57" hidden="1">
      <c r="A1279" s="93"/>
      <c r="B1279" s="93"/>
      <c r="C1279" s="337"/>
      <c r="D1279" s="339"/>
      <c r="E1279" s="339"/>
      <c r="F1279" s="339"/>
      <c r="G1279" s="339"/>
      <c r="H1279" s="16"/>
      <c r="I1279" s="16"/>
      <c r="J1279" s="16"/>
      <c r="K1279" s="151"/>
      <c r="L1279" s="151"/>
      <c r="M1279" s="151"/>
      <c r="N1279" s="151"/>
      <c r="O1279" s="151"/>
      <c r="P1279" s="151"/>
      <c r="Q1279" s="151"/>
      <c r="R1279" s="151"/>
      <c r="S1279" s="151"/>
      <c r="T1279" s="151"/>
      <c r="U1279" s="151"/>
      <c r="V1279" s="151"/>
      <c r="W1279" s="151"/>
      <c r="X1279" s="151"/>
      <c r="Y1279" s="151"/>
      <c r="Z1279" s="151"/>
      <c r="AA1279" s="151"/>
      <c r="AB1279" s="151"/>
      <c r="AC1279" s="151"/>
      <c r="AD1279" s="151"/>
      <c r="AE1279" s="151"/>
      <c r="AF1279" s="151"/>
      <c r="AG1279" s="151"/>
      <c r="AH1279" s="151"/>
      <c r="AI1279" s="151"/>
      <c r="AJ1279" s="151"/>
      <c r="AK1279" s="151"/>
      <c r="AL1279" s="151"/>
      <c r="AM1279" s="151"/>
      <c r="AN1279" s="151"/>
      <c r="AO1279" s="151"/>
      <c r="AP1279" s="151"/>
      <c r="AQ1279" s="151"/>
      <c r="AR1279" s="151"/>
      <c r="AS1279" s="151"/>
      <c r="AT1279" s="151"/>
      <c r="AU1279" s="151"/>
      <c r="AV1279" s="151"/>
      <c r="AW1279" s="151"/>
      <c r="AX1279" s="151"/>
      <c r="AY1279" s="151"/>
      <c r="AZ1279" s="151"/>
      <c r="BA1279" s="151"/>
      <c r="BB1279" s="151"/>
      <c r="BC1279" s="151"/>
      <c r="BD1279" s="354"/>
      <c r="BE1279" s="354"/>
    </row>
    <row r="1280" spans="1:57" ht="15.75" hidden="1">
      <c r="A1280" s="93" t="s">
        <v>1735</v>
      </c>
      <c r="B1280" s="93"/>
      <c r="C1280" s="342"/>
      <c r="D1280" s="341"/>
      <c r="E1280" s="341"/>
      <c r="F1280" s="341"/>
      <c r="G1280" s="341"/>
      <c r="H1280" s="16"/>
      <c r="I1280" s="16"/>
      <c r="J1280" s="16"/>
      <c r="K1280" s="151"/>
      <c r="L1280" s="151"/>
      <c r="M1280" s="151"/>
      <c r="N1280" s="151"/>
      <c r="O1280" s="151"/>
      <c r="P1280" s="151"/>
      <c r="Q1280" s="151"/>
      <c r="R1280" s="151"/>
      <c r="S1280" s="151"/>
      <c r="T1280" s="208">
        <f>T42+T131+T509+T593+7292852+T1098+T1124+T1127+T1130+T1131+T1170+T1171</f>
        <v>6689923535</v>
      </c>
      <c r="U1280" s="151"/>
      <c r="V1280" s="151"/>
      <c r="W1280" s="151"/>
      <c r="X1280" s="151"/>
      <c r="Y1280" s="208">
        <f>Y35+Y594+Y1094</f>
        <v>10065040170</v>
      </c>
      <c r="Z1280" s="151"/>
      <c r="AA1280" s="427">
        <f>T1280+Y1280</f>
        <v>16754963705</v>
      </c>
      <c r="AB1280" s="427"/>
      <c r="AC1280" s="151"/>
      <c r="AD1280" s="151"/>
      <c r="AE1280" s="151"/>
      <c r="AF1280" s="151"/>
      <c r="AG1280" s="151"/>
      <c r="AH1280" s="151"/>
      <c r="AI1280" s="151"/>
      <c r="AJ1280" s="151"/>
      <c r="AK1280" s="151"/>
      <c r="AL1280" s="151"/>
      <c r="AM1280" s="151"/>
      <c r="AN1280" s="151"/>
      <c r="AO1280" s="151"/>
      <c r="AP1280" s="151"/>
      <c r="AQ1280" s="151"/>
      <c r="AR1280" s="151"/>
      <c r="AS1280" s="151"/>
      <c r="AT1280" s="151"/>
      <c r="AU1280" s="151"/>
      <c r="AV1280" s="151"/>
      <c r="AW1280" s="151"/>
      <c r="AX1280" s="151"/>
      <c r="AY1280" s="151"/>
      <c r="AZ1280" s="151"/>
      <c r="BA1280" s="151"/>
      <c r="BB1280" s="151"/>
      <c r="BC1280" s="151"/>
      <c r="BD1280" s="354"/>
      <c r="BE1280" s="354"/>
    </row>
    <row r="1281" spans="1:57" hidden="1">
      <c r="A1281" s="93" t="s">
        <v>1747</v>
      </c>
      <c r="B1281" s="93"/>
      <c r="L1281" s="203"/>
      <c r="M1281" s="203"/>
      <c r="N1281" s="203"/>
      <c r="O1281" s="203"/>
      <c r="T1281" s="208">
        <f>T95+T297+T717+T718+T719+10963266+T885+5626090+T1125+T1173+T1174+T1175+T1179+T1180</f>
        <v>6311053465</v>
      </c>
      <c r="Y1281" s="208">
        <f>Y33+Y411</f>
        <v>2860759928</v>
      </c>
      <c r="AA1281" s="427">
        <f>T1281+Y1281</f>
        <v>9171813393</v>
      </c>
      <c r="AB1281" s="427"/>
      <c r="AM1281" s="203"/>
      <c r="AN1281" s="203"/>
      <c r="AO1281" s="203"/>
      <c r="AP1281" s="203"/>
      <c r="AQ1281" s="203"/>
      <c r="AR1281" s="203"/>
      <c r="AU1281" s="354"/>
      <c r="AV1281" s="354"/>
      <c r="AW1281" s="354"/>
      <c r="AX1281" s="354"/>
      <c r="AY1281" s="354"/>
      <c r="AZ1281" s="354"/>
      <c r="BA1281" s="354"/>
      <c r="BB1281" s="354"/>
      <c r="BC1281" s="354"/>
      <c r="BD1281" s="354"/>
      <c r="BE1281" s="354"/>
    </row>
    <row r="1282" spans="1:57" hidden="1">
      <c r="A1282" s="93" t="s">
        <v>1792</v>
      </c>
      <c r="B1282" s="93"/>
      <c r="L1282" s="203"/>
      <c r="M1282" s="203"/>
      <c r="N1282" s="203"/>
      <c r="O1282" s="203"/>
      <c r="T1282" s="208">
        <f>T1096+T1132+T1177+T1178</f>
        <v>200722152</v>
      </c>
      <c r="Y1282" s="208">
        <f>Y232</f>
        <v>2279603197</v>
      </c>
      <c r="AA1282" s="427">
        <f>T1282+Y1282</f>
        <v>2480325349</v>
      </c>
      <c r="AB1282" s="427"/>
      <c r="AM1282" s="203"/>
      <c r="AN1282" s="203"/>
      <c r="AO1282" s="203"/>
      <c r="AP1282" s="203"/>
      <c r="AQ1282" s="203"/>
      <c r="AR1282" s="203"/>
      <c r="AU1282" s="354"/>
      <c r="AV1282" s="354"/>
      <c r="AW1282" s="354"/>
      <c r="AX1282" s="354"/>
      <c r="AY1282" s="354"/>
      <c r="AZ1282" s="354"/>
      <c r="BA1282" s="354"/>
      <c r="BB1282" s="354"/>
      <c r="BC1282" s="354"/>
      <c r="BD1282" s="354"/>
      <c r="BE1282" s="354"/>
    </row>
    <row r="1283" spans="1:57" hidden="1">
      <c r="A1283" s="93" t="s">
        <v>1793</v>
      </c>
      <c r="B1283" s="93"/>
      <c r="L1283" s="203"/>
      <c r="M1283" s="203"/>
      <c r="N1283" s="203"/>
      <c r="O1283" s="203"/>
      <c r="Q1283" s="208">
        <f>Q248+Q347</f>
        <v>1080000000</v>
      </c>
      <c r="T1283" s="208">
        <f>T97+T244+T249+T333+T346+T412+T413+T414+T601+T602+T603+T604+T605+T606+T743+T1097+T1169+T1210+T1211</f>
        <v>23572608262</v>
      </c>
      <c r="Y1283" s="208">
        <f>Y593+Y713</f>
        <v>6329890845</v>
      </c>
      <c r="AA1283" s="427">
        <f>Q1283+T1283+Y1283</f>
        <v>30982499107</v>
      </c>
      <c r="AB1283" s="427"/>
      <c r="AE1283" s="216"/>
      <c r="AF1283" s="216"/>
      <c r="AM1283" s="203"/>
      <c r="AN1283" s="203"/>
      <c r="AO1283" s="203"/>
      <c r="AP1283" s="203"/>
      <c r="AQ1283" s="203"/>
      <c r="AR1283" s="203"/>
      <c r="AU1283" s="354"/>
      <c r="AV1283" s="354"/>
      <c r="AW1283" s="354"/>
      <c r="AX1283" s="354"/>
      <c r="AY1283" s="354"/>
      <c r="AZ1283" s="354"/>
      <c r="BA1283" s="354"/>
      <c r="BB1283" s="354"/>
      <c r="BC1283" s="354"/>
      <c r="BD1283" s="354"/>
      <c r="BE1283" s="354"/>
    </row>
    <row r="1284" spans="1:57" hidden="1">
      <c r="A1284" s="93" t="s">
        <v>1794</v>
      </c>
      <c r="B1284" s="93"/>
      <c r="L1284" s="203"/>
      <c r="M1284" s="203"/>
      <c r="N1284" s="203"/>
      <c r="O1284" s="203"/>
      <c r="Q1284" s="208">
        <f>Q349</f>
        <v>180000000</v>
      </c>
      <c r="T1284" s="208">
        <f>T246+T250+T298+T607+T721+T840+T1088+T1158+T1207</f>
        <v>11550642987</v>
      </c>
      <c r="Y1284" s="208">
        <f>Y41+Y90+Y96+Y131+Y241+Y242+Y328+Y370+Y564+Y599+Y600+Y668+Y711</f>
        <v>16686760459</v>
      </c>
      <c r="AA1284" s="427">
        <f>Q1284+T1284+Y1284</f>
        <v>28417403446</v>
      </c>
      <c r="AB1284" s="427"/>
      <c r="AC1284" s="216"/>
      <c r="AM1284" s="203"/>
      <c r="AN1284" s="203"/>
      <c r="AO1284" s="203"/>
      <c r="AP1284" s="203"/>
      <c r="AQ1284" s="203"/>
      <c r="AR1284" s="203"/>
      <c r="AU1284" s="354"/>
      <c r="AV1284" s="354"/>
      <c r="AW1284" s="354"/>
      <c r="AX1284" s="354"/>
      <c r="AY1284" s="354"/>
      <c r="AZ1284" s="354"/>
      <c r="BA1284" s="354"/>
      <c r="BB1284" s="354"/>
      <c r="BC1284" s="354"/>
      <c r="BD1284" s="354"/>
      <c r="BE1284" s="354"/>
    </row>
    <row r="1285" spans="1:57" hidden="1">
      <c r="A1285" s="93" t="s">
        <v>1795</v>
      </c>
      <c r="B1285" s="93"/>
      <c r="L1285" s="203"/>
      <c r="M1285" s="203"/>
      <c r="N1285" s="203"/>
      <c r="O1285" s="203"/>
      <c r="Q1285" s="208">
        <f>Q609</f>
        <v>592066530</v>
      </c>
      <c r="T1285" s="208">
        <f>T45+T48+T49+T50+T100+T132+T133+T161+T163+T165+T238+T251+T301+T302+T347+T349+T371+T415+10153100+T608+T611+T612+T613+T640+T671+T672+T674+T1099+T1164+T1166+T1167+T1172+13692170+T1213+5239250+T1215</f>
        <v>39905045124</v>
      </c>
      <c r="Y1285" s="208">
        <f>Y42+Y44+Y297+Y369+Y587+Y597+Y598+Y636+Y669+Y680+Y715+Y751+Y1081+Y1095+Y1125</f>
        <v>20780530697</v>
      </c>
      <c r="AA1285" s="427">
        <f>Q1285+T1285+Y1285</f>
        <v>61277642351</v>
      </c>
      <c r="AB1285" s="427"/>
      <c r="AC1285" s="216"/>
      <c r="AM1285" s="203"/>
      <c r="AN1285" s="203"/>
      <c r="AO1285" s="203"/>
      <c r="AP1285" s="203"/>
      <c r="AQ1285" s="203"/>
      <c r="AR1285" s="203"/>
      <c r="AU1285" s="354"/>
      <c r="AV1285" s="354"/>
      <c r="AW1285" s="354"/>
      <c r="AX1285" s="354"/>
      <c r="AY1285" s="354"/>
      <c r="AZ1285" s="354"/>
      <c r="BA1285" s="354"/>
      <c r="BB1285" s="354"/>
      <c r="BC1285" s="354"/>
      <c r="BD1285" s="354"/>
      <c r="BE1285" s="354"/>
    </row>
    <row r="1286" spans="1:57" hidden="1">
      <c r="A1286" s="93" t="s">
        <v>1796</v>
      </c>
      <c r="B1286" s="93"/>
      <c r="L1286" s="203"/>
      <c r="M1286" s="203"/>
      <c r="N1286" s="203"/>
      <c r="O1286" s="203"/>
      <c r="Q1286" s="208">
        <f>Q253+Q417+Q610</f>
        <v>1131964491</v>
      </c>
      <c r="T1286" s="208">
        <f>T46+T47+T101+T164+T252+T254+T300+T334+T336+T356+T418+T419+T420+T673+T724+T974+T1140+T1141+T1182+6301084</f>
        <v>28618576254</v>
      </c>
      <c r="Y1286" s="208">
        <f>Y29+Y249+Y412+Y605+Y606+Y666+Y743+Y826+Y832+Y1082+Y1092+Y1093+Y1098+Y1131</f>
        <v>9352070713</v>
      </c>
      <c r="AA1286" s="427">
        <f>Q1286+T1286+Y1286</f>
        <v>39102611458</v>
      </c>
      <c r="AB1286" s="427"/>
      <c r="AM1286" s="203"/>
      <c r="AN1286" s="203"/>
      <c r="AO1286" s="203"/>
      <c r="AP1286" s="203"/>
      <c r="AQ1286" s="203"/>
      <c r="AR1286" s="203"/>
      <c r="AU1286" s="354"/>
      <c r="AV1286" s="354"/>
      <c r="AW1286" s="354"/>
      <c r="AX1286" s="354"/>
      <c r="AY1286" s="354"/>
      <c r="AZ1286" s="354"/>
      <c r="BA1286" s="354"/>
      <c r="BB1286" s="354"/>
      <c r="BC1286" s="354"/>
      <c r="BD1286" s="354"/>
      <c r="BE1286" s="354"/>
    </row>
    <row r="1287" spans="1:57" hidden="1">
      <c r="A1287" s="93" t="s">
        <v>1910</v>
      </c>
      <c r="B1287" s="93"/>
      <c r="L1287" s="203"/>
      <c r="M1287" s="203"/>
      <c r="N1287" s="203"/>
      <c r="O1287" s="203"/>
      <c r="Q1287" s="208">
        <f>Q167</f>
        <v>767493650</v>
      </c>
      <c r="T1287" s="208">
        <f>T51+T83+T98+T166+T245+T247+T299+T350+T422+T424+T615+T616+T617+T618+T619+T621+T622+T1091+T1116+T1129+T1145+T1147+T1148+T1176+T1185+T1186+T1187+T1189+T1216+T1225</f>
        <v>12994362210</v>
      </c>
      <c r="Y1287" s="208">
        <f>Y83+Y97+Y244+Y245+Y246+Y298+Y333+Y346+Y601+Y602+Y603+Y604+Y608+Y612+Y709+Y721+Y1096+Y1097+Y1132+Y1157+Y1210</f>
        <v>18303273960</v>
      </c>
      <c r="AA1287" s="427">
        <f>Q1287+T1287+Y1287</f>
        <v>32065129820</v>
      </c>
      <c r="AB1287" s="427"/>
      <c r="AM1287" s="203"/>
      <c r="AN1287" s="203"/>
      <c r="AO1287" s="203"/>
      <c r="AP1287" s="203"/>
      <c r="AQ1287" s="203"/>
      <c r="AR1287" s="203"/>
      <c r="AU1287" s="354"/>
      <c r="AV1287" s="354"/>
      <c r="AW1287" s="354"/>
      <c r="AX1287" s="354"/>
      <c r="AY1287" s="354"/>
      <c r="AZ1287" s="354"/>
      <c r="BA1287" s="354"/>
      <c r="BB1287" s="354"/>
      <c r="BC1287" s="354"/>
      <c r="BD1287" s="354"/>
      <c r="BE1287" s="354"/>
    </row>
    <row r="1288" spans="1:57" hidden="1">
      <c r="A1288" s="93" t="s">
        <v>1981</v>
      </c>
      <c r="B1288" s="93"/>
      <c r="C1288" s="216">
        <v>220252388629</v>
      </c>
      <c r="L1288" s="203"/>
      <c r="M1288" s="203"/>
      <c r="N1288" s="203"/>
      <c r="O1288" s="203"/>
      <c r="Q1288" s="295">
        <f>SUBTOTAL(9,Q1280:Q1287)</f>
        <v>0</v>
      </c>
      <c r="T1288" s="295">
        <f>SUBTOTAL(9,T1280:T1287)</f>
        <v>0</v>
      </c>
      <c r="Y1288" s="295">
        <f>SUBTOTAL(9,Y1280:Y1287)</f>
        <v>0</v>
      </c>
      <c r="AA1288" s="295">
        <f>SUBTOTAL(9,AA1280:AA1287)</f>
        <v>0</v>
      </c>
      <c r="AB1288" s="295"/>
      <c r="AM1288" s="203"/>
      <c r="AN1288" s="203"/>
      <c r="AO1288" s="203"/>
      <c r="AP1288" s="203"/>
      <c r="AQ1288" s="203"/>
      <c r="AR1288" s="203"/>
      <c r="AU1288" s="354"/>
      <c r="AV1288" s="354"/>
      <c r="AW1288" s="354"/>
      <c r="AX1288" s="354"/>
      <c r="AY1288" s="354"/>
      <c r="AZ1288" s="354"/>
      <c r="BA1288" s="354"/>
      <c r="BB1288" s="354"/>
      <c r="BC1288" s="354"/>
      <c r="BD1288" s="354"/>
      <c r="BE1288" s="354"/>
    </row>
    <row r="1289" spans="1:57">
      <c r="A1289" s="93"/>
      <c r="B1289" s="93"/>
      <c r="C1289" s="216"/>
      <c r="L1289" s="203"/>
      <c r="M1289" s="203"/>
      <c r="N1289" s="203"/>
      <c r="O1289" s="203"/>
      <c r="Q1289" s="295"/>
      <c r="T1289" s="639"/>
      <c r="Y1289" s="295"/>
      <c r="AA1289" s="295"/>
      <c r="AB1289" s="295"/>
      <c r="AM1289" s="203"/>
      <c r="AN1289" s="203"/>
      <c r="AO1289" s="203"/>
      <c r="AP1289" s="203"/>
      <c r="AQ1289" s="203"/>
      <c r="AR1289" s="203"/>
      <c r="AU1289" s="354"/>
      <c r="AV1289" s="354"/>
      <c r="AW1289" s="354"/>
      <c r="AX1289" s="354"/>
      <c r="AY1289" s="354"/>
      <c r="AZ1289" s="354"/>
      <c r="BA1289" s="354"/>
      <c r="BB1289" s="354"/>
      <c r="BC1289" s="354"/>
      <c r="BD1289" s="354"/>
      <c r="BE1289" s="354"/>
    </row>
    <row r="1290" spans="1:57">
      <c r="A1290" s="93"/>
      <c r="B1290" s="93"/>
      <c r="C1290" s="216"/>
      <c r="L1290" s="203"/>
      <c r="M1290" s="203"/>
      <c r="N1290" s="203"/>
      <c r="O1290" s="203"/>
      <c r="P1290" s="203" t="s">
        <v>2323</v>
      </c>
      <c r="Q1290" s="203" t="s">
        <v>2324</v>
      </c>
      <c r="R1290" s="203" t="s">
        <v>2322</v>
      </c>
      <c r="S1290" s="203" t="s">
        <v>2326</v>
      </c>
      <c r="T1290" s="644" t="s">
        <v>2325</v>
      </c>
      <c r="U1290" s="203" t="s">
        <v>2327</v>
      </c>
      <c r="V1290" s="203" t="s">
        <v>2328</v>
      </c>
      <c r="W1290" s="203" t="s">
        <v>2329</v>
      </c>
      <c r="X1290" s="203" t="s">
        <v>2330</v>
      </c>
      <c r="Y1290" s="295"/>
      <c r="AA1290" s="295"/>
      <c r="AB1290" s="295"/>
      <c r="AM1290" s="203"/>
      <c r="AN1290" s="203"/>
      <c r="AO1290" s="203"/>
      <c r="AP1290" s="203"/>
      <c r="AQ1290" s="203"/>
      <c r="AR1290" s="203"/>
      <c r="AU1290" s="354"/>
      <c r="AV1290" s="354"/>
      <c r="AW1290" s="354"/>
      <c r="AX1290" s="354"/>
      <c r="AY1290" s="354"/>
      <c r="AZ1290" s="354"/>
      <c r="BA1290" s="354"/>
      <c r="BB1290" s="354"/>
      <c r="BC1290" s="354"/>
      <c r="BD1290" s="354"/>
      <c r="BE1290" s="354"/>
    </row>
    <row r="1291" spans="1:57" ht="24" customHeight="1">
      <c r="A1291" s="739" t="s">
        <v>1979</v>
      </c>
      <c r="B1291" s="740"/>
      <c r="C1291" s="379"/>
      <c r="D1291" s="379"/>
      <c r="E1291" s="379"/>
      <c r="F1291" s="379"/>
      <c r="G1291" s="379"/>
      <c r="O1291" s="203" t="s">
        <v>2310</v>
      </c>
      <c r="R1291" s="208">
        <f>T134+T135+T248+T256+T257</f>
        <v>6676197829</v>
      </c>
      <c r="S1291" s="208">
        <f>T610</f>
        <v>2048407433</v>
      </c>
      <c r="T1291" s="640">
        <v>9450181</v>
      </c>
      <c r="U1291" s="208">
        <f>Y133+Y165+Y347+Y671+613993378</f>
        <v>6205630172</v>
      </c>
      <c r="V1291" s="601">
        <f>P1291+R1291+T1291</f>
        <v>6685648010</v>
      </c>
      <c r="W1291" s="601">
        <f>Q1291+S1291+U1291</f>
        <v>8254037605</v>
      </c>
      <c r="X1291" s="208">
        <f>V1291+W1291</f>
        <v>14939685615</v>
      </c>
      <c r="AA1291" s="208"/>
      <c r="AB1291" s="208"/>
      <c r="AU1291" s="354"/>
      <c r="AV1291" s="354"/>
      <c r="AW1291" s="354"/>
      <c r="AX1291" s="354"/>
      <c r="AY1291" s="354"/>
      <c r="AZ1291" s="354"/>
      <c r="BA1291" s="354"/>
      <c r="BB1291" s="354"/>
      <c r="BC1291" s="354"/>
      <c r="BD1291" s="354"/>
      <c r="BE1291" s="354"/>
    </row>
    <row r="1292" spans="1:57">
      <c r="A1292" s="37" t="s">
        <v>521</v>
      </c>
      <c r="B1292" s="425" t="e">
        <f>+AM36+AM39+AM86+AM184+AM237+AM238+AM295+AM326+#REF!+AN584+AM588+AM639+AM88+AM742</f>
        <v>#REF!</v>
      </c>
      <c r="C1292" s="380"/>
      <c r="D1292" s="381"/>
      <c r="E1292" s="381"/>
      <c r="F1292" s="381"/>
      <c r="G1292" s="381"/>
      <c r="H1292" s="203">
        <v>1132</v>
      </c>
      <c r="O1292" s="203" t="s">
        <v>2311</v>
      </c>
      <c r="P1292" s="208">
        <f>Q631</f>
        <v>876000000</v>
      </c>
      <c r="R1292" s="208">
        <f>T253+T303+T667+T1190+T1196+T1202+T1204+T1205</f>
        <v>3763220333</v>
      </c>
      <c r="S1292" s="208">
        <f>T329+T702</f>
        <v>107730267</v>
      </c>
      <c r="T1292" s="640"/>
      <c r="U1292" s="208">
        <f>Y49+Y132+Y161+Y250+Y254+Y371+Y413+Y607+Y613+Y622+Y672+Y674+Y702+Y1211</f>
        <v>15302108058</v>
      </c>
      <c r="V1292" s="601">
        <f t="shared" ref="V1292:W1302" si="195">P1292+R1292+T1292</f>
        <v>4639220333</v>
      </c>
      <c r="W1292" s="601">
        <f>Q1292+S1292+U1292</f>
        <v>15409838325</v>
      </c>
      <c r="X1292" s="208">
        <f>V1292+W1292</f>
        <v>20049058658</v>
      </c>
      <c r="AA1292" s="216"/>
    </row>
    <row r="1293" spans="1:57">
      <c r="A1293" s="37" t="s">
        <v>38</v>
      </c>
      <c r="B1293" s="41">
        <f>AN35+AN38+AN90+AN222+AN232+AN292+AN297+AN328+AN331+AN410+AN586+AN587+AN599+AN635+AN636+AN637+AN662+AN663+AN711+AN712+AN713+AN715</f>
        <v>996</v>
      </c>
      <c r="C1293" s="337"/>
      <c r="D1293" s="339">
        <v>88986016092</v>
      </c>
      <c r="E1293" s="339"/>
      <c r="F1293" s="339"/>
      <c r="G1293" s="339"/>
      <c r="H1293" s="203">
        <v>1160</v>
      </c>
      <c r="O1293" s="203" t="s">
        <v>2312</v>
      </c>
      <c r="R1293" s="208">
        <f>T258+T264+T425+T584+T585+T1159+T1160+T1188+T1195+T1197+T1200+T1220+T1222+T1227</f>
        <v>4492569584</v>
      </c>
      <c r="S1293" s="208">
        <f>T52+T102+T103+T255+T373+T722+T1150</f>
        <v>8281930503</v>
      </c>
      <c r="T1293" s="640"/>
      <c r="U1293" s="208">
        <f>Y38+Y45+Y46+Y48+Y50+Y166+Y251+Y299+Y302+Y334+Y336+Y350+Y418+Y424+Y611+Y615+Y619+Y621+Y673+Y724</f>
        <v>22901328248</v>
      </c>
      <c r="V1293" s="601">
        <f t="shared" si="195"/>
        <v>4492569584</v>
      </c>
      <c r="W1293" s="601">
        <f t="shared" si="195"/>
        <v>31183258751</v>
      </c>
      <c r="X1293" s="208">
        <f t="shared" ref="X1293:X1302" si="196">V1293+W1293</f>
        <v>35675828335</v>
      </c>
    </row>
    <row r="1294" spans="1:57">
      <c r="A1294" s="37" t="s">
        <v>1419</v>
      </c>
      <c r="B1294" s="41">
        <f>AO33+AO34+AO37+AO58+AO79+AO80+AO81+AO84+AO85+AO87+AO89+AO91+AO92+AO93+AO94+AO122+AO124+AO125+AO127+AO128+AO129+AO130+AO144+AO145+AO146+AO147+AO148+AO149+AO150+AO152+AO153+AO155+AO158+AO159+AO160+AO192+AO218+AO221+AO223+AO230+AO231+AO233+AO235+AO234+AO236+AO241+AO243+AO291+AO293+AO294+AO313+AO314+AO315+AO317+AO321+AO322+AO323+AO324+AO325+AO327+AO330+AO332+AO345+AO352+AO367+AO395+AO402+AO403+AO404+AO408+AO411+AO437+AO438+AO456+AO525+AO539+AO556+AO558+AO559+AO560+AO561+AO562+AO563+AO566+AO568+AO570+AO571+AO572+AO573+AO574+AO575+AO577+AO578+AO579+AO580+AO582+AO583+AO589+AO590+AO591+AO592+AO593+AO594+AO595+AO638+AO650+AO659+AO664+AO665+AO676+AO697+AO702+AO704+AO706+AO707+AO710+AO714+AO736+AO741+AO737+AO749+AO820+AO824+AO829+AO834+AO839+AO840+AO847+AO848+AO849+AO882+AO885+AO948+AO949+AO952+AO960+AO972+AO976+AO1019+AO1021+AO1037+AO1043+AO1046+AO1051+AO1074+AO1076+AO1077+AO1083+AO1086+AO1087+AO1088+AO1119+AO1124+AO1142+AO1144+AO1146+AO1149+AO1151+AO1152+AO1156+AO1169+AO1170+AO1173+AO1174+AO1175+AO1177+AO1178+AO1179+AO1207</f>
        <v>0</v>
      </c>
      <c r="C1294" s="337"/>
      <c r="D1294" s="339">
        <v>88840192354</v>
      </c>
      <c r="E1294" s="339"/>
      <c r="F1294" s="339"/>
      <c r="G1294" s="339"/>
      <c r="H1294" s="203">
        <f>H1293-H1292</f>
        <v>28</v>
      </c>
      <c r="O1294" s="203" t="s">
        <v>2313</v>
      </c>
      <c r="P1294" s="208">
        <f>Q262+Q348+Q632</f>
        <v>1270000000</v>
      </c>
      <c r="Q1294" s="208">
        <f>Q136+Q626</f>
        <v>1239778715</v>
      </c>
      <c r="R1294" s="208">
        <f>T426+T623+T625+T970</f>
        <v>4438296908</v>
      </c>
      <c r="S1294" s="208">
        <f>T104+T105+T167+T259+T260+T261+T263+T304+T337+T427+T429+T624</f>
        <v>21843655772</v>
      </c>
      <c r="T1294" s="640">
        <f>Y620</f>
        <v>1030473284</v>
      </c>
      <c r="U1294" s="208">
        <f>Y100+Y164+Y238+Y252+Y301+Y415+Y419+Y617+Y618+Y722</f>
        <v>13299129093</v>
      </c>
      <c r="V1294" s="601">
        <f>P1294+R1294+T1294</f>
        <v>6738770192</v>
      </c>
      <c r="W1294" s="601">
        <f>Q1294+S1294+U1294</f>
        <v>36382563580</v>
      </c>
      <c r="X1294" s="208">
        <f>V1294+W1294</f>
        <v>43121333772</v>
      </c>
    </row>
    <row r="1295" spans="1:57">
      <c r="A1295" s="37" t="s">
        <v>1421</v>
      </c>
      <c r="B1295" s="41">
        <f>AR203+AR296+AR581</f>
        <v>0</v>
      </c>
      <c r="C1295" s="337"/>
      <c r="D1295" s="339">
        <f>D1293-D1294</f>
        <v>145823738</v>
      </c>
      <c r="E1295" s="339"/>
      <c r="F1295" s="339"/>
      <c r="G1295" s="339"/>
      <c r="O1295" s="203" t="s">
        <v>2314</v>
      </c>
      <c r="R1295" s="208">
        <f>T627+T628+T825+T951+T1191+T1199+T1224+77562674</f>
        <v>3566106212</v>
      </c>
      <c r="S1295" s="208">
        <f>T374+T417+2714682+T1230</f>
        <v>3113273791</v>
      </c>
      <c r="T1295" s="640">
        <f>Y248</f>
        <v>1678026934</v>
      </c>
      <c r="U1295" s="208">
        <f>Y47+Y51+Y163+Y255+Y420+Y610+Y616+Y640+Y821</f>
        <v>12098622623</v>
      </c>
      <c r="V1295" s="601">
        <f t="shared" si="195"/>
        <v>5244133146</v>
      </c>
      <c r="W1295" s="601">
        <f t="shared" si="195"/>
        <v>15211896414</v>
      </c>
      <c r="X1295" s="208">
        <f t="shared" si="196"/>
        <v>20456029560</v>
      </c>
      <c r="Y1295" s="203">
        <v>15247637418</v>
      </c>
      <c r="AA1295" s="216">
        <f>W1295-Y1295</f>
        <v>-35741004</v>
      </c>
    </row>
    <row r="1296" spans="1:57">
      <c r="A1296" s="372" t="s">
        <v>1052</v>
      </c>
      <c r="B1296" s="373" t="e">
        <f>SUBTOTAL(9,B1292:B1295)</f>
        <v>#REF!</v>
      </c>
      <c r="C1296" s="382"/>
      <c r="D1296" s="383">
        <v>88840192354</v>
      </c>
      <c r="E1296" s="383"/>
      <c r="F1296" s="383"/>
      <c r="G1296" s="383"/>
      <c r="O1296" s="203" t="s">
        <v>2315</v>
      </c>
      <c r="V1296" s="208">
        <f t="shared" si="195"/>
        <v>0</v>
      </c>
      <c r="W1296" s="208">
        <f t="shared" si="195"/>
        <v>0</v>
      </c>
      <c r="X1296" s="208">
        <f t="shared" si="196"/>
        <v>0</v>
      </c>
      <c r="Y1296" s="203">
        <v>5244133146</v>
      </c>
      <c r="AA1296" s="216">
        <f>V1295-Y1296</f>
        <v>0</v>
      </c>
    </row>
    <row r="1297" spans="1:27">
      <c r="C1297" s="151"/>
      <c r="D1297" s="26"/>
      <c r="E1297" s="26"/>
      <c r="F1297" s="26"/>
      <c r="G1297" s="26"/>
      <c r="O1297" s="203" t="s">
        <v>2316</v>
      </c>
      <c r="S1297" s="603"/>
      <c r="V1297" s="208">
        <f t="shared" si="195"/>
        <v>0</v>
      </c>
      <c r="W1297" s="208">
        <f t="shared" si="195"/>
        <v>0</v>
      </c>
      <c r="X1297" s="208">
        <f t="shared" si="196"/>
        <v>0</v>
      </c>
    </row>
    <row r="1298" spans="1:27" ht="24" customHeight="1">
      <c r="A1298" s="739" t="s">
        <v>1980</v>
      </c>
      <c r="B1298" s="740"/>
      <c r="C1298" s="379"/>
      <c r="D1298" s="379"/>
      <c r="E1298" s="379"/>
      <c r="F1298" s="379"/>
      <c r="G1298" s="379"/>
      <c r="O1298" s="203" t="s">
        <v>2317</v>
      </c>
      <c r="S1298" s="603"/>
      <c r="V1298" s="208">
        <f t="shared" si="195"/>
        <v>0</v>
      </c>
      <c r="W1298" s="208">
        <f t="shared" si="195"/>
        <v>0</v>
      </c>
      <c r="X1298" s="208">
        <f t="shared" si="196"/>
        <v>0</v>
      </c>
      <c r="AA1298" s="203">
        <f>876000000+13617964161+44385056245</f>
        <v>58879020406</v>
      </c>
    </row>
    <row r="1299" spans="1:27">
      <c r="A1299" s="37" t="s">
        <v>521</v>
      </c>
      <c r="B1299" s="40">
        <f>AM40+AM43+AM47+AN51+AM57+AM59+AM71+AM95+AM99+AM101+AM112+AN134+AM135+AM156+AM157+AM162+AN164+AN166+AM167+AM171+AM180+AM229+AM248+AM252+AM253+AM254+AN256+AM257+AM270+AM299+AM303+AM309+AM318+AM320+AM329+AN334+AM336+AM348+AM350+AM368+AM372+AM376+AM401+AM406+AM407+AM409+AM416+AM417+AN419+AM420+AM421+AM422+AM424+AM442+AM443+AM470+AM498+AM567+AM576+AN585+AM609+AM610+AM614+AN615+AM616+AN617+AM618+AN619+AN620+AM621+AM622+AM631+AM632+AM639+AM640+AM667+AM670+AM677+AM687+AM700+AR703+AM705+AM716+AM722+AM723+AM742+AM757+AM819+AM822+AM825+AM828+AM835+AM836+AM837+AM842+AM843+AM844+AM884+AM951+AM953+AM954+AM956+AM970+AM971+AM973+AM975+AM977+AM988+AM1063+AM1064+AM1065+AM1066+AM1067+AM1080+AM1084+AM1085+AM1089+AM1100+AM1116+AM1117+AM1126+AM1129+AM1138+AM1139+AM1143+AM1145+AM1147+AM1148+AM1150+AM1159+AM1160+AM1161+AM1162+AM1163+AM1165+AM1168+AM1176+AM1181+AM1183+AM1184+AM1185+AM1186+AM1187+AM1188+AM1189+AM1190+AM1191+AM1192+AM1193+AM1194+AM1195+AM1196+AM1197+AM1198+AM1199+AM1200+AM1201+AM1202+AM1203+AM1204+AM1205+AM1206+AM1208+AM1209+AM1217+AM1219+AM1220+AM1221+AM1222+AM1223+AM1224+AM1225+AM1226+AO1227</f>
        <v>1339</v>
      </c>
      <c r="C1299" s="337"/>
      <c r="D1299" s="338"/>
      <c r="E1299" s="338"/>
      <c r="F1299" s="338"/>
      <c r="G1299" s="338"/>
      <c r="O1299" s="203" t="s">
        <v>2318</v>
      </c>
      <c r="V1299" s="208">
        <f t="shared" si="195"/>
        <v>0</v>
      </c>
      <c r="W1299" s="208">
        <f t="shared" si="195"/>
        <v>0</v>
      </c>
      <c r="X1299" s="208">
        <f t="shared" si="196"/>
        <v>0</v>
      </c>
      <c r="AA1299" s="203">
        <v>44385056245</v>
      </c>
    </row>
    <row r="1300" spans="1:27">
      <c r="A1300" s="37" t="s">
        <v>38</v>
      </c>
      <c r="B1300" s="41">
        <f>AN41+AN42+AN44+AN45+AN46+AN48+AN49+AN50+AN96+AN97+AN98+AN100+AN131+AN132+AN133+AN161+AN163+AN165+AN240+AN244+AN245+AN246+AN247+AN250+AN251+AN298+AN300+AN301+AN302+AN319+AN333+AN346+AN347+AN349+AN369+AN370+AN371+AN400+AN412+AN413+AN414+AN418+AN415+AN564+AN565+AN598+AN601+AN602+AN603+AN604+AN606+AN607+AN608+AN611+AN612+AN613+AN634+AN658+AN661+AN666+AN668+AN669+AN671+AN672+AN673+AN674+AN708+AN709+AN717+AN718+AN719+AN720+AN721+AN724+AN743+AN751+AN821+AN826+AN832+AN950+AN989+AN1017+AN1038+AN1041+AN1068+AN1079+AN1082+AN1090+AN1091+AN1092+AN1093+AN1094+AN1095+AN1096+AN1097+AN1098+AN1099+AN1123+AN1125+AN1127+AN1130+AN1131+AN1132+AN1134+AN1157+AN1171+AN1210+AN1211+AN1213</f>
        <v>2855</v>
      </c>
      <c r="C1300" s="337"/>
      <c r="D1300" s="339"/>
      <c r="E1300" s="339"/>
      <c r="F1300" s="339"/>
      <c r="G1300" s="339"/>
      <c r="O1300" s="203" t="s">
        <v>2321</v>
      </c>
      <c r="V1300" s="208">
        <f t="shared" si="195"/>
        <v>0</v>
      </c>
      <c r="W1300" s="208">
        <f t="shared" si="195"/>
        <v>0</v>
      </c>
      <c r="X1300" s="208">
        <f t="shared" si="196"/>
        <v>0</v>
      </c>
    </row>
    <row r="1301" spans="1:27">
      <c r="A1301" s="37" t="s">
        <v>646</v>
      </c>
      <c r="B1301" s="41">
        <f>AO32+AO82+AO83+AO242+AO249+AO481+AO494+AO596+AO597+AO600+AO605+AO827+AO831+AO958+AO959+AO961+AO974+AO1107+AO1140+AO1141+AO1158+AO1164+AO1166+AO1167+AO1172+AO1180+AO1182+AO1212+AO1214+AO1215+AO1216+AO1218</f>
        <v>0</v>
      </c>
      <c r="C1301" s="337"/>
      <c r="D1301" s="339"/>
      <c r="E1301" s="339"/>
      <c r="F1301" s="339"/>
      <c r="G1301" s="339"/>
      <c r="O1301" s="203" t="s">
        <v>2319</v>
      </c>
      <c r="V1301" s="208">
        <f t="shared" si="195"/>
        <v>0</v>
      </c>
      <c r="W1301" s="208">
        <f t="shared" si="195"/>
        <v>0</v>
      </c>
      <c r="X1301" s="208">
        <f t="shared" si="196"/>
        <v>0</v>
      </c>
    </row>
    <row r="1302" spans="1:27">
      <c r="A1302" s="37" t="s">
        <v>942</v>
      </c>
      <c r="B1302" s="41">
        <f>AP31+AP208+AP224+AP225+AP282+AP361+AP542+AP681+AP682</f>
        <v>359</v>
      </c>
      <c r="C1302" s="337"/>
      <c r="D1302" s="339"/>
      <c r="E1302" s="339"/>
      <c r="F1302" s="339"/>
      <c r="G1302" s="339"/>
      <c r="O1302" s="203" t="s">
        <v>2320</v>
      </c>
      <c r="V1302" s="208">
        <f t="shared" si="195"/>
        <v>0</v>
      </c>
      <c r="W1302" s="208">
        <f t="shared" si="195"/>
        <v>0</v>
      </c>
      <c r="X1302" s="208">
        <f t="shared" si="196"/>
        <v>0</v>
      </c>
    </row>
    <row r="1303" spans="1:27">
      <c r="A1303" s="37" t="s">
        <v>986</v>
      </c>
      <c r="B1303" s="41">
        <f>AQ154+AQ360+AQ366+AQ686</f>
        <v>104</v>
      </c>
      <c r="C1303" s="337"/>
      <c r="D1303" s="339"/>
      <c r="E1303" s="339"/>
      <c r="F1303" s="339"/>
      <c r="G1303" s="339"/>
    </row>
    <row r="1304" spans="1:27">
      <c r="A1304" s="37" t="s">
        <v>687</v>
      </c>
      <c r="B1304" s="41">
        <f>AR116+AR117+AR178+AR193+AR201+AR220+AR239+AR335+AR357+AR365+AR392+AR399+AR405+AR440+AR487+AR502+AR510+AR531+AR538+AR546+AR648+AR738+AR747+AR750+AR1128</f>
        <v>0</v>
      </c>
      <c r="C1304" s="337"/>
      <c r="D1304" s="339"/>
      <c r="E1304" s="339"/>
      <c r="F1304" s="339"/>
      <c r="G1304" s="339"/>
    </row>
    <row r="1305" spans="1:27">
      <c r="A1305" s="372" t="s">
        <v>1052</v>
      </c>
      <c r="B1305" s="373">
        <f>SUM(B1299:B1304)</f>
        <v>4657</v>
      </c>
      <c r="C1305" s="382"/>
      <c r="D1305" s="383"/>
      <c r="E1305" s="383"/>
      <c r="F1305" s="383"/>
      <c r="G1305" s="383"/>
    </row>
  </sheetData>
  <autoFilter ref="A5:XFC1239">
    <filterColumn colId="57">
      <filters>
        <filter val="2020"/>
        <filter val="2019 y 2020"/>
      </filters>
    </filterColumn>
  </autoFilter>
  <mergeCells count="7">
    <mergeCell ref="A1298:B1298"/>
    <mergeCell ref="A1:BE1"/>
    <mergeCell ref="A2:BE2"/>
    <mergeCell ref="A4:BF4"/>
    <mergeCell ref="D189:D190"/>
    <mergeCell ref="A1236:D1236"/>
    <mergeCell ref="A1291:B1291"/>
  </mergeCells>
  <hyperlinks>
    <hyperlink ref="I482" r:id="rId1" display="RES. N° 801-16 SE ANULO 1 SUBSIDIO Y RES. N° 1608-17 SE ANULO 11 SUBSIDIOS"/>
    <hyperlink ref="AU405" r:id="rId2"/>
    <hyperlink ref="AU117" r:id="rId3"/>
    <hyperlink ref="AU482" r:id="rId4"/>
    <hyperlink ref="AU392" r:id="rId5"/>
    <hyperlink ref="AU287" r:id="rId6"/>
    <hyperlink ref="AU274" r:id="rId7"/>
    <hyperlink ref="AU201" r:id="rId8"/>
    <hyperlink ref="AU178" r:id="rId9" display=" RES. DE ANULACION N° 1625-17 "/>
    <hyperlink ref="AU546" r:id="rId10"/>
    <hyperlink ref="AU510" r:id="rId11"/>
    <hyperlink ref="AU440" r:id="rId12"/>
    <hyperlink ref="AU747" r:id="rId13"/>
    <hyperlink ref="AU538" r:id="rId14"/>
    <hyperlink ref="AU487" r:id="rId15"/>
    <hyperlink ref="AU648" r:id="rId16"/>
    <hyperlink ref="AU581" r:id="rId17"/>
    <hyperlink ref="AU679" r:id="rId18" display="RES. DE ANULACION N° 146-18"/>
    <hyperlink ref="AU203" r:id="rId19"/>
    <hyperlink ref="AU220" r:id="rId20"/>
    <hyperlink ref="AU750" r:id="rId21"/>
  </hyperlinks>
  <printOptions horizontalCentered="1"/>
  <pageMargins left="0.70866141732283472" right="0.70866141732283472" top="0.74803149606299213" bottom="0.74803149606299213" header="0.31496062992125984" footer="0.31496062992125984"/>
  <pageSetup paperSize="14" scale="57" orientation="landscape" r:id="rId22"/>
  <headerFooter>
    <oddFooter>Página &amp;P</oddFooter>
  </headerFooter>
  <rowBreaks count="1" manualBreakCount="1">
    <brk id="1288" max="57" man="1"/>
  </rowBreaks>
  <colBreaks count="2" manualBreakCount="2">
    <brk id="36" max="1235" man="1"/>
    <brk id="38" max="1235" man="1"/>
  </colBreaks>
  <drawing r:id="rId23"/>
  <legacyDrawing r:id="rId2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9</vt:i4>
      </vt:variant>
    </vt:vector>
  </HeadingPairs>
  <TitlesOfParts>
    <vt:vector size="16" baseType="lpstr">
      <vt:lpstr>FONAVIS RESUMIDO</vt:lpstr>
      <vt:lpstr>Resumen llamados 2019</vt:lpstr>
      <vt:lpstr>Sit. de Obras Fonavis</vt:lpstr>
      <vt:lpstr>Sit. de Obras Fonavis (2)</vt:lpstr>
      <vt:lpstr>A INICIAR D.DURAN</vt:lpstr>
      <vt:lpstr>Hoja2</vt:lpstr>
      <vt:lpstr>FONAVIS RESUMIDO (2)</vt:lpstr>
      <vt:lpstr>'FONAVIS RESUMIDO'!Área_de_impresión</vt:lpstr>
      <vt:lpstr>'FONAVIS RESUMIDO (2)'!Área_de_impresión</vt:lpstr>
      <vt:lpstr>'Resumen llamados 2019'!Área_de_impresión</vt:lpstr>
      <vt:lpstr>'Sit. de Obras Fonavis'!Área_de_impresión</vt:lpstr>
      <vt:lpstr>'Sit. de Obras Fonavis (2)'!Área_de_impresión</vt:lpstr>
      <vt:lpstr>'FONAVIS RESUMIDO'!Títulos_a_imprimir</vt:lpstr>
      <vt:lpstr>'FONAVIS RESUMIDO (2)'!Títulos_a_imprimir</vt:lpstr>
      <vt:lpstr>'Sit. de Obras Fonavis'!Títulos_a_imprimir</vt:lpstr>
      <vt:lpstr>'Sit. de Obras Fonavis (2)'!Títulos_a_imprimir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cortiz</dc:creator>
  <cp:lastModifiedBy>Mirtha Graciela Echeverria Valiente</cp:lastModifiedBy>
  <cp:lastPrinted>2020-07-14T12:31:02Z</cp:lastPrinted>
  <dcterms:created xsi:type="dcterms:W3CDTF">2017-01-16T13:26:53Z</dcterms:created>
  <dcterms:modified xsi:type="dcterms:W3CDTF">2020-07-14T19:46:14Z</dcterms:modified>
</cp:coreProperties>
</file>